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801EFA39-927B-4FF5-BC6E-0DC886F9AC8F}" xr6:coauthVersionLast="47" xr6:coauthVersionMax="47" xr10:uidLastSave="{00000000-0000-0000-0000-000000000000}"/>
  <bookViews>
    <workbookView xWindow="-27810" yWindow="225" windowWidth="27465" windowHeight="14940" activeTab="4" xr2:uid="{175236AB-C177-49EE-988D-BC6B1F064CCC}"/>
  </bookViews>
  <sheets>
    <sheet name="Data Sources" sheetId="1" r:id="rId1"/>
    <sheet name="Graph Dashboard" sheetId="2" r:id="rId2"/>
    <sheet name="annual_data" sheetId="3" r:id="rId3"/>
    <sheet name="monthly_data" sheetId="4" r:id="rId4"/>
    <sheet name="BD" sheetId="5" r:id="rId5"/>
    <sheet name="RD" sheetId="6" r:id="rId6"/>
    <sheet name="Diesel" sheetId="7" r:id="rId7"/>
    <sheet name="Diesel (adj)" sheetId="8" r:id="rId8"/>
    <sheet name="Capacity" sheetId="9" r:id="rId9"/>
    <sheet name="EIA_Short_Term" sheetId="10" r:id="rId10"/>
    <sheet name="comp" sheetId="1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Print_Area" localSheetId="4">BD!$A$2:$W$14</definedName>
    <definedName name="_xlnm.Print_Area" localSheetId="5">RD!$A$2:$W$13</definedName>
    <definedName name="Z_11027877_8754_42DF_AEF4_DF91AFC7E3D7_.wvu.PrintArea" localSheetId="4" hidden="1">BD!$A$1:$T$14</definedName>
    <definedName name="Z_11027877_8754_42DF_AEF4_DF91AFC7E3D7_.wvu.PrintArea" localSheetId="5" hidden="1">RD!$A$1:$T$13</definedName>
    <definedName name="Z_2C7BB91D_B6C7_4C7E_824A_AD371B7FEFAE_.wvu.Cols" localSheetId="4" hidden="1">BD!$B:$F</definedName>
    <definedName name="Z_2C7BB91D_B6C7_4C7E_824A_AD371B7FEFAE_.wvu.Cols" localSheetId="5" hidden="1">RD!$B:$F</definedName>
    <definedName name="Z_2C7BB91D_B6C7_4C7E_824A_AD371B7FEFAE_.wvu.PrintArea" localSheetId="4" hidden="1">BD!$A$1:$T$14</definedName>
    <definedName name="Z_2C7BB91D_B6C7_4C7E_824A_AD371B7FEFAE_.wvu.PrintArea" localSheetId="5" hidden="1">RD!$A$1:$T$13</definedName>
    <definedName name="Z_3389ABBF_4A47_4E3C_9E30_013DEA936013_.wvu.PrintArea" localSheetId="4" hidden="1">BD!$A$1:$T$14</definedName>
    <definedName name="Z_3389ABBF_4A47_4E3C_9E30_013DEA936013_.wvu.PrintArea" localSheetId="5" hidden="1">RD!$A$1:$T$13</definedName>
    <definedName name="Z_63FD8648_A18A_466A_B152_26B7B5EB5F8A_.wvu.PrintArea" localSheetId="4" hidden="1">BD!$A$1:$T$14</definedName>
    <definedName name="Z_63FD8648_A18A_466A_B152_26B7B5EB5F8A_.wvu.PrintArea" localSheetId="5" hidden="1">RD!$A$1:$T$13</definedName>
    <definedName name="Z_896AD9BE_343E_4241_9567_E97EA3C7D73E_.wvu.PrintArea" localSheetId="4" hidden="1">BD!$A$1:$T$14</definedName>
    <definedName name="Z_896AD9BE_343E_4241_9567_E97EA3C7D73E_.wvu.PrintArea" localSheetId="5" hidden="1">RD!$A$1:$T$13</definedName>
    <definedName name="Z_8F904101_0CD0_4EB8_918C_6C9451EECAE3_.wvu.PrintArea" localSheetId="4" hidden="1">BD!$A$1:$T$14</definedName>
    <definedName name="Z_8F904101_0CD0_4EB8_918C_6C9451EECAE3_.wvu.PrintArea" localSheetId="5" hidden="1">RD!$A$1:$T$13</definedName>
    <definedName name="Z_A9F82761_E541_4BC7_AF39_E754A8EE4364_.wvu.PrintArea" localSheetId="4" hidden="1">BD!$A$1:$T$14</definedName>
    <definedName name="Z_A9F82761_E541_4BC7_AF39_E754A8EE4364_.wvu.PrintArea" localSheetId="5" hidden="1">RD!$A$1:$T$13</definedName>
    <definedName name="Z_BDBF5671_C3A9_474A_BD59_73FB0F340729_.wvu.PrintArea" localSheetId="4" hidden="1">BD!$A$1:$T$14</definedName>
    <definedName name="Z_BDBF5671_C3A9_474A_BD59_73FB0F340729_.wvu.PrintArea" localSheetId="5" hidden="1">RD!$A$1:$T$13</definedName>
    <definedName name="Z_BE7D4983_2668_442B_8E12_AE767275E8F1_.wvu.PrintArea" localSheetId="4" hidden="1">BD!$A$1:$T$14</definedName>
    <definedName name="Z_BE7D4983_2668_442B_8E12_AE767275E8F1_.wvu.PrintArea" localSheetId="5" hidden="1">RD!$A$1:$T$13</definedName>
    <definedName name="Z_F5DE2E4F_A48B_4F36_85E7_0AB7ADB29149_.wvu.PrintArea" localSheetId="4" hidden="1">BD!$A$1:$T$14</definedName>
    <definedName name="Z_F5DE2E4F_A48B_4F36_85E7_0AB7ADB29149_.wvu.PrintArea" localSheetId="5" hidden="1">RD!$A$1:$T$13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5" i="6" l="1"/>
  <c r="AB35" i="6"/>
  <c r="Y35" i="6"/>
  <c r="Z34" i="6"/>
  <c r="Y34" i="6"/>
  <c r="AH33" i="6"/>
  <c r="AG32" i="6"/>
  <c r="AF32" i="6"/>
  <c r="AH31" i="6"/>
  <c r="AG31" i="6"/>
  <c r="AF31" i="6"/>
  <c r="AE31" i="6"/>
  <c r="AD31" i="6"/>
  <c r="AB31" i="6"/>
  <c r="AA31" i="6"/>
  <c r="Z31" i="6"/>
  <c r="AD30" i="6"/>
  <c r="AC30" i="6"/>
  <c r="Y30" i="6"/>
  <c r="AF29" i="6"/>
  <c r="AE29" i="6"/>
  <c r="AD29" i="6"/>
  <c r="AC29" i="6"/>
  <c r="AB29" i="6"/>
  <c r="AA29" i="6"/>
  <c r="Z29" i="6"/>
  <c r="Y29" i="6"/>
  <c r="AB27" i="6"/>
  <c r="AA27" i="6"/>
  <c r="Z27" i="6"/>
  <c r="AH26" i="6"/>
  <c r="AG26" i="6"/>
  <c r="AH25" i="6"/>
  <c r="AF25" i="6"/>
  <c r="AE25" i="6"/>
  <c r="AD25" i="6"/>
  <c r="AH24" i="6"/>
  <c r="AF24" i="6"/>
  <c r="AE24" i="6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F36" i="5"/>
  <c r="AE36" i="5"/>
  <c r="AD36" i="5"/>
  <c r="AC36" i="5"/>
  <c r="AB36" i="5"/>
  <c r="AA36" i="5"/>
  <c r="Z36" i="5"/>
  <c r="Y36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F35" i="5"/>
  <c r="AE35" i="5"/>
  <c r="AD35" i="5"/>
  <c r="AC35" i="5"/>
  <c r="AB35" i="5"/>
  <c r="AA35" i="5"/>
  <c r="Z35" i="5"/>
  <c r="Y35" i="5"/>
  <c r="AV34" i="5"/>
  <c r="AR34" i="5"/>
  <c r="AQ34" i="5"/>
  <c r="AO34" i="5"/>
  <c r="AN34" i="5"/>
  <c r="AM34" i="5"/>
  <c r="AL34" i="5"/>
  <c r="AK34" i="5"/>
  <c r="AJ34" i="5"/>
  <c r="AI34" i="5"/>
  <c r="AH34" i="5"/>
  <c r="AG34" i="5"/>
  <c r="AF34" i="5"/>
  <c r="AE34" i="5"/>
  <c r="AC34" i="5"/>
  <c r="AB34" i="5"/>
  <c r="Z34" i="5"/>
  <c r="Y34" i="5"/>
  <c r="AY33" i="5"/>
  <c r="AX33" i="5"/>
  <c r="AS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Z33" i="5"/>
  <c r="Y33" i="5"/>
  <c r="AY32" i="5"/>
  <c r="AX32" i="5"/>
  <c r="AW32" i="5"/>
  <c r="AV32" i="5"/>
  <c r="AU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AY31" i="5"/>
  <c r="AX31" i="5"/>
  <c r="AW31" i="5"/>
  <c r="AV31" i="5"/>
  <c r="AU31" i="5"/>
  <c r="AT31" i="5"/>
  <c r="AS31" i="5"/>
  <c r="AR31" i="5"/>
  <c r="AP31" i="5"/>
  <c r="AO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AY30" i="5"/>
  <c r="AX30" i="5"/>
  <c r="AW30" i="5"/>
  <c r="AV30" i="5"/>
  <c r="AU30" i="5"/>
  <c r="AT30" i="5"/>
  <c r="AS30" i="5"/>
  <c r="AR30" i="5"/>
  <c r="AQ30" i="5"/>
  <c r="AP30" i="5"/>
  <c r="AO30" i="5"/>
  <c r="AM30" i="5"/>
  <c r="AL30" i="5"/>
  <c r="AJ30" i="5"/>
  <c r="AI30" i="5"/>
  <c r="AH30" i="5"/>
  <c r="AG30" i="5"/>
  <c r="AF30" i="5"/>
  <c r="AE30" i="5"/>
  <c r="AD30" i="5"/>
  <c r="AC30" i="5"/>
  <c r="AB30" i="5"/>
  <c r="AA30" i="5"/>
  <c r="Z30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J29" i="5"/>
  <c r="AI29" i="5"/>
  <c r="AH29" i="5"/>
  <c r="AG29" i="5"/>
  <c r="AF29" i="5"/>
  <c r="AE29" i="5"/>
  <c r="AD29" i="5"/>
  <c r="AC29" i="5"/>
  <c r="AB29" i="5"/>
  <c r="AA29" i="5"/>
  <c r="Z29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G28" i="5"/>
  <c r="AD28" i="5"/>
  <c r="AB28" i="5"/>
  <c r="Z28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D27" i="5"/>
  <c r="AC27" i="5"/>
  <c r="AA27" i="5"/>
  <c r="Z27" i="5"/>
  <c r="AY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A26" i="5"/>
  <c r="Z26" i="5"/>
  <c r="AY25" i="5"/>
  <c r="AX25" i="5"/>
  <c r="AW25" i="5"/>
  <c r="AV25" i="5"/>
  <c r="AT25" i="5"/>
  <c r="AS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AF35" i="6"/>
  <c r="AE35" i="6"/>
  <c r="AC34" i="6"/>
  <c r="Z33" i="6"/>
  <c r="AB32" i="6"/>
  <c r="AA32" i="6"/>
  <c r="AH30" i="6"/>
  <c r="AH29" i="6"/>
  <c r="AG29" i="6"/>
  <c r="AG28" i="6"/>
  <c r="AF28" i="6"/>
  <c r="AD28" i="6"/>
  <c r="AD27" i="6"/>
  <c r="AC27" i="6"/>
  <c r="AA26" i="6"/>
  <c r="Z26" i="6"/>
  <c r="Z24" i="6"/>
  <c r="AJ36" i="5"/>
  <c r="AI36" i="5"/>
  <c r="AH36" i="5"/>
  <c r="AG36" i="5"/>
  <c r="AL35" i="5"/>
  <c r="AK35" i="5"/>
  <c r="AJ35" i="5"/>
  <c r="AI35" i="5"/>
  <c r="AH35" i="5"/>
  <c r="AG35" i="5"/>
  <c r="AY34" i="5"/>
  <c r="AX34" i="5"/>
  <c r="AW34" i="5"/>
  <c r="AU34" i="5"/>
  <c r="AT34" i="5"/>
  <c r="AS34" i="5"/>
  <c r="AP34" i="5"/>
  <c r="AD34" i="5"/>
  <c r="AA34" i="5"/>
  <c r="AW33" i="5"/>
  <c r="AV33" i="5"/>
  <c r="AU33" i="5"/>
  <c r="AT33" i="5"/>
  <c r="AR33" i="5"/>
  <c r="AQ33" i="5"/>
  <c r="AA33" i="5"/>
  <c r="AT32" i="5"/>
  <c r="AQ31" i="5"/>
  <c r="AN31" i="5"/>
  <c r="AN30" i="5"/>
  <c r="AK30" i="5"/>
  <c r="AK29" i="5"/>
  <c r="AH28" i="5"/>
  <c r="AF28" i="5"/>
  <c r="AE28" i="5"/>
  <c r="AC28" i="5"/>
  <c r="AA28" i="5"/>
  <c r="AY27" i="5"/>
  <c r="AX27" i="5"/>
  <c r="AW27" i="5"/>
  <c r="AE27" i="5"/>
  <c r="AB27" i="5"/>
  <c r="AX26" i="5"/>
  <c r="AW26" i="5"/>
  <c r="AB26" i="5"/>
  <c r="AU25" i="5"/>
  <c r="AR25" i="5"/>
  <c r="AY6" i="5"/>
  <c r="AX6" i="5"/>
  <c r="AW6" i="5"/>
  <c r="AV6" i="5"/>
  <c r="AU6" i="5"/>
  <c r="AT6" i="5"/>
  <c r="AS6" i="5"/>
  <c r="AR6" i="5"/>
  <c r="AQ6" i="5"/>
  <c r="AP6" i="5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X68" i="5"/>
  <c r="W68" i="5"/>
  <c r="V68" i="5"/>
  <c r="U68" i="5"/>
  <c r="T68" i="5"/>
  <c r="S68" i="5"/>
  <c r="R68" i="5"/>
  <c r="Q68" i="5"/>
  <c r="P68" i="5"/>
  <c r="O68" i="5"/>
  <c r="N68" i="5"/>
  <c r="M68" i="5"/>
  <c r="X67" i="5"/>
  <c r="W67" i="5"/>
  <c r="V67" i="5"/>
  <c r="U67" i="5"/>
  <c r="T67" i="5"/>
  <c r="S67" i="5"/>
  <c r="R67" i="5"/>
  <c r="Q67" i="5"/>
  <c r="P67" i="5"/>
  <c r="O67" i="5"/>
  <c r="N67" i="5"/>
  <c r="M67" i="5"/>
  <c r="X66" i="5"/>
  <c r="W66" i="5"/>
  <c r="V66" i="5"/>
  <c r="U66" i="5"/>
  <c r="T66" i="5"/>
  <c r="S66" i="5"/>
  <c r="R66" i="5"/>
  <c r="Q66" i="5"/>
  <c r="P66" i="5"/>
  <c r="O66" i="5"/>
  <c r="N66" i="5"/>
  <c r="M66" i="5"/>
  <c r="X65" i="5"/>
  <c r="W65" i="5"/>
  <c r="V65" i="5"/>
  <c r="U65" i="5"/>
  <c r="T65" i="5"/>
  <c r="S65" i="5"/>
  <c r="R65" i="5"/>
  <c r="Q65" i="5"/>
  <c r="P65" i="5"/>
  <c r="O65" i="5"/>
  <c r="N65" i="5"/>
  <c r="M65" i="5"/>
  <c r="X64" i="5"/>
  <c r="W64" i="5"/>
  <c r="V64" i="5"/>
  <c r="U64" i="5"/>
  <c r="T64" i="5"/>
  <c r="S64" i="5"/>
  <c r="R64" i="5"/>
  <c r="Q64" i="5"/>
  <c r="P64" i="5"/>
  <c r="O64" i="5"/>
  <c r="N64" i="5"/>
  <c r="M64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BP52" i="5"/>
  <c r="BO52" i="5"/>
  <c r="BN52" i="5"/>
  <c r="BM52" i="5"/>
  <c r="BP51" i="5"/>
  <c r="BO51" i="5"/>
  <c r="BN51" i="5"/>
  <c r="BM51" i="5"/>
  <c r="BP50" i="5"/>
  <c r="BO50" i="5"/>
  <c r="BN50" i="5"/>
  <c r="BM50" i="5"/>
  <c r="BP49" i="5"/>
  <c r="BO49" i="5"/>
  <c r="BN49" i="5"/>
  <c r="BM49" i="5"/>
  <c r="BP48" i="5"/>
  <c r="BO48" i="5"/>
  <c r="BN48" i="5"/>
  <c r="BM48" i="5"/>
  <c r="BP47" i="5"/>
  <c r="BO47" i="5"/>
  <c r="BN47" i="5"/>
  <c r="BM47" i="5"/>
  <c r="BP46" i="5"/>
  <c r="BO46" i="5"/>
  <c r="BN46" i="5"/>
  <c r="BM46" i="5"/>
  <c r="BP45" i="5"/>
  <c r="BO45" i="5"/>
  <c r="BN45" i="5"/>
  <c r="BM45" i="5"/>
  <c r="BP44" i="5"/>
  <c r="BO44" i="5"/>
  <c r="BN44" i="5"/>
  <c r="BM44" i="5"/>
  <c r="BP43" i="5"/>
  <c r="BO43" i="5"/>
  <c r="BN43" i="5"/>
  <c r="BM43" i="5"/>
  <c r="BP42" i="5"/>
  <c r="BO42" i="5"/>
  <c r="BN42" i="5"/>
  <c r="BM42" i="5"/>
  <c r="BP41" i="5"/>
  <c r="BO41" i="5"/>
  <c r="BN41" i="5"/>
  <c r="BM41" i="5"/>
  <c r="AA24" i="6" l="1"/>
  <c r="AB24" i="6"/>
  <c r="AC32" i="6"/>
  <c r="AD32" i="6"/>
  <c r="Y33" i="6"/>
  <c r="AA34" i="6"/>
  <c r="AB34" i="6"/>
  <c r="AA35" i="6"/>
  <c r="Y28" i="6"/>
  <c r="Z28" i="6"/>
  <c r="AA28" i="6"/>
  <c r="AB28" i="6"/>
  <c r="AC28" i="6"/>
  <c r="AE28" i="6"/>
  <c r="AG27" i="6"/>
  <c r="AB25" i="6"/>
  <c r="AC33" i="6"/>
  <c r="AE27" i="6"/>
  <c r="AF33" i="6"/>
  <c r="Z25" i="6"/>
  <c r="AG33" i="6"/>
  <c r="AE33" i="6"/>
  <c r="AB26" i="6"/>
  <c r="AF27" i="6"/>
  <c r="AG35" i="6"/>
  <c r="AC26" i="6"/>
  <c r="AD26" i="6"/>
  <c r="AD34" i="6"/>
  <c r="AH35" i="6"/>
  <c r="AH27" i="6"/>
  <c r="AA25" i="6"/>
  <c r="AB33" i="6"/>
  <c r="AD33" i="6"/>
  <c r="AE26" i="6"/>
  <c r="AF26" i="6"/>
  <c r="AF34" i="6"/>
  <c r="AG34" i="6"/>
  <c r="AC25" i="6"/>
  <c r="Y31" i="6"/>
  <c r="Y32" i="6"/>
  <c r="AH34" i="6"/>
  <c r="AA33" i="6"/>
  <c r="AE34" i="6"/>
  <c r="Z32" i="6"/>
  <c r="AF30" i="6"/>
  <c r="AH32" i="6"/>
  <c r="Z35" i="6"/>
  <c r="AA30" i="6"/>
  <c r="AG25" i="6"/>
  <c r="Z30" i="6"/>
  <c r="AB30" i="6"/>
  <c r="AE32" i="6"/>
  <c r="AH28" i="6"/>
  <c r="AD35" i="6"/>
  <c r="AG30" i="6"/>
  <c r="AC31" i="6"/>
  <c r="AE30" i="6"/>
  <c r="AC24" i="6"/>
  <c r="AD24" i="6"/>
  <c r="AG24" i="6"/>
  <c r="K13" i="5"/>
  <c r="L13" i="5"/>
  <c r="M13" i="5"/>
  <c r="N13" i="5"/>
  <c r="O13" i="5"/>
  <c r="P13" i="5"/>
  <c r="Q13" i="5"/>
  <c r="R13" i="5"/>
  <c r="S13" i="5"/>
  <c r="T13" i="5"/>
  <c r="G13" i="5"/>
  <c r="H13" i="5"/>
  <c r="I13" i="5"/>
  <c r="J13" i="5"/>
  <c r="X12" i="6"/>
  <c r="L12" i="6"/>
  <c r="M12" i="6"/>
  <c r="N12" i="6"/>
  <c r="O12" i="6"/>
  <c r="P12" i="6"/>
  <c r="Q12" i="6"/>
  <c r="R12" i="6"/>
  <c r="S12" i="6"/>
  <c r="T12" i="6"/>
  <c r="U12" i="6"/>
  <c r="V12" i="6"/>
  <c r="W12" i="6"/>
  <c r="C169" i="9" l="1"/>
  <c r="C168" i="9"/>
  <c r="C167" i="9"/>
  <c r="C166" i="9"/>
  <c r="C165" i="9"/>
  <c r="C164" i="9"/>
  <c r="C163" i="9"/>
  <c r="C162" i="9"/>
  <c r="C161" i="9"/>
  <c r="C160" i="9"/>
  <c r="I160" i="9" s="1"/>
  <c r="L160" i="9" s="1"/>
  <c r="C159" i="9"/>
  <c r="C158" i="9"/>
  <c r="C157" i="9"/>
  <c r="C156" i="9"/>
  <c r="C155" i="9"/>
  <c r="I155" i="9" s="1"/>
  <c r="L155" i="9" s="1"/>
  <c r="C154" i="9"/>
  <c r="I154" i="9" s="1"/>
  <c r="L154" i="9" s="1"/>
  <c r="C153" i="9"/>
  <c r="C152" i="9"/>
  <c r="I152" i="9" s="1"/>
  <c r="L152" i="9" s="1"/>
  <c r="C151" i="9"/>
  <c r="C150" i="9"/>
  <c r="I150" i="9" s="1"/>
  <c r="L150" i="9" s="1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I130" i="9" s="1"/>
  <c r="L130" i="9" s="1"/>
  <c r="C129" i="9"/>
  <c r="C128" i="9"/>
  <c r="I128" i="9" s="1"/>
  <c r="L128" i="9" s="1"/>
  <c r="C127" i="9"/>
  <c r="C126" i="9"/>
  <c r="I126" i="9" s="1"/>
  <c r="L126" i="9" s="1"/>
  <c r="C125" i="9"/>
  <c r="C124" i="9"/>
  <c r="C123" i="9"/>
  <c r="C122" i="9"/>
  <c r="C121" i="9"/>
  <c r="C120" i="9"/>
  <c r="C119" i="9"/>
  <c r="C118" i="9"/>
  <c r="C117" i="9"/>
  <c r="C116" i="9"/>
  <c r="C115" i="9"/>
  <c r="C114" i="9"/>
  <c r="I114" i="9" s="1"/>
  <c r="L114" i="9" s="1"/>
  <c r="C113" i="9"/>
  <c r="C112" i="9"/>
  <c r="C111" i="9"/>
  <c r="I111" i="9" s="1"/>
  <c r="L111" i="9" s="1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I91" i="9" s="1"/>
  <c r="L91" i="9" s="1"/>
  <c r="C90" i="9"/>
  <c r="I90" i="9" s="1"/>
  <c r="L90" i="9" s="1"/>
  <c r="C89" i="9"/>
  <c r="C88" i="9"/>
  <c r="D88" i="9" s="1"/>
  <c r="C87" i="9"/>
  <c r="D87" i="9" s="1"/>
  <c r="C86" i="9"/>
  <c r="D86" i="9" s="1"/>
  <c r="C85" i="9"/>
  <c r="O85" i="9" s="1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I68" i="9" s="1"/>
  <c r="L68" i="9" s="1"/>
  <c r="C67" i="9"/>
  <c r="C66" i="9"/>
  <c r="I66" i="9" s="1"/>
  <c r="L66" i="9" s="1"/>
  <c r="C65" i="9"/>
  <c r="C64" i="9"/>
  <c r="C63" i="9"/>
  <c r="C62" i="9"/>
  <c r="I62" i="9" s="1"/>
  <c r="L62" i="9" s="1"/>
  <c r="C61" i="9"/>
  <c r="C60" i="9"/>
  <c r="I60" i="9" s="1"/>
  <c r="L60" i="9" s="1"/>
  <c r="C59" i="9"/>
  <c r="C58" i="9"/>
  <c r="C57" i="9"/>
  <c r="C56" i="9"/>
  <c r="C55" i="9"/>
  <c r="C54" i="9"/>
  <c r="C53" i="9"/>
  <c r="C52" i="9"/>
  <c r="C51" i="9"/>
  <c r="C50" i="9"/>
  <c r="C49" i="9"/>
  <c r="C48" i="9"/>
  <c r="I48" i="9" s="1"/>
  <c r="L48" i="9" s="1"/>
  <c r="C47" i="9"/>
  <c r="I47" i="9" s="1"/>
  <c r="L47" i="9" s="1"/>
  <c r="C46" i="9"/>
  <c r="C45" i="9"/>
  <c r="C44" i="9"/>
  <c r="C43" i="9"/>
  <c r="I43" i="9" s="1"/>
  <c r="L43" i="9" s="1"/>
  <c r="C42" i="9"/>
  <c r="I42" i="9" s="1"/>
  <c r="L42" i="9" s="1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D21" i="9" s="1"/>
  <c r="C20" i="9"/>
  <c r="I20" i="9" s="1"/>
  <c r="L20" i="9" s="1"/>
  <c r="C19" i="9"/>
  <c r="C18" i="9"/>
  <c r="I18" i="9" s="1"/>
  <c r="L18" i="9" s="1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D4" i="9" s="1"/>
  <c r="J4" i="9" s="1"/>
  <c r="M4" i="9" s="1"/>
  <c r="C3" i="9"/>
  <c r="C2" i="9"/>
  <c r="AH131" i="6"/>
  <c r="AG131" i="6"/>
  <c r="AG147" i="6" s="1"/>
  <c r="AF131" i="6"/>
  <c r="AF147" i="6" s="1"/>
  <c r="AE131" i="6"/>
  <c r="AD131" i="6"/>
  <c r="AD147" i="6" s="1"/>
  <c r="AC131" i="6"/>
  <c r="AB131" i="6"/>
  <c r="AB147" i="6" s="1"/>
  <c r="AA131" i="6"/>
  <c r="AA132" i="6" s="1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N147" i="6" s="1"/>
  <c r="M131" i="6"/>
  <c r="L131" i="6"/>
  <c r="L147" i="6" s="1"/>
  <c r="AH130" i="6"/>
  <c r="AH146" i="6" s="1"/>
  <c r="AG130" i="6"/>
  <c r="AG146" i="6" s="1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R146" i="6" s="1"/>
  <c r="Q130" i="6"/>
  <c r="P130" i="6"/>
  <c r="O130" i="6"/>
  <c r="N130" i="6"/>
  <c r="M130" i="6"/>
  <c r="L130" i="6"/>
  <c r="AH129" i="6"/>
  <c r="AH145" i="6" s="1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T129" i="6"/>
  <c r="S129" i="6"/>
  <c r="S145" i="6" s="1"/>
  <c r="R129" i="6"/>
  <c r="Q129" i="6"/>
  <c r="P129" i="6"/>
  <c r="P145" i="6" s="1"/>
  <c r="O129" i="6"/>
  <c r="N129" i="6"/>
  <c r="M129" i="6"/>
  <c r="M145" i="6" s="1"/>
  <c r="L129" i="6"/>
  <c r="L145" i="6" s="1"/>
  <c r="AH128" i="6"/>
  <c r="AG128" i="6"/>
  <c r="AF128" i="6"/>
  <c r="AE128" i="6"/>
  <c r="AE144" i="6" s="1"/>
  <c r="AD128" i="6"/>
  <c r="AC128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P144" i="6" s="1"/>
  <c r="O128" i="6"/>
  <c r="N128" i="6"/>
  <c r="N144" i="6" s="1"/>
  <c r="M128" i="6"/>
  <c r="L128" i="6"/>
  <c r="AH127" i="6"/>
  <c r="AG127" i="6"/>
  <c r="AF127" i="6"/>
  <c r="AE127" i="6"/>
  <c r="AD127" i="6"/>
  <c r="AC127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O143" i="6" s="1"/>
  <c r="N127" i="6"/>
  <c r="M127" i="6"/>
  <c r="AH126" i="6"/>
  <c r="AG126" i="6"/>
  <c r="AF126" i="6"/>
  <c r="AE126" i="6"/>
  <c r="AD126" i="6"/>
  <c r="AC126" i="6"/>
  <c r="AB126" i="6"/>
  <c r="AA126" i="6"/>
  <c r="Z126" i="6"/>
  <c r="Y126" i="6"/>
  <c r="X126" i="6"/>
  <c r="W126" i="6"/>
  <c r="V126" i="6"/>
  <c r="U126" i="6"/>
  <c r="T126" i="6"/>
  <c r="S126" i="6"/>
  <c r="R126" i="6"/>
  <c r="R142" i="6" s="1"/>
  <c r="Q126" i="6"/>
  <c r="P126" i="6"/>
  <c r="P142" i="6" s="1"/>
  <c r="O126" i="6"/>
  <c r="N126" i="6"/>
  <c r="N142" i="6" s="1"/>
  <c r="M126" i="6"/>
  <c r="AH125" i="6"/>
  <c r="AG125" i="6"/>
  <c r="AF125" i="6"/>
  <c r="AE125" i="6"/>
  <c r="AD125" i="6"/>
  <c r="AC125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AH124" i="6"/>
  <c r="AG124" i="6"/>
  <c r="AF124" i="6"/>
  <c r="AE124" i="6"/>
  <c r="AD124" i="6"/>
  <c r="AC124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AH123" i="6"/>
  <c r="AG123" i="6"/>
  <c r="AF123" i="6"/>
  <c r="AE123" i="6"/>
  <c r="AD123" i="6"/>
  <c r="AC123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Q139" i="6" s="1"/>
  <c r="P123" i="6"/>
  <c r="P139" i="6" s="1"/>
  <c r="O123" i="6"/>
  <c r="O139" i="6" s="1"/>
  <c r="N123" i="6"/>
  <c r="M123" i="6"/>
  <c r="AH122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T122" i="6"/>
  <c r="S122" i="6"/>
  <c r="S138" i="6" s="1"/>
  <c r="R122" i="6"/>
  <c r="R138" i="6" s="1"/>
  <c r="Q122" i="6"/>
  <c r="P122" i="6"/>
  <c r="P138" i="6" s="1"/>
  <c r="O122" i="6"/>
  <c r="N122" i="6"/>
  <c r="N138" i="6" s="1"/>
  <c r="M122" i="6"/>
  <c r="AH121" i="6"/>
  <c r="AH137" i="6" s="1"/>
  <c r="AG121" i="6"/>
  <c r="AF121" i="6"/>
  <c r="AE121" i="6"/>
  <c r="AD121" i="6"/>
  <c r="AC121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AH120" i="6"/>
  <c r="AH136" i="6" s="1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N132" i="6" s="1"/>
  <c r="M120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AH113" i="6"/>
  <c r="AG113" i="6"/>
  <c r="AF113" i="6"/>
  <c r="AE113" i="6"/>
  <c r="AD113" i="6"/>
  <c r="AC113" i="6"/>
  <c r="AB113" i="6"/>
  <c r="AA113" i="6"/>
  <c r="Z113" i="6"/>
  <c r="Y113" i="6"/>
  <c r="X113" i="6"/>
  <c r="W113" i="6"/>
  <c r="V113" i="6"/>
  <c r="U113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V115" i="5"/>
  <c r="U115" i="5"/>
  <c r="V114" i="5"/>
  <c r="U114" i="5"/>
  <c r="V113" i="5"/>
  <c r="U113" i="5"/>
  <c r="V112" i="5"/>
  <c r="U112" i="5"/>
  <c r="V111" i="5"/>
  <c r="U111" i="5"/>
  <c r="V110" i="5"/>
  <c r="U110" i="5"/>
  <c r="V109" i="5"/>
  <c r="U109" i="5"/>
  <c r="V108" i="5"/>
  <c r="U108" i="5"/>
  <c r="V107" i="5"/>
  <c r="U107" i="5"/>
  <c r="V106" i="5"/>
  <c r="U106" i="5"/>
  <c r="V105" i="5"/>
  <c r="U105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AY108" i="5"/>
  <c r="AX108" i="5"/>
  <c r="AX116" i="5" s="1"/>
  <c r="AX15" i="5" s="1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Y116" i="5" s="1"/>
  <c r="Y15" i="5" s="1"/>
  <c r="X106" i="5"/>
  <c r="X116" i="5" s="1"/>
  <c r="X15" i="5" s="1"/>
  <c r="W106" i="5"/>
  <c r="AY105" i="5"/>
  <c r="AY116" i="5" s="1"/>
  <c r="AY15" i="5" s="1"/>
  <c r="AX105" i="5"/>
  <c r="AW105" i="5"/>
  <c r="AV105" i="5"/>
  <c r="AV116" i="5" s="1"/>
  <c r="AV15" i="5" s="1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AY104" i="5"/>
  <c r="AX104" i="5"/>
  <c r="AW104" i="5"/>
  <c r="AV104" i="5"/>
  <c r="AU104" i="5"/>
  <c r="AT104" i="5"/>
  <c r="AS104" i="5"/>
  <c r="AR104" i="5"/>
  <c r="AR116" i="5" s="1"/>
  <c r="AR15" i="5" s="1"/>
  <c r="AQ104" i="5"/>
  <c r="AP104" i="5"/>
  <c r="AO104" i="5"/>
  <c r="AN104" i="5"/>
  <c r="AN116" i="5" s="1"/>
  <c r="AN15" i="5" s="1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R118" i="7" s="1"/>
  <c r="C531" i="11"/>
  <c r="C530" i="11"/>
  <c r="C529" i="11"/>
  <c r="C528" i="11"/>
  <c r="Q126" i="8" s="1"/>
  <c r="C527" i="11"/>
  <c r="Q125" i="8" s="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P124" i="8" s="1"/>
  <c r="C513" i="11"/>
  <c r="P123" i="8" s="1"/>
  <c r="C512" i="11"/>
  <c r="P122" i="8" s="1"/>
  <c r="C511" i="11"/>
  <c r="C510" i="11"/>
  <c r="C509" i="11"/>
  <c r="C508" i="11"/>
  <c r="C507" i="11"/>
  <c r="C506" i="11"/>
  <c r="O128" i="8" s="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N122" i="8" s="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G149" i="11"/>
  <c r="G148" i="11"/>
  <c r="G147" i="11"/>
  <c r="G146" i="11"/>
  <c r="G145" i="11"/>
  <c r="G144" i="11"/>
  <c r="G143" i="11"/>
  <c r="G142" i="11"/>
  <c r="G141" i="11"/>
  <c r="G140" i="11"/>
  <c r="H139" i="11"/>
  <c r="G139" i="11"/>
  <c r="L139" i="11" s="1"/>
  <c r="H138" i="11"/>
  <c r="G138" i="11"/>
  <c r="L138" i="11" s="1"/>
  <c r="L137" i="11"/>
  <c r="H137" i="11"/>
  <c r="G137" i="11"/>
  <c r="H136" i="11"/>
  <c r="G136" i="11"/>
  <c r="L136" i="11" s="1"/>
  <c r="H135" i="11"/>
  <c r="G135" i="11"/>
  <c r="L135" i="11" s="1"/>
  <c r="H134" i="11"/>
  <c r="G134" i="11"/>
  <c r="L134" i="11" s="1"/>
  <c r="H133" i="11"/>
  <c r="G133" i="11"/>
  <c r="L133" i="11" s="1"/>
  <c r="H132" i="11"/>
  <c r="L132" i="11" s="1"/>
  <c r="G132" i="11"/>
  <c r="H131" i="11"/>
  <c r="G131" i="11"/>
  <c r="L131" i="11" s="1"/>
  <c r="H130" i="11"/>
  <c r="G130" i="11"/>
  <c r="L130" i="11" s="1"/>
  <c r="H129" i="11"/>
  <c r="G129" i="11"/>
  <c r="L129" i="11" s="1"/>
  <c r="H128" i="11"/>
  <c r="G128" i="11"/>
  <c r="L128" i="11" s="1"/>
  <c r="H127" i="11"/>
  <c r="G127" i="11"/>
  <c r="L127" i="11" s="1"/>
  <c r="H126" i="11"/>
  <c r="G126" i="11"/>
  <c r="H125" i="11"/>
  <c r="G125" i="11"/>
  <c r="L125" i="11" s="1"/>
  <c r="H124" i="11"/>
  <c r="G124" i="11"/>
  <c r="L124" i="11" s="1"/>
  <c r="H123" i="11"/>
  <c r="L123" i="11" s="1"/>
  <c r="G123" i="11"/>
  <c r="L122" i="11"/>
  <c r="H122" i="11"/>
  <c r="G122" i="11"/>
  <c r="H121" i="11"/>
  <c r="G121" i="11"/>
  <c r="L121" i="11" s="1"/>
  <c r="H120" i="11"/>
  <c r="L120" i="11" s="1"/>
  <c r="G120" i="11"/>
  <c r="H119" i="11"/>
  <c r="G119" i="11"/>
  <c r="L119" i="11" s="1"/>
  <c r="H118" i="11"/>
  <c r="G118" i="11"/>
  <c r="L118" i="11" s="1"/>
  <c r="H117" i="11"/>
  <c r="G117" i="11"/>
  <c r="L117" i="11" s="1"/>
  <c r="H116" i="11"/>
  <c r="G116" i="11"/>
  <c r="L116" i="11" s="1"/>
  <c r="L115" i="11"/>
  <c r="H115" i="11"/>
  <c r="G115" i="11"/>
  <c r="H114" i="11"/>
  <c r="G114" i="11"/>
  <c r="L114" i="11" s="1"/>
  <c r="L113" i="11"/>
  <c r="H113" i="11"/>
  <c r="G113" i="11"/>
  <c r="H112" i="11"/>
  <c r="G112" i="11"/>
  <c r="H111" i="11"/>
  <c r="G111" i="11"/>
  <c r="L111" i="11" s="1"/>
  <c r="L110" i="11"/>
  <c r="H110" i="11"/>
  <c r="G110" i="11"/>
  <c r="L109" i="11"/>
  <c r="H109" i="11"/>
  <c r="G109" i="11"/>
  <c r="H108" i="11"/>
  <c r="G108" i="11"/>
  <c r="L108" i="11" s="1"/>
  <c r="H107" i="11"/>
  <c r="G107" i="11"/>
  <c r="L107" i="11" s="1"/>
  <c r="H106" i="11"/>
  <c r="G106" i="11"/>
  <c r="L105" i="11"/>
  <c r="H105" i="11"/>
  <c r="G105" i="11"/>
  <c r="H104" i="11"/>
  <c r="G104" i="11"/>
  <c r="L104" i="11" s="1"/>
  <c r="H103" i="11"/>
  <c r="G103" i="11"/>
  <c r="L103" i="11" s="1"/>
  <c r="H102" i="11"/>
  <c r="G102" i="11"/>
  <c r="L102" i="11" s="1"/>
  <c r="H101" i="11"/>
  <c r="G101" i="11"/>
  <c r="L101" i="11" s="1"/>
  <c r="L100" i="11"/>
  <c r="H100" i="11"/>
  <c r="G100" i="11"/>
  <c r="H99" i="11"/>
  <c r="G99" i="11"/>
  <c r="L99" i="11" s="1"/>
  <c r="H98" i="11"/>
  <c r="L98" i="11" s="1"/>
  <c r="G98" i="11"/>
  <c r="L97" i="11"/>
  <c r="H97" i="11"/>
  <c r="G97" i="11"/>
  <c r="L96" i="11"/>
  <c r="H96" i="11"/>
  <c r="G96" i="11"/>
  <c r="H95" i="11"/>
  <c r="G95" i="11"/>
  <c r="L95" i="11" s="1"/>
  <c r="H94" i="11"/>
  <c r="G94" i="11"/>
  <c r="L94" i="11" s="1"/>
  <c r="H93" i="11"/>
  <c r="L93" i="11" s="1"/>
  <c r="G93" i="11"/>
  <c r="H92" i="11"/>
  <c r="G92" i="11"/>
  <c r="L92" i="11" s="1"/>
  <c r="H91" i="11"/>
  <c r="G91" i="11"/>
  <c r="L91" i="11" s="1"/>
  <c r="H90" i="11"/>
  <c r="G90" i="11"/>
  <c r="L89" i="11"/>
  <c r="H89" i="11"/>
  <c r="G89" i="11"/>
  <c r="L88" i="11"/>
  <c r="H88" i="11"/>
  <c r="G88" i="11"/>
  <c r="H87" i="11"/>
  <c r="G87" i="11"/>
  <c r="H86" i="11"/>
  <c r="L86" i="11" s="1"/>
  <c r="G86" i="11"/>
  <c r="H85" i="11"/>
  <c r="G85" i="11"/>
  <c r="L85" i="11" s="1"/>
  <c r="H84" i="11"/>
  <c r="G84" i="11"/>
  <c r="L84" i="11" s="1"/>
  <c r="H83" i="11"/>
  <c r="G83" i="11"/>
  <c r="L83" i="11" s="1"/>
  <c r="H82" i="11"/>
  <c r="G82" i="11"/>
  <c r="L82" i="11" s="1"/>
  <c r="L81" i="11"/>
  <c r="H81" i="11"/>
  <c r="G81" i="11"/>
  <c r="L80" i="11"/>
  <c r="H80" i="11"/>
  <c r="G80" i="11"/>
  <c r="H79" i="11"/>
  <c r="G79" i="11"/>
  <c r="L79" i="11" s="1"/>
  <c r="L78" i="11"/>
  <c r="H78" i="11"/>
  <c r="G78" i="11"/>
  <c r="H77" i="11"/>
  <c r="G77" i="11"/>
  <c r="L77" i="11" s="1"/>
  <c r="H76" i="11"/>
  <c r="L76" i="11" s="1"/>
  <c r="G76" i="11"/>
  <c r="H75" i="11"/>
  <c r="G75" i="11"/>
  <c r="L75" i="11" s="1"/>
  <c r="L74" i="11"/>
  <c r="H74" i="11"/>
  <c r="G74" i="11"/>
  <c r="H73" i="11"/>
  <c r="G73" i="11"/>
  <c r="L73" i="11" s="1"/>
  <c r="H72" i="11"/>
  <c r="G72" i="11"/>
  <c r="L72" i="11" s="1"/>
  <c r="H71" i="11"/>
  <c r="L71" i="11" s="1"/>
  <c r="G71" i="11"/>
  <c r="H70" i="11"/>
  <c r="G70" i="11"/>
  <c r="L70" i="11" s="1"/>
  <c r="L69" i="11"/>
  <c r="H69" i="11"/>
  <c r="G69" i="11"/>
  <c r="H68" i="11"/>
  <c r="G68" i="11"/>
  <c r="H67" i="11"/>
  <c r="G67" i="11"/>
  <c r="L67" i="11" s="1"/>
  <c r="H66" i="11"/>
  <c r="G66" i="11"/>
  <c r="H65" i="11"/>
  <c r="G65" i="11"/>
  <c r="L65" i="11" s="1"/>
  <c r="H64" i="11"/>
  <c r="G64" i="11"/>
  <c r="L64" i="11" s="1"/>
  <c r="H63" i="11"/>
  <c r="G63" i="11"/>
  <c r="L63" i="11" s="1"/>
  <c r="H62" i="11"/>
  <c r="G62" i="11"/>
  <c r="H61" i="11"/>
  <c r="G61" i="11"/>
  <c r="L61" i="11" s="1"/>
  <c r="H60" i="11"/>
  <c r="L60" i="11" s="1"/>
  <c r="G60" i="11"/>
  <c r="L59" i="11"/>
  <c r="H59" i="11"/>
  <c r="G59" i="11"/>
  <c r="L58" i="11"/>
  <c r="H58" i="11"/>
  <c r="G58" i="11"/>
  <c r="H57" i="11"/>
  <c r="G57" i="11"/>
  <c r="L57" i="11" s="1"/>
  <c r="L56" i="11"/>
  <c r="H56" i="11"/>
  <c r="G56" i="11"/>
  <c r="H55" i="11"/>
  <c r="G55" i="11"/>
  <c r="L55" i="11" s="1"/>
  <c r="H54" i="11"/>
  <c r="L54" i="11" s="1"/>
  <c r="G54" i="11"/>
  <c r="H53" i="11"/>
  <c r="G53" i="11"/>
  <c r="L53" i="11" s="1"/>
  <c r="H52" i="11"/>
  <c r="L52" i="11" s="1"/>
  <c r="G52" i="11"/>
  <c r="L51" i="11"/>
  <c r="H51" i="11"/>
  <c r="G51" i="11"/>
  <c r="L50" i="11"/>
  <c r="H50" i="11"/>
  <c r="G50" i="11"/>
  <c r="H49" i="11"/>
  <c r="L49" i="11" s="1"/>
  <c r="G49" i="11"/>
  <c r="H48" i="11"/>
  <c r="G48" i="11"/>
  <c r="L48" i="11" s="1"/>
  <c r="H47" i="11"/>
  <c r="G47" i="11"/>
  <c r="L47" i="11" s="1"/>
  <c r="H46" i="11"/>
  <c r="G46" i="11"/>
  <c r="L46" i="11" s="1"/>
  <c r="H45" i="11"/>
  <c r="G45" i="11"/>
  <c r="L45" i="11" s="1"/>
  <c r="H44" i="11"/>
  <c r="G44" i="11"/>
  <c r="L44" i="11" s="1"/>
  <c r="H43" i="11"/>
  <c r="G43" i="11"/>
  <c r="H42" i="11"/>
  <c r="L42" i="11" s="1"/>
  <c r="G42" i="11"/>
  <c r="H41" i="11"/>
  <c r="G41" i="11"/>
  <c r="L41" i="11" s="1"/>
  <c r="H40" i="11"/>
  <c r="G40" i="11"/>
  <c r="L40" i="11" s="1"/>
  <c r="H39" i="11"/>
  <c r="G39" i="11"/>
  <c r="L39" i="11" s="1"/>
  <c r="L38" i="11"/>
  <c r="H38" i="11"/>
  <c r="G38" i="11"/>
  <c r="L37" i="11"/>
  <c r="H37" i="11"/>
  <c r="G37" i="11"/>
  <c r="H36" i="11"/>
  <c r="G36" i="11"/>
  <c r="L36" i="11" s="1"/>
  <c r="H35" i="11"/>
  <c r="G35" i="11"/>
  <c r="L35" i="11" s="1"/>
  <c r="L34" i="11"/>
  <c r="H34" i="11"/>
  <c r="G34" i="11"/>
  <c r="H33" i="11"/>
  <c r="G33" i="11"/>
  <c r="L33" i="11" s="1"/>
  <c r="H32" i="11"/>
  <c r="L32" i="11" s="1"/>
  <c r="G32" i="11"/>
  <c r="H31" i="11"/>
  <c r="G31" i="11"/>
  <c r="L31" i="11" s="1"/>
  <c r="L30" i="11"/>
  <c r="H30" i="11"/>
  <c r="G30" i="11"/>
  <c r="L29" i="11"/>
  <c r="H29" i="11"/>
  <c r="G29" i="11"/>
  <c r="H28" i="11"/>
  <c r="G28" i="11"/>
  <c r="L28" i="11" s="1"/>
  <c r="L27" i="11"/>
  <c r="H27" i="11"/>
  <c r="G27" i="11"/>
  <c r="H26" i="11"/>
  <c r="G26" i="11"/>
  <c r="L26" i="11" s="1"/>
  <c r="H25" i="11"/>
  <c r="G25" i="11"/>
  <c r="H24" i="11"/>
  <c r="G24" i="11"/>
  <c r="L24" i="11" s="1"/>
  <c r="H23" i="11"/>
  <c r="G23" i="11"/>
  <c r="L23" i="11" s="1"/>
  <c r="L22" i="11"/>
  <c r="H22" i="11"/>
  <c r="G22" i="11"/>
  <c r="H21" i="11"/>
  <c r="G21" i="11"/>
  <c r="L21" i="11" s="1"/>
  <c r="H20" i="11"/>
  <c r="G20" i="11"/>
  <c r="L20" i="11" s="1"/>
  <c r="H19" i="11"/>
  <c r="G19" i="11"/>
  <c r="L19" i="11" s="1"/>
  <c r="H18" i="11"/>
  <c r="G18" i="11"/>
  <c r="L18" i="11" s="1"/>
  <c r="H17" i="11"/>
  <c r="G17" i="11"/>
  <c r="L17" i="11" s="1"/>
  <c r="H16" i="11"/>
  <c r="G16" i="11"/>
  <c r="L16" i="11" s="1"/>
  <c r="H15" i="11"/>
  <c r="G15" i="11"/>
  <c r="L15" i="11" s="1"/>
  <c r="H14" i="11"/>
  <c r="G14" i="11"/>
  <c r="L14" i="11" s="1"/>
  <c r="L13" i="11"/>
  <c r="H13" i="11"/>
  <c r="G13" i="11"/>
  <c r="L12" i="11"/>
  <c r="H12" i="11"/>
  <c r="G12" i="11"/>
  <c r="H11" i="11"/>
  <c r="G11" i="11"/>
  <c r="L11" i="11" s="1"/>
  <c r="H10" i="11"/>
  <c r="L10" i="11" s="1"/>
  <c r="G10" i="11"/>
  <c r="H9" i="11"/>
  <c r="G9" i="11"/>
  <c r="H8" i="11"/>
  <c r="G8" i="11"/>
  <c r="L8" i="11" s="1"/>
  <c r="H7" i="11"/>
  <c r="G7" i="11"/>
  <c r="L7" i="11" s="1"/>
  <c r="L6" i="11"/>
  <c r="H6" i="11"/>
  <c r="G6" i="11"/>
  <c r="H5" i="11"/>
  <c r="L5" i="11" s="1"/>
  <c r="G5" i="11"/>
  <c r="H4" i="11"/>
  <c r="G4" i="11"/>
  <c r="L4" i="11" s="1"/>
  <c r="H3" i="11"/>
  <c r="G3" i="11"/>
  <c r="L3" i="11" s="1"/>
  <c r="D165" i="9"/>
  <c r="F164" i="9"/>
  <c r="E164" i="9"/>
  <c r="G164" i="9" s="1"/>
  <c r="I164" i="9"/>
  <c r="L164" i="9" s="1"/>
  <c r="F163" i="9"/>
  <c r="E163" i="9"/>
  <c r="F162" i="9"/>
  <c r="E162" i="9"/>
  <c r="D162" i="9"/>
  <c r="F161" i="9"/>
  <c r="E161" i="9"/>
  <c r="H161" i="9" s="1"/>
  <c r="K161" i="9" s="1"/>
  <c r="F160" i="9"/>
  <c r="E160" i="9"/>
  <c r="G160" i="9" s="1"/>
  <c r="H160" i="9"/>
  <c r="K160" i="9" s="1"/>
  <c r="F159" i="9"/>
  <c r="E159" i="9"/>
  <c r="F158" i="9"/>
  <c r="E158" i="9"/>
  <c r="D158" i="9"/>
  <c r="G157" i="9"/>
  <c r="F157" i="9"/>
  <c r="E157" i="9"/>
  <c r="F156" i="9"/>
  <c r="E156" i="9"/>
  <c r="D156" i="9"/>
  <c r="F155" i="9"/>
  <c r="E155" i="9"/>
  <c r="F154" i="9"/>
  <c r="E154" i="9"/>
  <c r="G154" i="9" s="1"/>
  <c r="H154" i="9"/>
  <c r="K154" i="9" s="1"/>
  <c r="F153" i="9"/>
  <c r="E153" i="9"/>
  <c r="F152" i="9"/>
  <c r="E152" i="9"/>
  <c r="G152" i="9" s="1"/>
  <c r="H152" i="9"/>
  <c r="K152" i="9" s="1"/>
  <c r="F151" i="9"/>
  <c r="E151" i="9"/>
  <c r="F150" i="9"/>
  <c r="E150" i="9"/>
  <c r="F149" i="9"/>
  <c r="E149" i="9"/>
  <c r="F148" i="9"/>
  <c r="E148" i="9"/>
  <c r="F147" i="9"/>
  <c r="E147" i="9"/>
  <c r="F146" i="9"/>
  <c r="E146" i="9"/>
  <c r="I146" i="9"/>
  <c r="L146" i="9" s="1"/>
  <c r="F145" i="9"/>
  <c r="E145" i="9"/>
  <c r="F144" i="9"/>
  <c r="E144" i="9"/>
  <c r="F143" i="9"/>
  <c r="E143" i="9"/>
  <c r="G143" i="9" s="1"/>
  <c r="H143" i="9"/>
  <c r="K143" i="9" s="1"/>
  <c r="F142" i="9"/>
  <c r="E142" i="9"/>
  <c r="G142" i="9" s="1"/>
  <c r="F141" i="9"/>
  <c r="E141" i="9"/>
  <c r="I140" i="9"/>
  <c r="L140" i="9" s="1"/>
  <c r="G140" i="9"/>
  <c r="F140" i="9"/>
  <c r="E140" i="9"/>
  <c r="H140" i="9"/>
  <c r="K140" i="9" s="1"/>
  <c r="F139" i="9"/>
  <c r="E139" i="9"/>
  <c r="F138" i="9"/>
  <c r="E138" i="9"/>
  <c r="I138" i="9"/>
  <c r="L138" i="9" s="1"/>
  <c r="F137" i="9"/>
  <c r="E137" i="9"/>
  <c r="G137" i="9" s="1"/>
  <c r="I137" i="9"/>
  <c r="L137" i="9" s="1"/>
  <c r="H137" i="9"/>
  <c r="K137" i="9" s="1"/>
  <c r="F136" i="9"/>
  <c r="E136" i="9"/>
  <c r="F135" i="9"/>
  <c r="E135" i="9"/>
  <c r="H135" i="9"/>
  <c r="K135" i="9" s="1"/>
  <c r="F134" i="9"/>
  <c r="E134" i="9"/>
  <c r="F133" i="9"/>
  <c r="E133" i="9"/>
  <c r="H133" i="9"/>
  <c r="K133" i="9" s="1"/>
  <c r="F132" i="9"/>
  <c r="I132" i="9" s="1"/>
  <c r="L132" i="9" s="1"/>
  <c r="E132" i="9"/>
  <c r="D132" i="9"/>
  <c r="I131" i="9"/>
  <c r="L131" i="9" s="1"/>
  <c r="F131" i="9"/>
  <c r="E131" i="9"/>
  <c r="H131" i="9"/>
  <c r="K131" i="9" s="1"/>
  <c r="F130" i="9"/>
  <c r="E130" i="9"/>
  <c r="H130" i="9"/>
  <c r="K130" i="9" s="1"/>
  <c r="F129" i="9"/>
  <c r="E129" i="9"/>
  <c r="G129" i="9" s="1"/>
  <c r="H129" i="9"/>
  <c r="K129" i="9" s="1"/>
  <c r="F128" i="9"/>
  <c r="E128" i="9"/>
  <c r="G128" i="9" s="1"/>
  <c r="H128" i="9"/>
  <c r="K128" i="9" s="1"/>
  <c r="F127" i="9"/>
  <c r="E127" i="9"/>
  <c r="H127" i="9" s="1"/>
  <c r="K127" i="9" s="1"/>
  <c r="F126" i="9"/>
  <c r="E126" i="9"/>
  <c r="F125" i="9"/>
  <c r="E125" i="9"/>
  <c r="G125" i="9" s="1"/>
  <c r="I125" i="9"/>
  <c r="L125" i="9" s="1"/>
  <c r="F124" i="9"/>
  <c r="E124" i="9"/>
  <c r="D124" i="9"/>
  <c r="F123" i="9"/>
  <c r="E123" i="9"/>
  <c r="F122" i="9"/>
  <c r="E122" i="9"/>
  <c r="G122" i="9" s="1"/>
  <c r="F121" i="9"/>
  <c r="E121" i="9"/>
  <c r="H121" i="9"/>
  <c r="K121" i="9" s="1"/>
  <c r="G120" i="9"/>
  <c r="F120" i="9"/>
  <c r="E120" i="9"/>
  <c r="D120" i="9"/>
  <c r="F119" i="9"/>
  <c r="E119" i="9"/>
  <c r="D119" i="9"/>
  <c r="F118" i="9"/>
  <c r="E118" i="9"/>
  <c r="H118" i="9" s="1"/>
  <c r="K118" i="9" s="1"/>
  <c r="F117" i="9"/>
  <c r="E117" i="9"/>
  <c r="I116" i="9"/>
  <c r="L116" i="9" s="1"/>
  <c r="F116" i="9"/>
  <c r="E116" i="9"/>
  <c r="G116" i="9" s="1"/>
  <c r="H116" i="9"/>
  <c r="K116" i="9" s="1"/>
  <c r="F115" i="9"/>
  <c r="E115" i="9"/>
  <c r="F114" i="9"/>
  <c r="E114" i="9"/>
  <c r="H114" i="9" s="1"/>
  <c r="K114" i="9" s="1"/>
  <c r="F113" i="9"/>
  <c r="E113" i="9"/>
  <c r="F112" i="9"/>
  <c r="E112" i="9"/>
  <c r="H111" i="9"/>
  <c r="K111" i="9" s="1"/>
  <c r="F111" i="9"/>
  <c r="E111" i="9"/>
  <c r="G111" i="9" s="1"/>
  <c r="D111" i="9"/>
  <c r="F110" i="9"/>
  <c r="E110" i="9"/>
  <c r="G110" i="9" s="1"/>
  <c r="G109" i="9"/>
  <c r="F109" i="9"/>
  <c r="E109" i="9"/>
  <c r="H109" i="9"/>
  <c r="K109" i="9" s="1"/>
  <c r="F108" i="9"/>
  <c r="E108" i="9"/>
  <c r="H108" i="9"/>
  <c r="K108" i="9" s="1"/>
  <c r="F107" i="9"/>
  <c r="E107" i="9"/>
  <c r="F106" i="9"/>
  <c r="E106" i="9"/>
  <c r="F105" i="9"/>
  <c r="E105" i="9"/>
  <c r="H105" i="9"/>
  <c r="K105" i="9" s="1"/>
  <c r="G104" i="9"/>
  <c r="F104" i="9"/>
  <c r="E104" i="9"/>
  <c r="H104" i="9"/>
  <c r="K104" i="9" s="1"/>
  <c r="F103" i="9"/>
  <c r="E103" i="9"/>
  <c r="F102" i="9"/>
  <c r="E102" i="9"/>
  <c r="I102" i="9"/>
  <c r="L102" i="9" s="1"/>
  <c r="F101" i="9"/>
  <c r="E101" i="9"/>
  <c r="G101" i="9" s="1"/>
  <c r="H101" i="9"/>
  <c r="K101" i="9" s="1"/>
  <c r="F100" i="9"/>
  <c r="E100" i="9"/>
  <c r="D100" i="9"/>
  <c r="F99" i="9"/>
  <c r="E99" i="9"/>
  <c r="G98" i="9"/>
  <c r="F98" i="9"/>
  <c r="E98" i="9"/>
  <c r="I98" i="9"/>
  <c r="L98" i="9" s="1"/>
  <c r="F97" i="9"/>
  <c r="E97" i="9"/>
  <c r="F96" i="9"/>
  <c r="E96" i="9"/>
  <c r="F95" i="9"/>
  <c r="E95" i="9"/>
  <c r="G94" i="9"/>
  <c r="F94" i="9"/>
  <c r="E94" i="9"/>
  <c r="F93" i="9"/>
  <c r="E93" i="9"/>
  <c r="G92" i="9"/>
  <c r="F92" i="9"/>
  <c r="E92" i="9"/>
  <c r="I92" i="9"/>
  <c r="L92" i="9" s="1"/>
  <c r="H92" i="9"/>
  <c r="K92" i="9" s="1"/>
  <c r="F91" i="9"/>
  <c r="E91" i="9"/>
  <c r="G91" i="9" s="1"/>
  <c r="H91" i="9"/>
  <c r="K91" i="9" s="1"/>
  <c r="F90" i="9"/>
  <c r="E90" i="9"/>
  <c r="G89" i="9"/>
  <c r="F89" i="9"/>
  <c r="E89" i="9"/>
  <c r="H89" i="9"/>
  <c r="K89" i="9" s="1"/>
  <c r="F88" i="9"/>
  <c r="E88" i="9"/>
  <c r="F87" i="9"/>
  <c r="E87" i="9"/>
  <c r="G86" i="9"/>
  <c r="F86" i="9"/>
  <c r="E86" i="9"/>
  <c r="F85" i="9"/>
  <c r="E85" i="9"/>
  <c r="F84" i="9"/>
  <c r="E84" i="9"/>
  <c r="F83" i="9"/>
  <c r="E83" i="9"/>
  <c r="G83" i="9" s="1"/>
  <c r="H83" i="9"/>
  <c r="K83" i="9" s="1"/>
  <c r="G82" i="9"/>
  <c r="F82" i="9"/>
  <c r="E82" i="9"/>
  <c r="H82" i="9"/>
  <c r="K82" i="9" s="1"/>
  <c r="G81" i="9"/>
  <c r="F81" i="9"/>
  <c r="E81" i="9"/>
  <c r="D81" i="9"/>
  <c r="J81" i="9" s="1"/>
  <c r="M81" i="9" s="1"/>
  <c r="I80" i="9"/>
  <c r="L80" i="9" s="1"/>
  <c r="G80" i="9"/>
  <c r="F80" i="9"/>
  <c r="E80" i="9"/>
  <c r="H80" i="9"/>
  <c r="K80" i="9" s="1"/>
  <c r="F79" i="9"/>
  <c r="E79" i="9"/>
  <c r="D79" i="9"/>
  <c r="F78" i="9"/>
  <c r="E78" i="9"/>
  <c r="F77" i="9"/>
  <c r="E77" i="9"/>
  <c r="G77" i="9" s="1"/>
  <c r="D77" i="9"/>
  <c r="F76" i="9"/>
  <c r="E76" i="9"/>
  <c r="F75" i="9"/>
  <c r="E75" i="9"/>
  <c r="D75" i="9"/>
  <c r="F74" i="9"/>
  <c r="E74" i="9"/>
  <c r="G73" i="9"/>
  <c r="F73" i="9"/>
  <c r="E73" i="9"/>
  <c r="G72" i="9"/>
  <c r="F72" i="9"/>
  <c r="E72" i="9"/>
  <c r="H72" i="9"/>
  <c r="K72" i="9" s="1"/>
  <c r="F71" i="9"/>
  <c r="E71" i="9"/>
  <c r="I71" i="9"/>
  <c r="L71" i="9" s="1"/>
  <c r="H71" i="9"/>
  <c r="K71" i="9" s="1"/>
  <c r="F70" i="9"/>
  <c r="E70" i="9"/>
  <c r="F69" i="9"/>
  <c r="E69" i="9"/>
  <c r="G68" i="9"/>
  <c r="F68" i="9"/>
  <c r="E68" i="9"/>
  <c r="H68" i="9"/>
  <c r="K68" i="9" s="1"/>
  <c r="G67" i="9"/>
  <c r="F67" i="9"/>
  <c r="E67" i="9"/>
  <c r="F66" i="9"/>
  <c r="E66" i="9"/>
  <c r="F65" i="9"/>
  <c r="E65" i="9"/>
  <c r="F64" i="9"/>
  <c r="E64" i="9"/>
  <c r="G63" i="9"/>
  <c r="F63" i="9"/>
  <c r="E63" i="9"/>
  <c r="F62" i="9"/>
  <c r="E62" i="9"/>
  <c r="Q61" i="9"/>
  <c r="F61" i="9"/>
  <c r="E61" i="9"/>
  <c r="H61" i="9"/>
  <c r="K61" i="9" s="1"/>
  <c r="F60" i="9"/>
  <c r="E60" i="9"/>
  <c r="F59" i="9"/>
  <c r="E59" i="9"/>
  <c r="I59" i="9"/>
  <c r="L59" i="9" s="1"/>
  <c r="F58" i="9"/>
  <c r="R61" i="9" s="1"/>
  <c r="E58" i="9"/>
  <c r="G57" i="9"/>
  <c r="F57" i="9"/>
  <c r="E57" i="9"/>
  <c r="I56" i="9"/>
  <c r="L56" i="9" s="1"/>
  <c r="G56" i="9"/>
  <c r="F56" i="9"/>
  <c r="E56" i="9"/>
  <c r="H56" i="9"/>
  <c r="K56" i="9" s="1"/>
  <c r="G55" i="9"/>
  <c r="F55" i="9"/>
  <c r="E55" i="9"/>
  <c r="F54" i="9"/>
  <c r="E54" i="9"/>
  <c r="I54" i="9"/>
  <c r="L54" i="9" s="1"/>
  <c r="F53" i="9"/>
  <c r="E53" i="9"/>
  <c r="F52" i="9"/>
  <c r="E52" i="9"/>
  <c r="D52" i="9"/>
  <c r="G51" i="9"/>
  <c r="F51" i="9"/>
  <c r="E51" i="9"/>
  <c r="I51" i="9"/>
  <c r="L51" i="9" s="1"/>
  <c r="H51" i="9"/>
  <c r="K51" i="9" s="1"/>
  <c r="G50" i="9"/>
  <c r="F50" i="9"/>
  <c r="E50" i="9"/>
  <c r="I50" i="9"/>
  <c r="L50" i="9" s="1"/>
  <c r="D50" i="9"/>
  <c r="J50" i="9" s="1"/>
  <c r="M50" i="9" s="1"/>
  <c r="G49" i="9"/>
  <c r="F49" i="9"/>
  <c r="E49" i="9"/>
  <c r="O49" i="9"/>
  <c r="G48" i="9"/>
  <c r="F48" i="9"/>
  <c r="E48" i="9"/>
  <c r="H48" i="9"/>
  <c r="K48" i="9" s="1"/>
  <c r="F47" i="9"/>
  <c r="E47" i="9"/>
  <c r="F46" i="9"/>
  <c r="R49" i="9" s="1"/>
  <c r="R50" i="9" s="1"/>
  <c r="E46" i="9"/>
  <c r="G45" i="9"/>
  <c r="F45" i="9"/>
  <c r="E45" i="9"/>
  <c r="H45" i="9"/>
  <c r="K45" i="9" s="1"/>
  <c r="G44" i="9"/>
  <c r="F44" i="9"/>
  <c r="E44" i="9"/>
  <c r="I44" i="9"/>
  <c r="L44" i="9" s="1"/>
  <c r="H44" i="9"/>
  <c r="K44" i="9" s="1"/>
  <c r="G43" i="9"/>
  <c r="F43" i="9"/>
  <c r="E43" i="9"/>
  <c r="H43" i="9"/>
  <c r="K43" i="9" s="1"/>
  <c r="F42" i="9"/>
  <c r="E42" i="9"/>
  <c r="F41" i="9"/>
  <c r="G41" i="9" s="1"/>
  <c r="E41" i="9"/>
  <c r="H41" i="9"/>
  <c r="K41" i="9" s="1"/>
  <c r="F40" i="9"/>
  <c r="E40" i="9"/>
  <c r="F39" i="9"/>
  <c r="E39" i="9"/>
  <c r="H39" i="9"/>
  <c r="K39" i="9" s="1"/>
  <c r="G38" i="9"/>
  <c r="F38" i="9"/>
  <c r="E38" i="9"/>
  <c r="R37" i="9"/>
  <c r="Q37" i="9"/>
  <c r="G37" i="9"/>
  <c r="F37" i="9"/>
  <c r="E37" i="9"/>
  <c r="F36" i="9"/>
  <c r="E36" i="9"/>
  <c r="H36" i="9"/>
  <c r="K36" i="9" s="1"/>
  <c r="F35" i="9"/>
  <c r="E35" i="9"/>
  <c r="I35" i="9"/>
  <c r="L35" i="9" s="1"/>
  <c r="F34" i="9"/>
  <c r="E34" i="9"/>
  <c r="G34" i="9" s="1"/>
  <c r="H34" i="9"/>
  <c r="K34" i="9" s="1"/>
  <c r="F33" i="9"/>
  <c r="E33" i="9"/>
  <c r="D33" i="9"/>
  <c r="I32" i="9"/>
  <c r="L32" i="9" s="1"/>
  <c r="G32" i="9"/>
  <c r="F32" i="9"/>
  <c r="E32" i="9"/>
  <c r="H32" i="9"/>
  <c r="K32" i="9" s="1"/>
  <c r="F31" i="9"/>
  <c r="E31" i="9"/>
  <c r="G31" i="9" s="1"/>
  <c r="H31" i="9"/>
  <c r="K31" i="9" s="1"/>
  <c r="F30" i="9"/>
  <c r="E30" i="9"/>
  <c r="F29" i="9"/>
  <c r="I29" i="9" s="1"/>
  <c r="L29" i="9" s="1"/>
  <c r="E29" i="9"/>
  <c r="D29" i="9"/>
  <c r="F28" i="9"/>
  <c r="E28" i="9"/>
  <c r="F27" i="9"/>
  <c r="I27" i="9" s="1"/>
  <c r="L27" i="9" s="1"/>
  <c r="E27" i="9"/>
  <c r="D27" i="9"/>
  <c r="F26" i="9"/>
  <c r="E26" i="9"/>
  <c r="F25" i="9"/>
  <c r="E25" i="9"/>
  <c r="F24" i="9"/>
  <c r="E24" i="9"/>
  <c r="G24" i="9" s="1"/>
  <c r="H24" i="9"/>
  <c r="K24" i="9" s="1"/>
  <c r="F23" i="9"/>
  <c r="E23" i="9"/>
  <c r="G23" i="9" s="1"/>
  <c r="G22" i="9"/>
  <c r="F22" i="9"/>
  <c r="E22" i="9"/>
  <c r="H22" i="9"/>
  <c r="K22" i="9" s="1"/>
  <c r="H21" i="9"/>
  <c r="K21" i="9" s="1"/>
  <c r="F21" i="9"/>
  <c r="E21" i="9"/>
  <c r="G20" i="9"/>
  <c r="F20" i="9"/>
  <c r="E20" i="9"/>
  <c r="H20" i="9"/>
  <c r="K20" i="9" s="1"/>
  <c r="F19" i="9"/>
  <c r="E19" i="9"/>
  <c r="F18" i="9"/>
  <c r="E18" i="9"/>
  <c r="F17" i="9"/>
  <c r="E17" i="9"/>
  <c r="F16" i="9"/>
  <c r="E16" i="9"/>
  <c r="G15" i="9"/>
  <c r="F15" i="9"/>
  <c r="E15" i="9"/>
  <c r="H15" i="9"/>
  <c r="K15" i="9" s="1"/>
  <c r="F14" i="9"/>
  <c r="E14" i="9"/>
  <c r="I14" i="9"/>
  <c r="L14" i="9" s="1"/>
  <c r="O13" i="9"/>
  <c r="F13" i="9"/>
  <c r="E13" i="9"/>
  <c r="N13" i="9"/>
  <c r="F12" i="9"/>
  <c r="E12" i="9"/>
  <c r="D12" i="9"/>
  <c r="F11" i="9"/>
  <c r="E11" i="9"/>
  <c r="D11" i="9"/>
  <c r="F10" i="9"/>
  <c r="E10" i="9"/>
  <c r="H10" i="9"/>
  <c r="K10" i="9" s="1"/>
  <c r="F9" i="9"/>
  <c r="E9" i="9"/>
  <c r="H9" i="9" s="1"/>
  <c r="K9" i="9" s="1"/>
  <c r="L9" i="9"/>
  <c r="F8" i="9"/>
  <c r="E8" i="9"/>
  <c r="G8" i="9" s="1"/>
  <c r="L8" i="9"/>
  <c r="H8" i="9"/>
  <c r="K8" i="9" s="1"/>
  <c r="F7" i="9"/>
  <c r="E7" i="9"/>
  <c r="L7" i="9"/>
  <c r="F6" i="9"/>
  <c r="G6" i="9" s="1"/>
  <c r="E6" i="9"/>
  <c r="H6" i="9"/>
  <c r="K6" i="9" s="1"/>
  <c r="L5" i="9"/>
  <c r="G5" i="9"/>
  <c r="F5" i="9"/>
  <c r="E5" i="9"/>
  <c r="F4" i="9"/>
  <c r="E4" i="9"/>
  <c r="G4" i="9" s="1"/>
  <c r="H4" i="9"/>
  <c r="K4" i="9" s="1"/>
  <c r="F3" i="9"/>
  <c r="E3" i="9"/>
  <c r="F2" i="9"/>
  <c r="E2" i="9"/>
  <c r="X144" i="8"/>
  <c r="W144" i="8"/>
  <c r="V144" i="8"/>
  <c r="V13" i="8" s="1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D13" i="8" s="1"/>
  <c r="E4" i="8" s="1"/>
  <c r="E7" i="8" s="1"/>
  <c r="C144" i="8"/>
  <c r="B144" i="8"/>
  <c r="B13" i="8" s="1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B142" i="8"/>
  <c r="X141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Z129" i="8"/>
  <c r="Y129" i="8"/>
  <c r="P128" i="8"/>
  <c r="N128" i="8"/>
  <c r="R127" i="8"/>
  <c r="P127" i="8"/>
  <c r="O127" i="8"/>
  <c r="N127" i="8"/>
  <c r="R126" i="8"/>
  <c r="P126" i="8"/>
  <c r="N126" i="8"/>
  <c r="R125" i="8"/>
  <c r="P125" i="8"/>
  <c r="N125" i="8"/>
  <c r="R124" i="8"/>
  <c r="N124" i="8"/>
  <c r="R123" i="8"/>
  <c r="N123" i="8"/>
  <c r="R122" i="8"/>
  <c r="R121" i="8"/>
  <c r="P121" i="8"/>
  <c r="M121" i="8"/>
  <c r="R120" i="8"/>
  <c r="M120" i="8"/>
  <c r="R119" i="8"/>
  <c r="O119" i="8"/>
  <c r="M119" i="8"/>
  <c r="R118" i="8"/>
  <c r="O118" i="8"/>
  <c r="N118" i="8"/>
  <c r="M118" i="8"/>
  <c r="Q117" i="8"/>
  <c r="O117" i="8"/>
  <c r="N117" i="8"/>
  <c r="M117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X97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R80" i="8"/>
  <c r="Q80" i="8"/>
  <c r="P80" i="8"/>
  <c r="O80" i="8"/>
  <c r="N80" i="8"/>
  <c r="M80" i="8"/>
  <c r="L80" i="8"/>
  <c r="R79" i="8"/>
  <c r="Q79" i="8"/>
  <c r="P79" i="8"/>
  <c r="O79" i="8"/>
  <c r="N79" i="8"/>
  <c r="M79" i="8"/>
  <c r="L79" i="8"/>
  <c r="R78" i="8"/>
  <c r="Q78" i="8"/>
  <c r="P78" i="8"/>
  <c r="O78" i="8"/>
  <c r="N78" i="8"/>
  <c r="M78" i="8"/>
  <c r="L78" i="8"/>
  <c r="R77" i="8"/>
  <c r="Q77" i="8"/>
  <c r="P77" i="8"/>
  <c r="O77" i="8"/>
  <c r="N77" i="8"/>
  <c r="M77" i="8"/>
  <c r="L77" i="8"/>
  <c r="R76" i="8"/>
  <c r="Q76" i="8"/>
  <c r="P76" i="8"/>
  <c r="O76" i="8"/>
  <c r="N76" i="8"/>
  <c r="M76" i="8"/>
  <c r="L76" i="8"/>
  <c r="R75" i="8"/>
  <c r="Q75" i="8"/>
  <c r="P75" i="8"/>
  <c r="P81" i="8" s="1"/>
  <c r="O75" i="8"/>
  <c r="N75" i="8"/>
  <c r="M75" i="8"/>
  <c r="L75" i="8"/>
  <c r="R74" i="8"/>
  <c r="Q74" i="8"/>
  <c r="P74" i="8"/>
  <c r="O74" i="8"/>
  <c r="N74" i="8"/>
  <c r="M74" i="8"/>
  <c r="L74" i="8"/>
  <c r="R73" i="8"/>
  <c r="Q73" i="8"/>
  <c r="P73" i="8"/>
  <c r="O73" i="8"/>
  <c r="N73" i="8"/>
  <c r="M73" i="8"/>
  <c r="L73" i="8"/>
  <c r="R72" i="8"/>
  <c r="Q72" i="8"/>
  <c r="P72" i="8"/>
  <c r="O72" i="8"/>
  <c r="N72" i="8"/>
  <c r="M72" i="8"/>
  <c r="L72" i="8"/>
  <c r="R71" i="8"/>
  <c r="Q71" i="8"/>
  <c r="P71" i="8"/>
  <c r="O71" i="8"/>
  <c r="N71" i="8"/>
  <c r="M71" i="8"/>
  <c r="L71" i="8"/>
  <c r="R70" i="8"/>
  <c r="Q70" i="8"/>
  <c r="P70" i="8"/>
  <c r="O70" i="8"/>
  <c r="N70" i="8"/>
  <c r="M70" i="8"/>
  <c r="L70" i="8"/>
  <c r="R69" i="8"/>
  <c r="R81" i="8" s="1"/>
  <c r="Q69" i="8"/>
  <c r="Q81" i="8" s="1"/>
  <c r="P69" i="8"/>
  <c r="O69" i="8"/>
  <c r="O81" i="8" s="1"/>
  <c r="N69" i="8"/>
  <c r="M69" i="8"/>
  <c r="L69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C65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D65" i="8" s="1"/>
  <c r="C64" i="8"/>
  <c r="B64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I65" i="8" s="1"/>
  <c r="H59" i="8"/>
  <c r="G59" i="8"/>
  <c r="F59" i="8"/>
  <c r="E59" i="8"/>
  <c r="D59" i="8"/>
  <c r="C59" i="8"/>
  <c r="B59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B65" i="8" s="1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Y54" i="8"/>
  <c r="X54" i="8"/>
  <c r="W54" i="8"/>
  <c r="W65" i="8" s="1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Y53" i="8"/>
  <c r="X53" i="8"/>
  <c r="W53" i="8"/>
  <c r="V53" i="8"/>
  <c r="V65" i="8" s="1"/>
  <c r="U53" i="8"/>
  <c r="T53" i="8"/>
  <c r="S53" i="8"/>
  <c r="S65" i="8" s="1"/>
  <c r="R53" i="8"/>
  <c r="R65" i="8" s="1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H52" i="8"/>
  <c r="AG52" i="8"/>
  <c r="AF52" i="8"/>
  <c r="AD52" i="8"/>
  <c r="AC52" i="8"/>
  <c r="AA52" i="8"/>
  <c r="Z52" i="8"/>
  <c r="U52" i="8"/>
  <c r="S52" i="8"/>
  <c r="N52" i="8"/>
  <c r="L52" i="8"/>
  <c r="K52" i="8"/>
  <c r="J52" i="8"/>
  <c r="I52" i="8"/>
  <c r="H52" i="8"/>
  <c r="G52" i="8"/>
  <c r="F52" i="8"/>
  <c r="E52" i="8"/>
  <c r="D52" i="8"/>
  <c r="C52" i="8"/>
  <c r="B52" i="8"/>
  <c r="AH49" i="8"/>
  <c r="AG49" i="8"/>
  <c r="AF49" i="8"/>
  <c r="AE49" i="8"/>
  <c r="AD49" i="8"/>
  <c r="AC49" i="8"/>
  <c r="AB49" i="8"/>
  <c r="AA49" i="8"/>
  <c r="Z49" i="8"/>
  <c r="Y49" i="8"/>
  <c r="X49" i="8"/>
  <c r="X48" i="8"/>
  <c r="W48" i="8"/>
  <c r="V48" i="8"/>
  <c r="U48" i="8"/>
  <c r="T48" i="8"/>
  <c r="S48" i="8"/>
  <c r="R48" i="8"/>
  <c r="Q48" i="8"/>
  <c r="P48" i="8"/>
  <c r="O48" i="8"/>
  <c r="N48" i="8"/>
  <c r="M48" i="8"/>
  <c r="X47" i="8"/>
  <c r="W47" i="8"/>
  <c r="V47" i="8"/>
  <c r="U47" i="8"/>
  <c r="T47" i="8"/>
  <c r="S47" i="8"/>
  <c r="R47" i="8"/>
  <c r="Q47" i="8"/>
  <c r="P47" i="8"/>
  <c r="O47" i="8"/>
  <c r="N47" i="8"/>
  <c r="M47" i="8"/>
  <c r="X46" i="8"/>
  <c r="W46" i="8"/>
  <c r="V46" i="8"/>
  <c r="U46" i="8"/>
  <c r="T46" i="8"/>
  <c r="S46" i="8"/>
  <c r="R46" i="8"/>
  <c r="Q46" i="8"/>
  <c r="P46" i="8"/>
  <c r="O46" i="8"/>
  <c r="N46" i="8"/>
  <c r="M46" i="8"/>
  <c r="X45" i="8"/>
  <c r="W45" i="8"/>
  <c r="V45" i="8"/>
  <c r="U45" i="8"/>
  <c r="T45" i="8"/>
  <c r="S45" i="8"/>
  <c r="R45" i="8"/>
  <c r="Q45" i="8"/>
  <c r="P45" i="8"/>
  <c r="O45" i="8"/>
  <c r="N45" i="8"/>
  <c r="M45" i="8"/>
  <c r="X44" i="8"/>
  <c r="W44" i="8"/>
  <c r="V44" i="8"/>
  <c r="U44" i="8"/>
  <c r="T44" i="8"/>
  <c r="S44" i="8"/>
  <c r="R44" i="8"/>
  <c r="Q44" i="8"/>
  <c r="P44" i="8"/>
  <c r="O44" i="8"/>
  <c r="N44" i="8"/>
  <c r="M44" i="8"/>
  <c r="X43" i="8"/>
  <c r="W43" i="8"/>
  <c r="V43" i="8"/>
  <c r="U43" i="8"/>
  <c r="T43" i="8"/>
  <c r="S43" i="8"/>
  <c r="R43" i="8"/>
  <c r="Q43" i="8"/>
  <c r="P43" i="8"/>
  <c r="O43" i="8"/>
  <c r="N43" i="8"/>
  <c r="M43" i="8"/>
  <c r="X42" i="8"/>
  <c r="W42" i="8"/>
  <c r="V42" i="8"/>
  <c r="U42" i="8"/>
  <c r="T42" i="8"/>
  <c r="S42" i="8"/>
  <c r="R42" i="8"/>
  <c r="Q42" i="8"/>
  <c r="P42" i="8"/>
  <c r="O42" i="8"/>
  <c r="N42" i="8"/>
  <c r="M42" i="8"/>
  <c r="X41" i="8"/>
  <c r="W41" i="8"/>
  <c r="V41" i="8"/>
  <c r="U41" i="8"/>
  <c r="T41" i="8"/>
  <c r="S41" i="8"/>
  <c r="R41" i="8"/>
  <c r="Q41" i="8"/>
  <c r="P41" i="8"/>
  <c r="O41" i="8"/>
  <c r="O49" i="8" s="1"/>
  <c r="O6" i="8" s="1"/>
  <c r="N41" i="8"/>
  <c r="M41" i="8"/>
  <c r="X40" i="8"/>
  <c r="W40" i="8"/>
  <c r="V40" i="8"/>
  <c r="U40" i="8"/>
  <c r="T40" i="8"/>
  <c r="S40" i="8"/>
  <c r="R40" i="8"/>
  <c r="Q40" i="8"/>
  <c r="P40" i="8"/>
  <c r="O40" i="8"/>
  <c r="N40" i="8"/>
  <c r="M40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M49" i="8" s="1"/>
  <c r="M6" i="8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Y37" i="8"/>
  <c r="X37" i="8"/>
  <c r="W37" i="8"/>
  <c r="V37" i="8"/>
  <c r="U37" i="8"/>
  <c r="T37" i="8"/>
  <c r="S37" i="8"/>
  <c r="R37" i="8"/>
  <c r="Q37" i="8"/>
  <c r="P37" i="8"/>
  <c r="O37" i="8"/>
  <c r="N37" i="8"/>
  <c r="N49" i="8" s="1"/>
  <c r="M37" i="8"/>
  <c r="AH36" i="8"/>
  <c r="AG36" i="8"/>
  <c r="AF36" i="8"/>
  <c r="AE36" i="8"/>
  <c r="AE52" i="8" s="1"/>
  <c r="AD36" i="8"/>
  <c r="AC36" i="8"/>
  <c r="AB36" i="8"/>
  <c r="AB52" i="8" s="1"/>
  <c r="AA36" i="8"/>
  <c r="Z36" i="8"/>
  <c r="Y36" i="8"/>
  <c r="Y52" i="8" s="1"/>
  <c r="X36" i="8"/>
  <c r="X52" i="8" s="1"/>
  <c r="W36" i="8"/>
  <c r="W52" i="8" s="1"/>
  <c r="V36" i="8"/>
  <c r="V52" i="8" s="1"/>
  <c r="U36" i="8"/>
  <c r="T36" i="8"/>
  <c r="T52" i="8" s="1"/>
  <c r="S36" i="8"/>
  <c r="R36" i="8"/>
  <c r="R52" i="8" s="1"/>
  <c r="Q36" i="8"/>
  <c r="Q52" i="8" s="1"/>
  <c r="P36" i="8"/>
  <c r="P52" i="8" s="1"/>
  <c r="O36" i="8"/>
  <c r="O52" i="8" s="1"/>
  <c r="N36" i="8"/>
  <c r="M36" i="8"/>
  <c r="M52" i="8" s="1"/>
  <c r="X32" i="8"/>
  <c r="AN32" i="8" s="1"/>
  <c r="W32" i="8"/>
  <c r="V32" i="8"/>
  <c r="U32" i="8"/>
  <c r="T32" i="8"/>
  <c r="S32" i="8"/>
  <c r="R32" i="8"/>
  <c r="Q32" i="8"/>
  <c r="P32" i="8"/>
  <c r="O32" i="8"/>
  <c r="N32" i="8"/>
  <c r="M32" i="8"/>
  <c r="L32" i="8"/>
  <c r="AK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AN29" i="8"/>
  <c r="AM29" i="8"/>
  <c r="AL29" i="8"/>
  <c r="AK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AN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AN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AN23" i="8"/>
  <c r="AM23" i="8"/>
  <c r="AK23" i="8"/>
  <c r="Y23" i="8"/>
  <c r="X23" i="8"/>
  <c r="W23" i="8"/>
  <c r="V23" i="8"/>
  <c r="U23" i="8"/>
  <c r="AL23" i="8" s="1"/>
  <c r="T23" i="8"/>
  <c r="S23" i="8"/>
  <c r="R23" i="8"/>
  <c r="Q23" i="8"/>
  <c r="P23" i="8"/>
  <c r="O23" i="8"/>
  <c r="N23" i="8"/>
  <c r="M23" i="8"/>
  <c r="L23" i="8"/>
  <c r="AN22" i="8"/>
  <c r="Y22" i="8"/>
  <c r="X22" i="8"/>
  <c r="W22" i="8"/>
  <c r="V22" i="8"/>
  <c r="U22" i="8"/>
  <c r="T22" i="8"/>
  <c r="S22" i="8"/>
  <c r="R22" i="8"/>
  <c r="R33" i="8" s="1"/>
  <c r="Q22" i="8"/>
  <c r="P22" i="8"/>
  <c r="O22" i="8"/>
  <c r="N22" i="8"/>
  <c r="M22" i="8"/>
  <c r="L22" i="8"/>
  <c r="AN21" i="8"/>
  <c r="AL21" i="8"/>
  <c r="AK21" i="8"/>
  <c r="Y21" i="8"/>
  <c r="X21" i="8"/>
  <c r="W21" i="8"/>
  <c r="V21" i="8"/>
  <c r="U21" i="8"/>
  <c r="T21" i="8"/>
  <c r="S21" i="8"/>
  <c r="R21" i="8"/>
  <c r="Q21" i="8"/>
  <c r="Q33" i="8" s="1"/>
  <c r="Q5" i="8" s="1"/>
  <c r="P21" i="8"/>
  <c r="O21" i="8"/>
  <c r="N21" i="8"/>
  <c r="M21" i="8"/>
  <c r="L21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V18" i="8"/>
  <c r="W18" i="8" s="1"/>
  <c r="R15" i="8"/>
  <c r="Q15" i="8"/>
  <c r="P15" i="8"/>
  <c r="G15" i="8"/>
  <c r="F15" i="8"/>
  <c r="E15" i="8"/>
  <c r="D15" i="8"/>
  <c r="W14" i="8"/>
  <c r="H14" i="8"/>
  <c r="G14" i="8"/>
  <c r="F14" i="8"/>
  <c r="E14" i="8"/>
  <c r="W13" i="8"/>
  <c r="T13" i="8"/>
  <c r="S13" i="8"/>
  <c r="R13" i="8"/>
  <c r="R14" i="8" s="1"/>
  <c r="Q13" i="8"/>
  <c r="Q14" i="8" s="1"/>
  <c r="P13" i="8"/>
  <c r="O13" i="8"/>
  <c r="N13" i="8"/>
  <c r="M13" i="8"/>
  <c r="L13" i="8"/>
  <c r="K13" i="8"/>
  <c r="J13" i="8"/>
  <c r="I13" i="8"/>
  <c r="J14" i="8" s="1"/>
  <c r="H13" i="8"/>
  <c r="G13" i="8"/>
  <c r="H4" i="8" s="1"/>
  <c r="F13" i="8"/>
  <c r="E13" i="8"/>
  <c r="F4" i="8" s="1"/>
  <c r="F7" i="8" s="1"/>
  <c r="C13" i="8"/>
  <c r="L12" i="8"/>
  <c r="L11" i="8"/>
  <c r="H7" i="8"/>
  <c r="G7" i="8"/>
  <c r="N6" i="8"/>
  <c r="L6" i="8"/>
  <c r="R5" i="8"/>
  <c r="X4" i="8"/>
  <c r="W4" i="8"/>
  <c r="U4" i="8"/>
  <c r="S4" i="8"/>
  <c r="R4" i="8"/>
  <c r="Q4" i="8"/>
  <c r="M4" i="8"/>
  <c r="G4" i="8"/>
  <c r="C4" i="8"/>
  <c r="C7" i="8" s="1"/>
  <c r="X144" i="7"/>
  <c r="X13" i="7" s="1"/>
  <c r="W144" i="7"/>
  <c r="W13" i="7" s="1"/>
  <c r="V144" i="7"/>
  <c r="U144" i="7"/>
  <c r="T144" i="7"/>
  <c r="S144" i="7"/>
  <c r="R144" i="7"/>
  <c r="Q144" i="7"/>
  <c r="Q13" i="7" s="1"/>
  <c r="Q15" i="7" s="1"/>
  <c r="P144" i="7"/>
  <c r="O144" i="7"/>
  <c r="N144" i="7"/>
  <c r="M144" i="7"/>
  <c r="L144" i="7"/>
  <c r="K144" i="7"/>
  <c r="J144" i="7"/>
  <c r="J13" i="7" s="1"/>
  <c r="I144" i="7"/>
  <c r="H144" i="7"/>
  <c r="G144" i="7"/>
  <c r="G13" i="7" s="1"/>
  <c r="F144" i="7"/>
  <c r="E144" i="7"/>
  <c r="D144" i="7"/>
  <c r="C144" i="7"/>
  <c r="B144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B140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Z129" i="7"/>
  <c r="Y129" i="7"/>
  <c r="P128" i="7"/>
  <c r="O128" i="7"/>
  <c r="N128" i="7"/>
  <c r="R127" i="7"/>
  <c r="P127" i="7"/>
  <c r="O127" i="7"/>
  <c r="N127" i="7"/>
  <c r="R126" i="7"/>
  <c r="Q126" i="7"/>
  <c r="P126" i="7"/>
  <c r="N126" i="7"/>
  <c r="R125" i="7"/>
  <c r="Q125" i="7"/>
  <c r="P125" i="7"/>
  <c r="N125" i="7"/>
  <c r="R124" i="7"/>
  <c r="P124" i="7"/>
  <c r="N124" i="7"/>
  <c r="R123" i="7"/>
  <c r="P123" i="7"/>
  <c r="N123" i="7"/>
  <c r="R122" i="7"/>
  <c r="P122" i="7"/>
  <c r="N122" i="7"/>
  <c r="R121" i="7"/>
  <c r="P121" i="7"/>
  <c r="M121" i="7"/>
  <c r="R120" i="7"/>
  <c r="M120" i="7"/>
  <c r="R119" i="7"/>
  <c r="O119" i="7"/>
  <c r="M119" i="7"/>
  <c r="O118" i="7"/>
  <c r="N118" i="7"/>
  <c r="M118" i="7"/>
  <c r="Q117" i="7"/>
  <c r="O117" i="7"/>
  <c r="N117" i="7"/>
  <c r="M117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R80" i="7"/>
  <c r="Q80" i="7"/>
  <c r="P80" i="7"/>
  <c r="O80" i="7"/>
  <c r="N80" i="7"/>
  <c r="M80" i="7"/>
  <c r="L80" i="7"/>
  <c r="R79" i="7"/>
  <c r="Q79" i="7"/>
  <c r="P79" i="7"/>
  <c r="O79" i="7"/>
  <c r="N79" i="7"/>
  <c r="M79" i="7"/>
  <c r="L79" i="7"/>
  <c r="R78" i="7"/>
  <c r="Q78" i="7"/>
  <c r="P78" i="7"/>
  <c r="O78" i="7"/>
  <c r="N78" i="7"/>
  <c r="M78" i="7"/>
  <c r="L78" i="7"/>
  <c r="R77" i="7"/>
  <c r="Q77" i="7"/>
  <c r="P77" i="7"/>
  <c r="O77" i="7"/>
  <c r="N77" i="7"/>
  <c r="M77" i="7"/>
  <c r="L77" i="7"/>
  <c r="R76" i="7"/>
  <c r="Q76" i="7"/>
  <c r="P76" i="7"/>
  <c r="O76" i="7"/>
  <c r="N76" i="7"/>
  <c r="M76" i="7"/>
  <c r="L76" i="7"/>
  <c r="R75" i="7"/>
  <c r="Q75" i="7"/>
  <c r="P75" i="7"/>
  <c r="O75" i="7"/>
  <c r="N75" i="7"/>
  <c r="M75" i="7"/>
  <c r="L75" i="7"/>
  <c r="R74" i="7"/>
  <c r="Q74" i="7"/>
  <c r="P74" i="7"/>
  <c r="O74" i="7"/>
  <c r="N74" i="7"/>
  <c r="M74" i="7"/>
  <c r="L74" i="7"/>
  <c r="R73" i="7"/>
  <c r="Q73" i="7"/>
  <c r="P73" i="7"/>
  <c r="O73" i="7"/>
  <c r="N73" i="7"/>
  <c r="M73" i="7"/>
  <c r="L73" i="7"/>
  <c r="R72" i="7"/>
  <c r="Q72" i="7"/>
  <c r="P72" i="7"/>
  <c r="O72" i="7"/>
  <c r="N72" i="7"/>
  <c r="M72" i="7"/>
  <c r="L72" i="7"/>
  <c r="R71" i="7"/>
  <c r="Q71" i="7"/>
  <c r="P71" i="7"/>
  <c r="O71" i="7"/>
  <c r="N71" i="7"/>
  <c r="M71" i="7"/>
  <c r="L71" i="7"/>
  <c r="R70" i="7"/>
  <c r="Q70" i="7"/>
  <c r="P70" i="7"/>
  <c r="O70" i="7"/>
  <c r="N70" i="7"/>
  <c r="M70" i="7"/>
  <c r="L70" i="7"/>
  <c r="R69" i="7"/>
  <c r="Q69" i="7"/>
  <c r="P69" i="7"/>
  <c r="O69" i="7"/>
  <c r="N69" i="7"/>
  <c r="M69" i="7"/>
  <c r="L69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X65" i="7"/>
  <c r="W65" i="7"/>
  <c r="V65" i="7"/>
  <c r="L65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X57" i="7"/>
  <c r="W57" i="7"/>
  <c r="V57" i="7"/>
  <c r="U57" i="7"/>
  <c r="U65" i="7" s="1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Y55" i="7"/>
  <c r="X55" i="7"/>
  <c r="W55" i="7"/>
  <c r="V55" i="7"/>
  <c r="U55" i="7"/>
  <c r="T55" i="7"/>
  <c r="S55" i="7"/>
  <c r="R55" i="7"/>
  <c r="Q55" i="7"/>
  <c r="P55" i="7"/>
  <c r="O55" i="7"/>
  <c r="N55" i="7"/>
  <c r="N65" i="7" s="1"/>
  <c r="M55" i="7"/>
  <c r="L55" i="7"/>
  <c r="K55" i="7"/>
  <c r="J55" i="7"/>
  <c r="I55" i="7"/>
  <c r="H55" i="7"/>
  <c r="G55" i="7"/>
  <c r="F55" i="7"/>
  <c r="E55" i="7"/>
  <c r="D55" i="7"/>
  <c r="C55" i="7"/>
  <c r="B55" i="7"/>
  <c r="B65" i="7" s="1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D65" i="7" s="1"/>
  <c r="C54" i="7"/>
  <c r="B54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H65" i="7" s="1"/>
  <c r="G53" i="7"/>
  <c r="G65" i="7" s="1"/>
  <c r="F53" i="7"/>
  <c r="F65" i="7" s="1"/>
  <c r="E53" i="7"/>
  <c r="D53" i="7"/>
  <c r="C53" i="7"/>
  <c r="B53" i="7"/>
  <c r="AH52" i="7"/>
  <c r="AF52" i="7"/>
  <c r="AE52" i="7"/>
  <c r="AD52" i="7"/>
  <c r="AC52" i="7"/>
  <c r="AB52" i="7"/>
  <c r="Z52" i="7"/>
  <c r="V52" i="7"/>
  <c r="U52" i="7"/>
  <c r="R52" i="7"/>
  <c r="Q52" i="7"/>
  <c r="P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H49" i="7"/>
  <c r="AG49" i="7"/>
  <c r="AF49" i="7"/>
  <c r="AE49" i="7"/>
  <c r="AD49" i="7"/>
  <c r="AC49" i="7"/>
  <c r="AB49" i="7"/>
  <c r="AA49" i="7"/>
  <c r="Z49" i="7"/>
  <c r="Y49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K49" i="7" s="1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Y40" i="7"/>
  <c r="X40" i="7"/>
  <c r="W40" i="7"/>
  <c r="V40" i="7"/>
  <c r="U40" i="7"/>
  <c r="T40" i="7"/>
  <c r="S40" i="7"/>
  <c r="R40" i="7"/>
  <c r="Q40" i="7"/>
  <c r="Q49" i="7" s="1"/>
  <c r="Q6" i="7" s="1"/>
  <c r="P40" i="7"/>
  <c r="O40" i="7"/>
  <c r="N40" i="7"/>
  <c r="M40" i="7"/>
  <c r="L40" i="7"/>
  <c r="K40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AH36" i="7"/>
  <c r="AG36" i="7"/>
  <c r="AG52" i="7" s="1"/>
  <c r="AF36" i="7"/>
  <c r="AE36" i="7"/>
  <c r="AD36" i="7"/>
  <c r="AC36" i="7"/>
  <c r="AB36" i="7"/>
  <c r="AA36" i="7"/>
  <c r="AA52" i="7" s="1"/>
  <c r="Z36" i="7"/>
  <c r="Y36" i="7"/>
  <c r="Y52" i="7" s="1"/>
  <c r="X36" i="7"/>
  <c r="X52" i="7" s="1"/>
  <c r="W36" i="7"/>
  <c r="W52" i="7" s="1"/>
  <c r="V36" i="7"/>
  <c r="U36" i="7"/>
  <c r="T36" i="7"/>
  <c r="T52" i="7" s="1"/>
  <c r="S36" i="7"/>
  <c r="S52" i="7" s="1"/>
  <c r="R36" i="7"/>
  <c r="Q36" i="7"/>
  <c r="P36" i="7"/>
  <c r="O36" i="7"/>
  <c r="O52" i="7" s="1"/>
  <c r="N36" i="7"/>
  <c r="M36" i="7"/>
  <c r="O33" i="7"/>
  <c r="O5" i="7" s="1"/>
  <c r="AN32" i="7"/>
  <c r="AM32" i="7"/>
  <c r="AL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AN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AN30" i="7"/>
  <c r="AK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AN29" i="7"/>
  <c r="AM29" i="7"/>
  <c r="AL29" i="7"/>
  <c r="AK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AN28" i="7"/>
  <c r="AM28" i="7"/>
  <c r="AL28" i="7"/>
  <c r="AK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AL27" i="7"/>
  <c r="X27" i="7"/>
  <c r="AN27" i="7" s="1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AN26" i="7"/>
  <c r="AM26" i="7"/>
  <c r="AL26" i="7"/>
  <c r="AK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AN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AN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AN23" i="7"/>
  <c r="Y23" i="7"/>
  <c r="X23" i="7"/>
  <c r="W23" i="7"/>
  <c r="V23" i="7"/>
  <c r="V33" i="7" s="1"/>
  <c r="V5" i="7" s="1"/>
  <c r="U23" i="7"/>
  <c r="T23" i="7"/>
  <c r="S23" i="7"/>
  <c r="R23" i="7"/>
  <c r="Q23" i="7"/>
  <c r="P23" i="7"/>
  <c r="O23" i="7"/>
  <c r="N23" i="7"/>
  <c r="M23" i="7"/>
  <c r="L23" i="7"/>
  <c r="K23" i="7"/>
  <c r="AN22" i="7"/>
  <c r="Y22" i="7"/>
  <c r="X22" i="7"/>
  <c r="W22" i="7"/>
  <c r="V22" i="7"/>
  <c r="U22" i="7"/>
  <c r="T22" i="7"/>
  <c r="S22" i="7"/>
  <c r="R22" i="7"/>
  <c r="Q22" i="7"/>
  <c r="Q33" i="7" s="1"/>
  <c r="Q5" i="7" s="1"/>
  <c r="P22" i="7"/>
  <c r="P33" i="7" s="1"/>
  <c r="P5" i="7" s="1"/>
  <c r="O22" i="7"/>
  <c r="N22" i="7"/>
  <c r="M22" i="7"/>
  <c r="L22" i="7"/>
  <c r="K22" i="7"/>
  <c r="AN21" i="7"/>
  <c r="AM21" i="7"/>
  <c r="AK21" i="7"/>
  <c r="Y21" i="7"/>
  <c r="X21" i="7"/>
  <c r="W21" i="7"/>
  <c r="V21" i="7"/>
  <c r="U21" i="7"/>
  <c r="U33" i="7" s="1"/>
  <c r="U5" i="7" s="1"/>
  <c r="T21" i="7"/>
  <c r="S21" i="7"/>
  <c r="R21" i="7"/>
  <c r="Q21" i="7"/>
  <c r="P21" i="7"/>
  <c r="O21" i="7"/>
  <c r="N21" i="7"/>
  <c r="M21" i="7"/>
  <c r="L21" i="7"/>
  <c r="K21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V17" i="7"/>
  <c r="N15" i="7"/>
  <c r="M15" i="7"/>
  <c r="L15" i="7"/>
  <c r="J15" i="7"/>
  <c r="H15" i="7"/>
  <c r="E15" i="7"/>
  <c r="D15" i="7"/>
  <c r="C15" i="7"/>
  <c r="X14" i="7"/>
  <c r="R14" i="7"/>
  <c r="Q14" i="7"/>
  <c r="O14" i="7"/>
  <c r="N14" i="7"/>
  <c r="M14" i="7"/>
  <c r="V13" i="7"/>
  <c r="R13" i="7"/>
  <c r="R15" i="7" s="1"/>
  <c r="P13" i="7"/>
  <c r="O13" i="7"/>
  <c r="O15" i="7" s="1"/>
  <c r="N13" i="7"/>
  <c r="M13" i="7"/>
  <c r="L13" i="7"/>
  <c r="K13" i="7"/>
  <c r="K15" i="7" s="1"/>
  <c r="I13" i="7"/>
  <c r="H13" i="7"/>
  <c r="F13" i="7"/>
  <c r="F15" i="7" s="1"/>
  <c r="E13" i="7"/>
  <c r="E14" i="7" s="1"/>
  <c r="D13" i="7"/>
  <c r="C13" i="7"/>
  <c r="B13" i="7"/>
  <c r="L11" i="7"/>
  <c r="L12" i="7" s="1"/>
  <c r="Q7" i="7"/>
  <c r="B7" i="7"/>
  <c r="S4" i="7"/>
  <c r="R4" i="7"/>
  <c r="Q4" i="7"/>
  <c r="P4" i="7"/>
  <c r="O4" i="7"/>
  <c r="N4" i="7"/>
  <c r="M4" i="7"/>
  <c r="L4" i="7"/>
  <c r="G4" i="7"/>
  <c r="G7" i="7" s="1"/>
  <c r="F4" i="7"/>
  <c r="F7" i="7" s="1"/>
  <c r="E4" i="7"/>
  <c r="E7" i="7" s="1"/>
  <c r="D4" i="7"/>
  <c r="D7" i="7" s="1"/>
  <c r="B165" i="6"/>
  <c r="U147" i="6"/>
  <c r="R147" i="6"/>
  <c r="M147" i="6"/>
  <c r="T146" i="6"/>
  <c r="V137" i="6"/>
  <c r="S137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Z132" i="6"/>
  <c r="Y132" i="6"/>
  <c r="Z146" i="6"/>
  <c r="S146" i="6"/>
  <c r="W145" i="6"/>
  <c r="U145" i="6"/>
  <c r="R145" i="6"/>
  <c r="Q145" i="6"/>
  <c r="X143" i="6"/>
  <c r="R143" i="6"/>
  <c r="Q143" i="6"/>
  <c r="P143" i="6"/>
  <c r="N143" i="6"/>
  <c r="V142" i="6"/>
  <c r="S142" i="6"/>
  <c r="Q142" i="6"/>
  <c r="W141" i="6"/>
  <c r="T141" i="6"/>
  <c r="T140" i="6"/>
  <c r="Y138" i="6"/>
  <c r="X138" i="6"/>
  <c r="W138" i="6"/>
  <c r="V138" i="6"/>
  <c r="T138" i="6"/>
  <c r="Q138" i="6"/>
  <c r="X132" i="6"/>
  <c r="W136" i="6"/>
  <c r="S132" i="6"/>
  <c r="N136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Y89" i="6"/>
  <c r="X89" i="6"/>
  <c r="W89" i="6"/>
  <c r="V89" i="6"/>
  <c r="U89" i="6"/>
  <c r="T89" i="6"/>
  <c r="S89" i="6"/>
  <c r="R89" i="6"/>
  <c r="Q89" i="6"/>
  <c r="P89" i="6"/>
  <c r="O89" i="6"/>
  <c r="N89" i="6"/>
  <c r="N100" i="6" s="1"/>
  <c r="M89" i="6"/>
  <c r="L89" i="6"/>
  <c r="Y88" i="6"/>
  <c r="X88" i="6"/>
  <c r="W88" i="6"/>
  <c r="V88" i="6"/>
  <c r="U88" i="6"/>
  <c r="T88" i="6"/>
  <c r="S88" i="6"/>
  <c r="R88" i="6"/>
  <c r="Q88" i="6"/>
  <c r="P88" i="6"/>
  <c r="P100" i="6" s="1"/>
  <c r="O88" i="6"/>
  <c r="O100" i="6" s="1"/>
  <c r="N88" i="6"/>
  <c r="M88" i="6"/>
  <c r="L88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X84" i="6"/>
  <c r="W84" i="6"/>
  <c r="V84" i="6"/>
  <c r="U84" i="6"/>
  <c r="T84" i="6"/>
  <c r="S84" i="6"/>
  <c r="R84" i="6"/>
  <c r="Q84" i="6"/>
  <c r="P84" i="6"/>
  <c r="P11" i="6" s="1"/>
  <c r="O84" i="6"/>
  <c r="O11" i="6" s="1"/>
  <c r="N84" i="6"/>
  <c r="N11" i="6" s="1"/>
  <c r="M84" i="6"/>
  <c r="M11" i="6" s="1"/>
  <c r="X83" i="6"/>
  <c r="W83" i="6"/>
  <c r="V83" i="6"/>
  <c r="U83" i="6"/>
  <c r="U67" i="6" s="1"/>
  <c r="T83" i="6"/>
  <c r="S83" i="6"/>
  <c r="R83" i="6"/>
  <c r="Q83" i="6"/>
  <c r="P83" i="6"/>
  <c r="P67" i="6" s="1"/>
  <c r="O83" i="6"/>
  <c r="O67" i="6" s="1"/>
  <c r="N83" i="6"/>
  <c r="N67" i="6" s="1"/>
  <c r="M83" i="6"/>
  <c r="X82" i="6"/>
  <c r="W82" i="6"/>
  <c r="V82" i="6"/>
  <c r="U82" i="6"/>
  <c r="T82" i="6"/>
  <c r="S82" i="6"/>
  <c r="R82" i="6"/>
  <c r="Q82" i="6"/>
  <c r="P82" i="6"/>
  <c r="O82" i="6"/>
  <c r="N82" i="6"/>
  <c r="N66" i="6" s="1"/>
  <c r="M82" i="6"/>
  <c r="M66" i="6" s="1"/>
  <c r="X81" i="6"/>
  <c r="W81" i="6"/>
  <c r="V81" i="6"/>
  <c r="U81" i="6"/>
  <c r="T81" i="6"/>
  <c r="S81" i="6"/>
  <c r="R81" i="6"/>
  <c r="Q81" i="6"/>
  <c r="P81" i="6"/>
  <c r="O81" i="6"/>
  <c r="N81" i="6"/>
  <c r="M81" i="6"/>
  <c r="X80" i="6"/>
  <c r="W80" i="6"/>
  <c r="V80" i="6"/>
  <c r="U80" i="6"/>
  <c r="U64" i="6" s="1"/>
  <c r="T80" i="6"/>
  <c r="S80" i="6"/>
  <c r="R80" i="6"/>
  <c r="Q80" i="6"/>
  <c r="P80" i="6"/>
  <c r="O80" i="6"/>
  <c r="N80" i="6"/>
  <c r="M80" i="6"/>
  <c r="X79" i="6"/>
  <c r="X63" i="6" s="1"/>
  <c r="W79" i="6"/>
  <c r="V79" i="6"/>
  <c r="U79" i="6"/>
  <c r="T79" i="6"/>
  <c r="T63" i="6" s="1"/>
  <c r="S79" i="6"/>
  <c r="R79" i="6"/>
  <c r="Q79" i="6"/>
  <c r="P79" i="6"/>
  <c r="O79" i="6"/>
  <c r="N79" i="6"/>
  <c r="M79" i="6"/>
  <c r="X78" i="6"/>
  <c r="W78" i="6"/>
  <c r="V78" i="6"/>
  <c r="V62" i="6" s="1"/>
  <c r="U78" i="6"/>
  <c r="U62" i="6" s="1"/>
  <c r="T78" i="6"/>
  <c r="S78" i="6"/>
  <c r="R78" i="6"/>
  <c r="Q78" i="6"/>
  <c r="P78" i="6"/>
  <c r="P62" i="6" s="1"/>
  <c r="O78" i="6"/>
  <c r="N78" i="6"/>
  <c r="M78" i="6"/>
  <c r="X77" i="6"/>
  <c r="W77" i="6"/>
  <c r="V77" i="6"/>
  <c r="U77" i="6"/>
  <c r="T77" i="6"/>
  <c r="S77" i="6"/>
  <c r="R77" i="6"/>
  <c r="Q77" i="6"/>
  <c r="P77" i="6"/>
  <c r="O77" i="6"/>
  <c r="O61" i="6" s="1"/>
  <c r="N77" i="6"/>
  <c r="M77" i="6"/>
  <c r="M61" i="6" s="1"/>
  <c r="Y76" i="6"/>
  <c r="X76" i="6"/>
  <c r="W76" i="6"/>
  <c r="V76" i="6"/>
  <c r="U76" i="6"/>
  <c r="T76" i="6"/>
  <c r="T60" i="6" s="1"/>
  <c r="S76" i="6"/>
  <c r="R76" i="6"/>
  <c r="Q76" i="6"/>
  <c r="P76" i="6"/>
  <c r="O76" i="6"/>
  <c r="N76" i="6"/>
  <c r="M76" i="6"/>
  <c r="Y75" i="6"/>
  <c r="X75" i="6"/>
  <c r="W75" i="6"/>
  <c r="V75" i="6"/>
  <c r="U75" i="6"/>
  <c r="T75" i="6"/>
  <c r="S75" i="6"/>
  <c r="R75" i="6"/>
  <c r="Q75" i="6"/>
  <c r="P75" i="6"/>
  <c r="O75" i="6"/>
  <c r="O59" i="6" s="1"/>
  <c r="N75" i="6"/>
  <c r="M75" i="6"/>
  <c r="M59" i="6" s="1"/>
  <c r="Y74" i="6"/>
  <c r="X74" i="6"/>
  <c r="W74" i="6"/>
  <c r="V74" i="6"/>
  <c r="V58" i="6" s="1"/>
  <c r="U74" i="6"/>
  <c r="T74" i="6"/>
  <c r="S74" i="6"/>
  <c r="R74" i="6"/>
  <c r="Q74" i="6"/>
  <c r="P74" i="6"/>
  <c r="P58" i="6" s="1"/>
  <c r="O74" i="6"/>
  <c r="O58" i="6" s="1"/>
  <c r="N74" i="6"/>
  <c r="M74" i="6"/>
  <c r="M58" i="6" s="1"/>
  <c r="Y73" i="6"/>
  <c r="X73" i="6"/>
  <c r="X57" i="6" s="1"/>
  <c r="W73" i="6"/>
  <c r="V73" i="6"/>
  <c r="U73" i="6"/>
  <c r="T73" i="6"/>
  <c r="S73" i="6"/>
  <c r="R73" i="6"/>
  <c r="Q73" i="6"/>
  <c r="P73" i="6"/>
  <c r="O73" i="6"/>
  <c r="N73" i="6"/>
  <c r="N57" i="6" s="1"/>
  <c r="M73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R67" i="6"/>
  <c r="L67" i="6"/>
  <c r="U66" i="6"/>
  <c r="S66" i="6"/>
  <c r="R66" i="6"/>
  <c r="W65" i="6"/>
  <c r="V65" i="6"/>
  <c r="S65" i="6"/>
  <c r="N65" i="6"/>
  <c r="M65" i="6"/>
  <c r="W64" i="6"/>
  <c r="N64" i="6"/>
  <c r="M63" i="6"/>
  <c r="L63" i="6"/>
  <c r="R62" i="6"/>
  <c r="X60" i="6"/>
  <c r="W60" i="6"/>
  <c r="U60" i="6"/>
  <c r="S60" i="6"/>
  <c r="R60" i="6"/>
  <c r="Q60" i="6"/>
  <c r="O60" i="6"/>
  <c r="N60" i="6"/>
  <c r="M60" i="6"/>
  <c r="W59" i="6"/>
  <c r="L59" i="6"/>
  <c r="Y58" i="6"/>
  <c r="T58" i="6"/>
  <c r="S58" i="6"/>
  <c r="R58" i="6"/>
  <c r="Q58" i="6"/>
  <c r="N58" i="6"/>
  <c r="U57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K51" i="6"/>
  <c r="X51" i="6"/>
  <c r="W51" i="6"/>
  <c r="V51" i="6"/>
  <c r="U51" i="6"/>
  <c r="T51" i="6"/>
  <c r="S51" i="6"/>
  <c r="R51" i="6"/>
  <c r="Q51" i="6"/>
  <c r="P51" i="6"/>
  <c r="O51" i="6"/>
  <c r="N51" i="6"/>
  <c r="M51" i="6"/>
  <c r="X50" i="6"/>
  <c r="AN50" i="6" s="1"/>
  <c r="W50" i="6"/>
  <c r="V50" i="6"/>
  <c r="U50" i="6"/>
  <c r="T50" i="6"/>
  <c r="S50" i="6"/>
  <c r="R50" i="6"/>
  <c r="Q50" i="6"/>
  <c r="P50" i="6"/>
  <c r="O50" i="6"/>
  <c r="N50" i="6"/>
  <c r="M50" i="6"/>
  <c r="AN49" i="6"/>
  <c r="X49" i="6"/>
  <c r="W49" i="6"/>
  <c r="V49" i="6"/>
  <c r="U49" i="6"/>
  <c r="T49" i="6"/>
  <c r="S49" i="6"/>
  <c r="R49" i="6"/>
  <c r="Q49" i="6"/>
  <c r="P49" i="6"/>
  <c r="O49" i="6"/>
  <c r="N49" i="6"/>
  <c r="M49" i="6"/>
  <c r="AN48" i="6"/>
  <c r="X48" i="6"/>
  <c r="W48" i="6"/>
  <c r="V48" i="6"/>
  <c r="U48" i="6"/>
  <c r="T48" i="6"/>
  <c r="S48" i="6"/>
  <c r="R48" i="6"/>
  <c r="Q48" i="6"/>
  <c r="P48" i="6"/>
  <c r="O48" i="6"/>
  <c r="N48" i="6"/>
  <c r="M48" i="6"/>
  <c r="AN47" i="6"/>
  <c r="X47" i="6"/>
  <c r="W47" i="6"/>
  <c r="V47" i="6"/>
  <c r="U47" i="6"/>
  <c r="T47" i="6"/>
  <c r="S47" i="6"/>
  <c r="R47" i="6"/>
  <c r="R63" i="6" s="1"/>
  <c r="Q47" i="6"/>
  <c r="P47" i="6"/>
  <c r="O47" i="6"/>
  <c r="O63" i="6" s="1"/>
  <c r="N47" i="6"/>
  <c r="AN46" i="6"/>
  <c r="AM46" i="6"/>
  <c r="X46" i="6"/>
  <c r="W46" i="6"/>
  <c r="W62" i="6" s="1"/>
  <c r="V46" i="6"/>
  <c r="U46" i="6"/>
  <c r="T46" i="6"/>
  <c r="S46" i="6"/>
  <c r="S62" i="6" s="1"/>
  <c r="R46" i="6"/>
  <c r="Q46" i="6"/>
  <c r="Q62" i="6" s="1"/>
  <c r="P46" i="6"/>
  <c r="O46" i="6"/>
  <c r="N46" i="6"/>
  <c r="AN45" i="6"/>
  <c r="AM45" i="6"/>
  <c r="AL45" i="6"/>
  <c r="AK45" i="6"/>
  <c r="X45" i="6"/>
  <c r="W45" i="6"/>
  <c r="W61" i="6" s="1"/>
  <c r="V45" i="6"/>
  <c r="U45" i="6"/>
  <c r="T45" i="6"/>
  <c r="S45" i="6"/>
  <c r="R45" i="6"/>
  <c r="Q45" i="6"/>
  <c r="P45" i="6"/>
  <c r="O45" i="6"/>
  <c r="N45" i="6"/>
  <c r="M45" i="6"/>
  <c r="AN44" i="6"/>
  <c r="X44" i="6"/>
  <c r="W44" i="6"/>
  <c r="V44" i="6"/>
  <c r="U44" i="6"/>
  <c r="T44" i="6"/>
  <c r="S44" i="6"/>
  <c r="R44" i="6"/>
  <c r="Q44" i="6"/>
  <c r="P44" i="6"/>
  <c r="O44" i="6"/>
  <c r="N44" i="6"/>
  <c r="M44" i="6"/>
  <c r="AN43" i="6"/>
  <c r="AM43" i="6"/>
  <c r="AK43" i="6"/>
  <c r="Y43" i="6"/>
  <c r="X43" i="6"/>
  <c r="W43" i="6"/>
  <c r="V43" i="6"/>
  <c r="U43" i="6"/>
  <c r="T43" i="6"/>
  <c r="S43" i="6"/>
  <c r="R43" i="6"/>
  <c r="Q43" i="6"/>
  <c r="P43" i="6"/>
  <c r="P59" i="6" s="1"/>
  <c r="O43" i="6"/>
  <c r="N43" i="6"/>
  <c r="M43" i="6"/>
  <c r="Y42" i="6"/>
  <c r="X42" i="6"/>
  <c r="W42" i="6"/>
  <c r="V42" i="6"/>
  <c r="U42" i="6"/>
  <c r="T42" i="6"/>
  <c r="AL42" i="6" s="1"/>
  <c r="S42" i="6"/>
  <c r="R42" i="6"/>
  <c r="Q42" i="6"/>
  <c r="P42" i="6"/>
  <c r="O42" i="6"/>
  <c r="N42" i="6"/>
  <c r="AN41" i="6"/>
  <c r="Y41" i="6"/>
  <c r="X41" i="6"/>
  <c r="W41" i="6"/>
  <c r="W57" i="6" s="1"/>
  <c r="V41" i="6"/>
  <c r="U41" i="6"/>
  <c r="T41" i="6"/>
  <c r="S41" i="6"/>
  <c r="S57" i="6" s="1"/>
  <c r="R41" i="6"/>
  <c r="Q41" i="6"/>
  <c r="P41" i="6"/>
  <c r="O41" i="6"/>
  <c r="N41" i="6"/>
  <c r="AM40" i="6"/>
  <c r="AK40" i="6"/>
  <c r="Y40" i="6"/>
  <c r="X40" i="6"/>
  <c r="AN40" i="6" s="1"/>
  <c r="W40" i="6"/>
  <c r="V40" i="6"/>
  <c r="U40" i="6"/>
  <c r="T40" i="6"/>
  <c r="S40" i="6"/>
  <c r="R40" i="6"/>
  <c r="Q40" i="6"/>
  <c r="P40" i="6"/>
  <c r="O40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V36" i="6"/>
  <c r="V5" i="6" s="1"/>
  <c r="S36" i="6"/>
  <c r="S5" i="6" s="1"/>
  <c r="Q36" i="6"/>
  <c r="Q5" i="6" s="1"/>
  <c r="AN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AN34" i="6"/>
  <c r="AK34" i="6"/>
  <c r="X34" i="6"/>
  <c r="X146" i="6" s="1"/>
  <c r="W34" i="6"/>
  <c r="W146" i="6" s="1"/>
  <c r="V34" i="6"/>
  <c r="U34" i="6"/>
  <c r="T34" i="6"/>
  <c r="S34" i="6"/>
  <c r="R34" i="6"/>
  <c r="Q34" i="6"/>
  <c r="P34" i="6"/>
  <c r="O34" i="6"/>
  <c r="N34" i="6"/>
  <c r="M34" i="6"/>
  <c r="L34" i="6"/>
  <c r="AN33" i="6"/>
  <c r="AM33" i="6"/>
  <c r="AL33" i="6"/>
  <c r="AA145" i="6"/>
  <c r="F167" i="9"/>
  <c r="X33" i="6"/>
  <c r="W33" i="6"/>
  <c r="V33" i="6"/>
  <c r="U33" i="6"/>
  <c r="T33" i="6"/>
  <c r="T145" i="6" s="1"/>
  <c r="S33" i="6"/>
  <c r="R33" i="6"/>
  <c r="R65" i="6" s="1"/>
  <c r="Q33" i="6"/>
  <c r="Q65" i="6" s="1"/>
  <c r="P33" i="6"/>
  <c r="P65" i="6" s="1"/>
  <c r="O33" i="6"/>
  <c r="O129" i="5" s="1"/>
  <c r="N33" i="6"/>
  <c r="M33" i="6"/>
  <c r="L33" i="6"/>
  <c r="L65" i="6" s="1"/>
  <c r="AN32" i="6"/>
  <c r="AC144" i="6"/>
  <c r="X32" i="6"/>
  <c r="W32" i="6"/>
  <c r="V32" i="6"/>
  <c r="V144" i="6" s="1"/>
  <c r="U32" i="6"/>
  <c r="U144" i="6" s="1"/>
  <c r="T32" i="6"/>
  <c r="S32" i="6"/>
  <c r="R32" i="6"/>
  <c r="Q32" i="6"/>
  <c r="P32" i="6"/>
  <c r="O32" i="6"/>
  <c r="N32" i="6"/>
  <c r="M32" i="6"/>
  <c r="L32" i="6"/>
  <c r="AD143" i="6"/>
  <c r="AC143" i="6"/>
  <c r="Z143" i="6"/>
  <c r="X31" i="6"/>
  <c r="W31" i="6"/>
  <c r="W143" i="6" s="1"/>
  <c r="V31" i="6"/>
  <c r="V143" i="6" s="1"/>
  <c r="U31" i="6"/>
  <c r="U143" i="6" s="1"/>
  <c r="T31" i="6"/>
  <c r="S31" i="6"/>
  <c r="R31" i="6"/>
  <c r="Q31" i="6"/>
  <c r="P31" i="6"/>
  <c r="O31" i="6"/>
  <c r="N31" i="6"/>
  <c r="M31" i="6"/>
  <c r="L31" i="6"/>
  <c r="AN30" i="6"/>
  <c r="AD142" i="6"/>
  <c r="AC142" i="6"/>
  <c r="AB142" i="6"/>
  <c r="AA142" i="6"/>
  <c r="Z142" i="6"/>
  <c r="X30" i="6"/>
  <c r="W30" i="6"/>
  <c r="W142" i="6" s="1"/>
  <c r="V30" i="6"/>
  <c r="U30" i="6"/>
  <c r="T30" i="6"/>
  <c r="S30" i="6"/>
  <c r="R30" i="6"/>
  <c r="Q30" i="6"/>
  <c r="P30" i="6"/>
  <c r="O30" i="6"/>
  <c r="N30" i="6"/>
  <c r="M30" i="6"/>
  <c r="L30" i="6"/>
  <c r="L62" i="6" s="1"/>
  <c r="AD141" i="6"/>
  <c r="AC141" i="6"/>
  <c r="Z141" i="6"/>
  <c r="X29" i="6"/>
  <c r="W29" i="6"/>
  <c r="V29" i="6"/>
  <c r="U29" i="6"/>
  <c r="T29" i="6"/>
  <c r="S29" i="6"/>
  <c r="R29" i="6"/>
  <c r="Q29" i="6"/>
  <c r="Q61" i="6" s="1"/>
  <c r="P29" i="6"/>
  <c r="O29" i="6"/>
  <c r="N29" i="6"/>
  <c r="M29" i="6"/>
  <c r="L29" i="6"/>
  <c r="L61" i="6" s="1"/>
  <c r="AD140" i="6"/>
  <c r="AA140" i="6"/>
  <c r="Z140" i="6"/>
  <c r="Y140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L60" i="6" s="1"/>
  <c r="AL27" i="6"/>
  <c r="AD139" i="6"/>
  <c r="AA139" i="6"/>
  <c r="Y27" i="6"/>
  <c r="X27" i="6"/>
  <c r="W27" i="6"/>
  <c r="V27" i="6"/>
  <c r="U27" i="6"/>
  <c r="T27" i="6"/>
  <c r="S27" i="6"/>
  <c r="R27" i="6"/>
  <c r="Q27" i="6"/>
  <c r="Q59" i="6" s="1"/>
  <c r="P27" i="6"/>
  <c r="O27" i="6"/>
  <c r="N27" i="6"/>
  <c r="M27" i="6"/>
  <c r="L27" i="6"/>
  <c r="AM26" i="6"/>
  <c r="AD138" i="6"/>
  <c r="AC138" i="6"/>
  <c r="Y26" i="6"/>
  <c r="X26" i="6"/>
  <c r="AN27" i="6" s="1"/>
  <c r="W26" i="6"/>
  <c r="V26" i="6"/>
  <c r="U26" i="6"/>
  <c r="T26" i="6"/>
  <c r="S26" i="6"/>
  <c r="R26" i="6"/>
  <c r="Q26" i="6"/>
  <c r="P26" i="6"/>
  <c r="O26" i="6"/>
  <c r="N26" i="6"/>
  <c r="M26" i="6"/>
  <c r="L26" i="6"/>
  <c r="L58" i="6" s="1"/>
  <c r="AN25" i="6"/>
  <c r="AM25" i="6"/>
  <c r="AL25" i="6"/>
  <c r="AK25" i="6"/>
  <c r="Y25" i="6"/>
  <c r="X25" i="6"/>
  <c r="W25" i="6"/>
  <c r="V25" i="6"/>
  <c r="U25" i="6"/>
  <c r="T25" i="6"/>
  <c r="S25" i="6"/>
  <c r="R25" i="6"/>
  <c r="Q25" i="6"/>
  <c r="P25" i="6"/>
  <c r="O25" i="6"/>
  <c r="N25" i="6"/>
  <c r="N137" i="6" s="1"/>
  <c r="M25" i="6"/>
  <c r="L25" i="6"/>
  <c r="L57" i="6" s="1"/>
  <c r="AD136" i="6"/>
  <c r="AC136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K19" i="6"/>
  <c r="J19" i="6"/>
  <c r="I19" i="6"/>
  <c r="H19" i="6"/>
  <c r="G19" i="6"/>
  <c r="F19" i="6"/>
  <c r="E19" i="6"/>
  <c r="D19" i="6"/>
  <c r="C19" i="6"/>
  <c r="K18" i="6"/>
  <c r="J18" i="6"/>
  <c r="I18" i="6"/>
  <c r="H18" i="6"/>
  <c r="G18" i="6"/>
  <c r="F18" i="6"/>
  <c r="E18" i="6"/>
  <c r="D18" i="6"/>
  <c r="C18" i="6"/>
  <c r="K17" i="6"/>
  <c r="J17" i="6"/>
  <c r="I17" i="6"/>
  <c r="H17" i="6"/>
  <c r="G17" i="6"/>
  <c r="F17" i="6"/>
  <c r="E17" i="6"/>
  <c r="D17" i="6"/>
  <c r="C17" i="6"/>
  <c r="K16" i="6"/>
  <c r="J16" i="6"/>
  <c r="I16" i="6"/>
  <c r="H16" i="6"/>
  <c r="G16" i="6"/>
  <c r="F16" i="6"/>
  <c r="E16" i="6"/>
  <c r="D16" i="6"/>
  <c r="C16" i="6"/>
  <c r="K15" i="6"/>
  <c r="J15" i="6"/>
  <c r="I15" i="6"/>
  <c r="H15" i="6"/>
  <c r="G15" i="6"/>
  <c r="F15" i="6"/>
  <c r="E15" i="6"/>
  <c r="D15" i="6"/>
  <c r="C15" i="6"/>
  <c r="X11" i="6"/>
  <c r="W11" i="6"/>
  <c r="V11" i="6"/>
  <c r="U11" i="6"/>
  <c r="T11" i="6"/>
  <c r="S11" i="6"/>
  <c r="R11" i="6"/>
  <c r="Q11" i="6"/>
  <c r="L11" i="6"/>
  <c r="Y4" i="6"/>
  <c r="X4" i="6"/>
  <c r="V4" i="6"/>
  <c r="V56" i="6" s="1"/>
  <c r="S4" i="6"/>
  <c r="S56" i="6" s="1"/>
  <c r="Q4" i="6"/>
  <c r="P4" i="6"/>
  <c r="N4" i="6"/>
  <c r="M4" i="6"/>
  <c r="M56" i="6" s="1"/>
  <c r="Q175" i="5"/>
  <c r="S174" i="5"/>
  <c r="R173" i="5"/>
  <c r="O173" i="5"/>
  <c r="R172" i="5"/>
  <c r="Q169" i="5"/>
  <c r="O169" i="5"/>
  <c r="U168" i="5"/>
  <c r="R168" i="5"/>
  <c r="Y167" i="5"/>
  <c r="W167" i="5"/>
  <c r="T167" i="5"/>
  <c r="S160" i="5"/>
  <c r="Q160" i="5"/>
  <c r="P160" i="5"/>
  <c r="M160" i="5"/>
  <c r="Y159" i="5"/>
  <c r="Q159" i="5"/>
  <c r="O158" i="5"/>
  <c r="R157" i="5"/>
  <c r="X156" i="5"/>
  <c r="S156" i="5"/>
  <c r="R156" i="5"/>
  <c r="O156" i="5"/>
  <c r="M156" i="5"/>
  <c r="X155" i="5"/>
  <c r="V155" i="5"/>
  <c r="U155" i="5"/>
  <c r="R155" i="5"/>
  <c r="O155" i="5"/>
  <c r="Q154" i="5"/>
  <c r="Q152" i="5"/>
  <c r="Q151" i="5"/>
  <c r="P151" i="5"/>
  <c r="O151" i="5"/>
  <c r="M151" i="5"/>
  <c r="L151" i="5"/>
  <c r="V149" i="5"/>
  <c r="S149" i="5"/>
  <c r="Q149" i="5"/>
  <c r="P149" i="5"/>
  <c r="M149" i="5"/>
  <c r="V131" i="5"/>
  <c r="T131" i="5"/>
  <c r="P130" i="5"/>
  <c r="AO129" i="5"/>
  <c r="S129" i="5"/>
  <c r="R129" i="5"/>
  <c r="Q129" i="5"/>
  <c r="M129" i="5"/>
  <c r="T128" i="5"/>
  <c r="P128" i="5"/>
  <c r="M128" i="5"/>
  <c r="AT127" i="5"/>
  <c r="AS127" i="5"/>
  <c r="S127" i="5"/>
  <c r="S126" i="5"/>
  <c r="R126" i="5"/>
  <c r="O126" i="5"/>
  <c r="T125" i="5"/>
  <c r="N125" i="5"/>
  <c r="AP124" i="5"/>
  <c r="W124" i="5"/>
  <c r="R124" i="5"/>
  <c r="O124" i="5"/>
  <c r="N124" i="5"/>
  <c r="U123" i="5"/>
  <c r="T123" i="5"/>
  <c r="Q123" i="5"/>
  <c r="P121" i="5"/>
  <c r="N121" i="5"/>
  <c r="M121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U116" i="5"/>
  <c r="AU15" i="5" s="1"/>
  <c r="Z116" i="5"/>
  <c r="Z15" i="5" s="1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X100" i="5"/>
  <c r="X12" i="5" s="1"/>
  <c r="W100" i="5"/>
  <c r="V100" i="5"/>
  <c r="U100" i="5"/>
  <c r="U12" i="5" s="1"/>
  <c r="T100" i="5"/>
  <c r="T12" i="5" s="1"/>
  <c r="S100" i="5"/>
  <c r="S12" i="5" s="1"/>
  <c r="S18" i="5" s="1"/>
  <c r="R100" i="5"/>
  <c r="Q100" i="5"/>
  <c r="Q12" i="5" s="1"/>
  <c r="P100" i="5"/>
  <c r="P12" i="5" s="1"/>
  <c r="O100" i="5"/>
  <c r="O12" i="5" s="1"/>
  <c r="N100" i="5"/>
  <c r="M100" i="5"/>
  <c r="L100" i="5"/>
  <c r="K100" i="5"/>
  <c r="J100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X98" i="5"/>
  <c r="W98" i="5"/>
  <c r="W83" i="5" s="1"/>
  <c r="V98" i="5"/>
  <c r="V83" i="5" s="1"/>
  <c r="U98" i="5"/>
  <c r="T98" i="5"/>
  <c r="S98" i="5"/>
  <c r="R98" i="5"/>
  <c r="Q98" i="5"/>
  <c r="P98" i="5"/>
  <c r="O98" i="5"/>
  <c r="N98" i="5"/>
  <c r="M98" i="5"/>
  <c r="L98" i="5"/>
  <c r="K98" i="5"/>
  <c r="J98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Y91" i="5"/>
  <c r="X91" i="5"/>
  <c r="W91" i="5"/>
  <c r="W75" i="5" s="1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M85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U82" i="5"/>
  <c r="T82" i="5"/>
  <c r="S82" i="5"/>
  <c r="R82" i="5"/>
  <c r="Q82" i="5"/>
  <c r="P82" i="5"/>
  <c r="O82" i="5"/>
  <c r="N82" i="5"/>
  <c r="M82" i="5"/>
  <c r="L82" i="5"/>
  <c r="L85" i="5" s="1"/>
  <c r="K82" i="5"/>
  <c r="J82" i="5"/>
  <c r="I82" i="5"/>
  <c r="H82" i="5"/>
  <c r="G82" i="5"/>
  <c r="F82" i="5"/>
  <c r="F85" i="5" s="1"/>
  <c r="E82" i="5"/>
  <c r="D82" i="5"/>
  <c r="C82" i="5"/>
  <c r="B82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U74" i="5"/>
  <c r="T74" i="5"/>
  <c r="S74" i="5"/>
  <c r="R74" i="5"/>
  <c r="Q74" i="5"/>
  <c r="Q85" i="5" s="1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G73" i="5"/>
  <c r="F73" i="5"/>
  <c r="E73" i="5"/>
  <c r="D73" i="5"/>
  <c r="C73" i="5"/>
  <c r="B73" i="5"/>
  <c r="B85" i="5" s="1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BF52" i="5"/>
  <c r="X52" i="5"/>
  <c r="W52" i="5"/>
  <c r="V52" i="5"/>
  <c r="U52" i="5"/>
  <c r="T52" i="5"/>
  <c r="S52" i="5"/>
  <c r="R52" i="5"/>
  <c r="Q52" i="5"/>
  <c r="P52" i="5"/>
  <c r="P175" i="5" s="1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BI51" i="5"/>
  <c r="BH51" i="5"/>
  <c r="BG51" i="5"/>
  <c r="BF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X50" i="5"/>
  <c r="W50" i="5"/>
  <c r="V50" i="5"/>
  <c r="BG50" i="5" s="1"/>
  <c r="U50" i="5"/>
  <c r="BF50" i="5" s="1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X49" i="5"/>
  <c r="W49" i="5"/>
  <c r="V49" i="5"/>
  <c r="BG49" i="5" s="1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BI48" i="5"/>
  <c r="BG48" i="5"/>
  <c r="BF48" i="5"/>
  <c r="X48" i="5"/>
  <c r="W48" i="5"/>
  <c r="BH48" i="5" s="1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BI47" i="5"/>
  <c r="Y47" i="5"/>
  <c r="X47" i="5"/>
  <c r="W47" i="5"/>
  <c r="V47" i="5"/>
  <c r="BG47" i="5" s="1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BH46" i="5"/>
  <c r="BG46" i="5"/>
  <c r="BF46" i="5"/>
  <c r="Y46" i="5"/>
  <c r="X46" i="5"/>
  <c r="BI46" i="5" s="1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BI45" i="5"/>
  <c r="BH45" i="5"/>
  <c r="BF45" i="5"/>
  <c r="BG45" i="5"/>
  <c r="Y45" i="5"/>
  <c r="X45" i="5"/>
  <c r="W45" i="5"/>
  <c r="V45" i="5"/>
  <c r="U45" i="5"/>
  <c r="T45" i="5"/>
  <c r="S45" i="5"/>
  <c r="R45" i="5"/>
  <c r="Q45" i="5"/>
  <c r="P45" i="5"/>
  <c r="O45" i="5"/>
  <c r="O168" i="5" s="1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Y44" i="5"/>
  <c r="X44" i="5"/>
  <c r="X76" i="5" s="1"/>
  <c r="W44" i="5"/>
  <c r="BH44" i="5" s="1"/>
  <c r="V44" i="5"/>
  <c r="BG44" i="5" s="1"/>
  <c r="U44" i="5"/>
  <c r="BF44" i="5" s="1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BI43" i="5"/>
  <c r="BH43" i="5"/>
  <c r="Y43" i="5"/>
  <c r="X43" i="5"/>
  <c r="W43" i="5"/>
  <c r="V43" i="5"/>
  <c r="BG43" i="5" s="1"/>
  <c r="U43" i="5"/>
  <c r="BF43" i="5" s="1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Y42" i="5"/>
  <c r="X42" i="5"/>
  <c r="BI42" i="5" s="1"/>
  <c r="W42" i="5"/>
  <c r="V42" i="5"/>
  <c r="BG42" i="5" s="1"/>
  <c r="U42" i="5"/>
  <c r="T42" i="5"/>
  <c r="S42" i="5"/>
  <c r="R42" i="5"/>
  <c r="Q42" i="5"/>
  <c r="P42" i="5"/>
  <c r="P165" i="5" s="1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BI41" i="5"/>
  <c r="BH41" i="5"/>
  <c r="BF41" i="5"/>
  <c r="Y41" i="5"/>
  <c r="X41" i="5"/>
  <c r="W41" i="5"/>
  <c r="V41" i="5"/>
  <c r="BG41" i="5" s="1"/>
  <c r="U41" i="5"/>
  <c r="T41" i="5"/>
  <c r="S41" i="5"/>
  <c r="R41" i="5"/>
  <c r="R53" i="5" s="1"/>
  <c r="R6" i="5" s="1"/>
  <c r="Q41" i="5"/>
  <c r="P41" i="5"/>
  <c r="O41" i="5"/>
  <c r="N41" i="5"/>
  <c r="M41" i="5"/>
  <c r="L41" i="5"/>
  <c r="K41" i="5"/>
  <c r="K53" i="5" s="1"/>
  <c r="K6" i="5" s="1"/>
  <c r="J41" i="5"/>
  <c r="I41" i="5"/>
  <c r="H41" i="5"/>
  <c r="G41" i="5"/>
  <c r="F41" i="5"/>
  <c r="E41" i="5"/>
  <c r="D41" i="5"/>
  <c r="C41" i="5"/>
  <c r="B41" i="5"/>
  <c r="B53" i="5" s="1"/>
  <c r="B6" i="5" s="1"/>
  <c r="BO40" i="5"/>
  <c r="BM40" i="5"/>
  <c r="BI40" i="5"/>
  <c r="BH40" i="5"/>
  <c r="BG40" i="5"/>
  <c r="BF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BP40" i="5" s="1"/>
  <c r="W40" i="5"/>
  <c r="V40" i="5"/>
  <c r="BN40" i="5" s="1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Y131" i="5"/>
  <c r="AX131" i="5"/>
  <c r="AW131" i="5"/>
  <c r="AV131" i="5"/>
  <c r="AU131" i="5"/>
  <c r="AT131" i="5"/>
  <c r="AS131" i="5"/>
  <c r="AR131" i="5"/>
  <c r="AQ131" i="5"/>
  <c r="AP131" i="5"/>
  <c r="AO131" i="5"/>
  <c r="AN131" i="5"/>
  <c r="AJ131" i="5"/>
  <c r="AI131" i="5"/>
  <c r="AF131" i="5"/>
  <c r="AE131" i="5"/>
  <c r="AD131" i="5"/>
  <c r="AC131" i="5"/>
  <c r="AA131" i="5"/>
  <c r="Y160" i="5"/>
  <c r="X36" i="5"/>
  <c r="X160" i="5" s="1"/>
  <c r="W36" i="5"/>
  <c r="W131" i="5" s="1"/>
  <c r="V36" i="5"/>
  <c r="U36" i="5"/>
  <c r="U131" i="5" s="1"/>
  <c r="T36" i="5"/>
  <c r="S36" i="5"/>
  <c r="R36" i="5"/>
  <c r="Q36" i="5"/>
  <c r="P36" i="5"/>
  <c r="P131" i="5" s="1"/>
  <c r="O36" i="5"/>
  <c r="N36" i="5"/>
  <c r="M36" i="5"/>
  <c r="M131" i="5" s="1"/>
  <c r="L36" i="5"/>
  <c r="K36" i="5"/>
  <c r="J36" i="5"/>
  <c r="I36" i="5"/>
  <c r="H36" i="5"/>
  <c r="G36" i="5"/>
  <c r="F36" i="5"/>
  <c r="E36" i="5"/>
  <c r="D36" i="5"/>
  <c r="C36" i="5"/>
  <c r="B36" i="5"/>
  <c r="AY130" i="5"/>
  <c r="AX130" i="5"/>
  <c r="AW130" i="5"/>
  <c r="AV130" i="5"/>
  <c r="AU130" i="5"/>
  <c r="AT130" i="5"/>
  <c r="AS130" i="5"/>
  <c r="AR130" i="5"/>
  <c r="AQ130" i="5"/>
  <c r="AP130" i="5"/>
  <c r="AO130" i="5"/>
  <c r="AN130" i="5"/>
  <c r="AK130" i="5"/>
  <c r="AJ130" i="5"/>
  <c r="AI130" i="5"/>
  <c r="AH130" i="5"/>
  <c r="AG130" i="5"/>
  <c r="AF130" i="5"/>
  <c r="AE130" i="5"/>
  <c r="AD130" i="5"/>
  <c r="Z130" i="5"/>
  <c r="X35" i="5"/>
  <c r="W35" i="5"/>
  <c r="W159" i="5" s="1"/>
  <c r="V35" i="5"/>
  <c r="V174" i="5" s="1"/>
  <c r="U35" i="5"/>
  <c r="T35" i="5"/>
  <c r="S35" i="5"/>
  <c r="S159" i="5" s="1"/>
  <c r="R35" i="5"/>
  <c r="Q35" i="5"/>
  <c r="P35" i="5"/>
  <c r="O35" i="5"/>
  <c r="N35" i="5"/>
  <c r="N130" i="5" s="1"/>
  <c r="M35" i="5"/>
  <c r="L35" i="5"/>
  <c r="K35" i="5"/>
  <c r="J35" i="5"/>
  <c r="I35" i="5"/>
  <c r="H35" i="5"/>
  <c r="G35" i="5"/>
  <c r="F35" i="5"/>
  <c r="E35" i="5"/>
  <c r="D35" i="5"/>
  <c r="C35" i="5"/>
  <c r="B35" i="5"/>
  <c r="AY129" i="5"/>
  <c r="AX129" i="5"/>
  <c r="AW129" i="5"/>
  <c r="AV129" i="5"/>
  <c r="AU129" i="5"/>
  <c r="AT129" i="5"/>
  <c r="AS129" i="5"/>
  <c r="AR129" i="5"/>
  <c r="AQ129" i="5"/>
  <c r="AP129" i="5"/>
  <c r="AN129" i="5"/>
  <c r="AM129" i="5"/>
  <c r="AL129" i="5"/>
  <c r="AJ129" i="5"/>
  <c r="AI129" i="5"/>
  <c r="AH129" i="5"/>
  <c r="AG129" i="5"/>
  <c r="AF129" i="5"/>
  <c r="AE129" i="5"/>
  <c r="AD129" i="5"/>
  <c r="AC129" i="5"/>
  <c r="AB129" i="5"/>
  <c r="AA129" i="5"/>
  <c r="X34" i="5"/>
  <c r="X158" i="5" s="1"/>
  <c r="W34" i="5"/>
  <c r="V34" i="5"/>
  <c r="V173" i="5" s="1"/>
  <c r="U34" i="5"/>
  <c r="T34" i="5"/>
  <c r="S34" i="5"/>
  <c r="R34" i="5"/>
  <c r="R158" i="5" s="1"/>
  <c r="Q34" i="5"/>
  <c r="P34" i="5"/>
  <c r="O34" i="5"/>
  <c r="N34" i="5"/>
  <c r="M34" i="5"/>
  <c r="M158" i="5" s="1"/>
  <c r="L34" i="5"/>
  <c r="K34" i="5"/>
  <c r="J34" i="5"/>
  <c r="I34" i="5"/>
  <c r="H34" i="5"/>
  <c r="G34" i="5"/>
  <c r="F34" i="5"/>
  <c r="E34" i="5"/>
  <c r="D34" i="5"/>
  <c r="C34" i="5"/>
  <c r="B34" i="5"/>
  <c r="AY128" i="5"/>
  <c r="AX128" i="5"/>
  <c r="AW128" i="5"/>
  <c r="AV128" i="5"/>
  <c r="AU128" i="5"/>
  <c r="AT128" i="5"/>
  <c r="AS128" i="5"/>
  <c r="AR128" i="5"/>
  <c r="AQ128" i="5"/>
  <c r="AP128" i="5"/>
  <c r="AO128" i="5"/>
  <c r="AJ128" i="5"/>
  <c r="AI128" i="5"/>
  <c r="AF128" i="5"/>
  <c r="AE128" i="5"/>
  <c r="AD128" i="5"/>
  <c r="AC128" i="5"/>
  <c r="X33" i="5"/>
  <c r="W33" i="5"/>
  <c r="V33" i="5"/>
  <c r="U33" i="5"/>
  <c r="U172" i="5" s="1"/>
  <c r="T33" i="5"/>
  <c r="S33" i="5"/>
  <c r="R33" i="5"/>
  <c r="R128" i="5" s="1"/>
  <c r="Q33" i="5"/>
  <c r="P33" i="5"/>
  <c r="O33" i="5"/>
  <c r="N33" i="5"/>
  <c r="M33" i="5"/>
  <c r="M157" i="5" s="1"/>
  <c r="L33" i="5"/>
  <c r="L157" i="5" s="1"/>
  <c r="K33" i="5"/>
  <c r="J33" i="5"/>
  <c r="I33" i="5"/>
  <c r="H33" i="5"/>
  <c r="G33" i="5"/>
  <c r="F33" i="5"/>
  <c r="E33" i="5"/>
  <c r="D33" i="5"/>
  <c r="C33" i="5"/>
  <c r="B33" i="5"/>
  <c r="AY127" i="5"/>
  <c r="AX127" i="5"/>
  <c r="AW127" i="5"/>
  <c r="AV127" i="5"/>
  <c r="AU127" i="5"/>
  <c r="AR127" i="5"/>
  <c r="AQ127" i="5"/>
  <c r="AP127" i="5"/>
  <c r="AO127" i="5"/>
  <c r="AJ127" i="5"/>
  <c r="AI127" i="5"/>
  <c r="X32" i="5"/>
  <c r="X127" i="5" s="1"/>
  <c r="W32" i="5"/>
  <c r="V32" i="5"/>
  <c r="V171" i="5" s="1"/>
  <c r="U32" i="5"/>
  <c r="U156" i="5" s="1"/>
  <c r="T32" i="5"/>
  <c r="S32" i="5"/>
  <c r="R32" i="5"/>
  <c r="Q32" i="5"/>
  <c r="P32" i="5"/>
  <c r="O32" i="5"/>
  <c r="N32" i="5"/>
  <c r="M32" i="5"/>
  <c r="M127" i="5" s="1"/>
  <c r="L32" i="5"/>
  <c r="K32" i="5"/>
  <c r="J32" i="5"/>
  <c r="I32" i="5"/>
  <c r="H32" i="5"/>
  <c r="G32" i="5"/>
  <c r="F32" i="5"/>
  <c r="E32" i="5"/>
  <c r="D32" i="5"/>
  <c r="C32" i="5"/>
  <c r="B32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J126" i="5"/>
  <c r="AI126" i="5"/>
  <c r="Z126" i="5"/>
  <c r="Y31" i="5"/>
  <c r="X31" i="5"/>
  <c r="X126" i="5" s="1"/>
  <c r="W31" i="5"/>
  <c r="V31" i="5"/>
  <c r="U31" i="5"/>
  <c r="T31" i="5"/>
  <c r="S31" i="5"/>
  <c r="R31" i="5"/>
  <c r="R170" i="5" s="1"/>
  <c r="Q31" i="5"/>
  <c r="P31" i="5"/>
  <c r="O31" i="5"/>
  <c r="O170" i="5" s="1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Y125" i="5"/>
  <c r="AX125" i="5"/>
  <c r="AW125" i="5"/>
  <c r="AV125" i="5"/>
  <c r="AU125" i="5"/>
  <c r="AT125" i="5"/>
  <c r="AS125" i="5"/>
  <c r="AR125" i="5"/>
  <c r="AQ125" i="5"/>
  <c r="AP125" i="5"/>
  <c r="AO125" i="5"/>
  <c r="AJ125" i="5"/>
  <c r="AI125" i="5"/>
  <c r="AH125" i="5"/>
  <c r="AG125" i="5"/>
  <c r="AF125" i="5"/>
  <c r="AE125" i="5"/>
  <c r="AD125" i="5"/>
  <c r="Z125" i="5"/>
  <c r="Y30" i="5"/>
  <c r="X30" i="5"/>
  <c r="W30" i="5"/>
  <c r="V30" i="5"/>
  <c r="U30" i="5"/>
  <c r="T30" i="5"/>
  <c r="S30" i="5"/>
  <c r="R30" i="5"/>
  <c r="Q30" i="5"/>
  <c r="P30" i="5"/>
  <c r="O30" i="5"/>
  <c r="N30" i="5"/>
  <c r="N154" i="5" s="1"/>
  <c r="M30" i="5"/>
  <c r="L30" i="5"/>
  <c r="L125" i="5" s="1"/>
  <c r="K30" i="5"/>
  <c r="J30" i="5"/>
  <c r="I30" i="5"/>
  <c r="H30" i="5"/>
  <c r="G30" i="5"/>
  <c r="F30" i="5"/>
  <c r="E30" i="5"/>
  <c r="D30" i="5"/>
  <c r="C30" i="5"/>
  <c r="B30" i="5"/>
  <c r="AY124" i="5"/>
  <c r="AX124" i="5"/>
  <c r="AW124" i="5"/>
  <c r="AV124" i="5"/>
  <c r="AU124" i="5"/>
  <c r="AT124" i="5"/>
  <c r="AS124" i="5"/>
  <c r="AR124" i="5"/>
  <c r="AQ124" i="5"/>
  <c r="AO124" i="5"/>
  <c r="AJ124" i="5"/>
  <c r="AI124" i="5"/>
  <c r="AH124" i="5"/>
  <c r="Y29" i="5"/>
  <c r="X29" i="5"/>
  <c r="W29" i="5"/>
  <c r="V29" i="5"/>
  <c r="U29" i="5"/>
  <c r="T29" i="5"/>
  <c r="S29" i="5"/>
  <c r="R29" i="5"/>
  <c r="R153" i="5" s="1"/>
  <c r="Q29" i="5"/>
  <c r="Q153" i="5" s="1"/>
  <c r="P29" i="5"/>
  <c r="P153" i="5" s="1"/>
  <c r="O29" i="5"/>
  <c r="O153" i="5" s="1"/>
  <c r="N29" i="5"/>
  <c r="N153" i="5" s="1"/>
  <c r="M29" i="5"/>
  <c r="L29" i="5"/>
  <c r="K29" i="5"/>
  <c r="J29" i="5"/>
  <c r="I29" i="5"/>
  <c r="H29" i="5"/>
  <c r="G29" i="5"/>
  <c r="F29" i="5"/>
  <c r="F37" i="5" s="1"/>
  <c r="F5" i="5" s="1"/>
  <c r="E29" i="5"/>
  <c r="D29" i="5"/>
  <c r="C29" i="5"/>
  <c r="B29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L123" i="5"/>
  <c r="AJ123" i="5"/>
  <c r="Z123" i="5"/>
  <c r="Y28" i="5"/>
  <c r="Y123" i="5" s="1"/>
  <c r="X28" i="5"/>
  <c r="X152" i="5" s="1"/>
  <c r="W28" i="5"/>
  <c r="V28" i="5"/>
  <c r="V167" i="5" s="1"/>
  <c r="U28" i="5"/>
  <c r="U167" i="5" s="1"/>
  <c r="T28" i="5"/>
  <c r="T152" i="5" s="1"/>
  <c r="S28" i="5"/>
  <c r="R28" i="5"/>
  <c r="Q28" i="5"/>
  <c r="Q167" i="5" s="1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Y122" i="5"/>
  <c r="AX122" i="5"/>
  <c r="AW122" i="5"/>
  <c r="AV122" i="5"/>
  <c r="AU122" i="5"/>
  <c r="AT122" i="5"/>
  <c r="AS122" i="5"/>
  <c r="AR122" i="5"/>
  <c r="AQ122" i="5"/>
  <c r="AP122" i="5"/>
  <c r="AO122" i="5"/>
  <c r="AM122" i="5"/>
  <c r="AJ122" i="5"/>
  <c r="AI122" i="5"/>
  <c r="AB122" i="5"/>
  <c r="Y27" i="5"/>
  <c r="X27" i="5"/>
  <c r="W27" i="5"/>
  <c r="W151" i="5" s="1"/>
  <c r="V27" i="5"/>
  <c r="U27" i="5"/>
  <c r="T27" i="5"/>
  <c r="S27" i="5"/>
  <c r="R27" i="5"/>
  <c r="R151" i="5" s="1"/>
  <c r="Q27" i="5"/>
  <c r="P27" i="5"/>
  <c r="O27" i="5"/>
  <c r="N27" i="5"/>
  <c r="M27" i="5"/>
  <c r="M122" i="5" s="1"/>
  <c r="L27" i="5"/>
  <c r="L122" i="5" s="1"/>
  <c r="K27" i="5"/>
  <c r="J27" i="5"/>
  <c r="I27" i="5"/>
  <c r="H27" i="5"/>
  <c r="G27" i="5"/>
  <c r="F27" i="5"/>
  <c r="E27" i="5"/>
  <c r="D27" i="5"/>
  <c r="C27" i="5"/>
  <c r="B27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G121" i="5"/>
  <c r="AF121" i="5"/>
  <c r="AE121" i="5"/>
  <c r="AD121" i="5"/>
  <c r="AC121" i="5"/>
  <c r="AB121" i="5"/>
  <c r="Y26" i="5"/>
  <c r="X26" i="5"/>
  <c r="W26" i="5"/>
  <c r="V26" i="5"/>
  <c r="U26" i="5"/>
  <c r="T26" i="5"/>
  <c r="S26" i="5"/>
  <c r="S150" i="5" s="1"/>
  <c r="R26" i="5"/>
  <c r="Q26" i="5"/>
  <c r="P26" i="5"/>
  <c r="P150" i="5" s="1"/>
  <c r="O26" i="5"/>
  <c r="O150" i="5" s="1"/>
  <c r="N26" i="5"/>
  <c r="N150" i="5" s="1"/>
  <c r="M26" i="5"/>
  <c r="M150" i="5" s="1"/>
  <c r="L26" i="5"/>
  <c r="L150" i="5" s="1"/>
  <c r="K26" i="5"/>
  <c r="J26" i="5"/>
  <c r="I26" i="5"/>
  <c r="H26" i="5"/>
  <c r="G26" i="5"/>
  <c r="F26" i="5"/>
  <c r="E26" i="5"/>
  <c r="D26" i="5"/>
  <c r="C26" i="5"/>
  <c r="C37" i="5" s="1"/>
  <c r="C5" i="5" s="1"/>
  <c r="B26" i="5"/>
  <c r="B37" i="5" s="1"/>
  <c r="B5" i="5" s="1"/>
  <c r="AW120" i="5"/>
  <c r="AU120" i="5"/>
  <c r="AT120" i="5"/>
  <c r="AS120" i="5"/>
  <c r="AR120" i="5"/>
  <c r="AQ120" i="5"/>
  <c r="AO120" i="5"/>
  <c r="AL120" i="5"/>
  <c r="AK120" i="5"/>
  <c r="AJ120" i="5"/>
  <c r="AI120" i="5"/>
  <c r="AH120" i="5"/>
  <c r="AG120" i="5"/>
  <c r="AF120" i="5"/>
  <c r="Y25" i="5"/>
  <c r="Y120" i="5" s="1"/>
  <c r="X25" i="5"/>
  <c r="W25" i="5"/>
  <c r="W73" i="5" s="1"/>
  <c r="V25" i="5"/>
  <c r="V73" i="5" s="1"/>
  <c r="U25" i="5"/>
  <c r="T25" i="5"/>
  <c r="S25" i="5"/>
  <c r="S120" i="5" s="1"/>
  <c r="R25" i="5"/>
  <c r="Q25" i="5"/>
  <c r="Q164" i="5" s="1"/>
  <c r="P25" i="5"/>
  <c r="O25" i="5"/>
  <c r="N25" i="5"/>
  <c r="M25" i="5"/>
  <c r="M120" i="5" s="1"/>
  <c r="L25" i="5"/>
  <c r="K25" i="5"/>
  <c r="J25" i="5"/>
  <c r="I25" i="5"/>
  <c r="I37" i="5" s="1"/>
  <c r="I5" i="5" s="1"/>
  <c r="H25" i="5"/>
  <c r="H37" i="5" s="1"/>
  <c r="H5" i="5" s="1"/>
  <c r="G25" i="5"/>
  <c r="F25" i="5"/>
  <c r="E25" i="5"/>
  <c r="D25" i="5"/>
  <c r="D37" i="5" s="1"/>
  <c r="D5" i="5" s="1"/>
  <c r="C25" i="5"/>
  <c r="B25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N18" i="5"/>
  <c r="L18" i="5"/>
  <c r="K18" i="5"/>
  <c r="I18" i="5"/>
  <c r="H18" i="5"/>
  <c r="W12" i="5"/>
  <c r="V12" i="5"/>
  <c r="W4" i="5" s="1"/>
  <c r="R12" i="5"/>
  <c r="N12" i="5"/>
  <c r="O4" i="5" s="1"/>
  <c r="M12" i="5"/>
  <c r="L12" i="5"/>
  <c r="M4" i="5" s="1"/>
  <c r="K12" i="5"/>
  <c r="L4" i="5" s="1"/>
  <c r="J12" i="5"/>
  <c r="I12" i="5"/>
  <c r="J4" i="5" s="1"/>
  <c r="H12" i="5"/>
  <c r="I4" i="5" s="1"/>
  <c r="G12" i="5"/>
  <c r="H4" i="5" s="1"/>
  <c r="F12" i="5"/>
  <c r="G4" i="5" s="1"/>
  <c r="E12" i="5"/>
  <c r="E18" i="5" s="1"/>
  <c r="D12" i="5"/>
  <c r="D18" i="5" s="1"/>
  <c r="C12" i="5"/>
  <c r="C18" i="5" s="1"/>
  <c r="B12" i="5"/>
  <c r="L10" i="5"/>
  <c r="K10" i="5"/>
  <c r="J10" i="5"/>
  <c r="I10" i="5"/>
  <c r="H10" i="5"/>
  <c r="G10" i="5"/>
  <c r="F10" i="5"/>
  <c r="E10" i="5"/>
  <c r="D10" i="5"/>
  <c r="C10" i="5"/>
  <c r="B10" i="5"/>
  <c r="BB9" i="5"/>
  <c r="BA9" i="5"/>
  <c r="W9" i="5"/>
  <c r="V9" i="5"/>
  <c r="I9" i="5"/>
  <c r="AY53" i="5"/>
  <c r="AX53" i="5"/>
  <c r="AW53" i="5"/>
  <c r="AV53" i="5"/>
  <c r="AU53" i="5"/>
  <c r="AT53" i="5"/>
  <c r="AS53" i="5"/>
  <c r="AR53" i="5"/>
  <c r="AQ53" i="5"/>
  <c r="AP53" i="5"/>
  <c r="V4" i="5"/>
  <c r="U4" i="5"/>
  <c r="Q4" i="5"/>
  <c r="F4" i="5"/>
  <c r="E4" i="5"/>
  <c r="D4" i="5"/>
  <c r="C4" i="5"/>
  <c r="AL638" i="4"/>
  <c r="B638" i="4"/>
  <c r="AL637" i="4"/>
  <c r="B637" i="4"/>
  <c r="AL636" i="4"/>
  <c r="B636" i="4"/>
  <c r="AL635" i="4"/>
  <c r="B635" i="4"/>
  <c r="AL634" i="4"/>
  <c r="B634" i="4"/>
  <c r="AL633" i="4"/>
  <c r="B633" i="4"/>
  <c r="AL632" i="4"/>
  <c r="B632" i="4"/>
  <c r="AL631" i="4"/>
  <c r="B631" i="4"/>
  <c r="AL630" i="4"/>
  <c r="B630" i="4"/>
  <c r="AL629" i="4"/>
  <c r="B629" i="4"/>
  <c r="AL628" i="4"/>
  <c r="B628" i="4"/>
  <c r="AL627" i="4"/>
  <c r="B627" i="4"/>
  <c r="AL626" i="4"/>
  <c r="B626" i="4"/>
  <c r="AL625" i="4"/>
  <c r="B625" i="4"/>
  <c r="AL624" i="4"/>
  <c r="B624" i="4"/>
  <c r="AL623" i="4"/>
  <c r="B623" i="4"/>
  <c r="CL622" i="4"/>
  <c r="CK622" i="4"/>
  <c r="CJ622" i="4"/>
  <c r="CI622" i="4"/>
  <c r="CH622" i="4"/>
  <c r="CG622" i="4"/>
  <c r="AL622" i="4"/>
  <c r="B622" i="4"/>
  <c r="CL621" i="4"/>
  <c r="CK621" i="4"/>
  <c r="CJ621" i="4"/>
  <c r="CI621" i="4"/>
  <c r="CH621" i="4"/>
  <c r="CG621" i="4"/>
  <c r="AM621" i="4"/>
  <c r="AL621" i="4"/>
  <c r="B621" i="4"/>
  <c r="CL620" i="4"/>
  <c r="CK620" i="4"/>
  <c r="CJ620" i="4"/>
  <c r="CI620" i="4"/>
  <c r="CH620" i="4"/>
  <c r="CG620" i="4"/>
  <c r="AM620" i="4"/>
  <c r="AL620" i="4"/>
  <c r="B620" i="4"/>
  <c r="CL619" i="4"/>
  <c r="CK619" i="4"/>
  <c r="CJ619" i="4"/>
  <c r="CI619" i="4"/>
  <c r="CH619" i="4"/>
  <c r="CG619" i="4"/>
  <c r="AM619" i="4"/>
  <c r="AL619" i="4"/>
  <c r="B619" i="4"/>
  <c r="CL618" i="4"/>
  <c r="CK618" i="4"/>
  <c r="CJ618" i="4"/>
  <c r="CI618" i="4"/>
  <c r="Y120" i="7" s="1"/>
  <c r="CH618" i="4"/>
  <c r="CG618" i="4"/>
  <c r="AM618" i="4"/>
  <c r="AL618" i="4"/>
  <c r="B618" i="4"/>
  <c r="CL617" i="4"/>
  <c r="CK617" i="4"/>
  <c r="CJ617" i="4"/>
  <c r="CI617" i="4"/>
  <c r="Y119" i="8" s="1"/>
  <c r="CH617" i="4"/>
  <c r="CG617" i="4"/>
  <c r="AM617" i="4"/>
  <c r="AL617" i="4"/>
  <c r="B617" i="4"/>
  <c r="CL616" i="4"/>
  <c r="CK616" i="4"/>
  <c r="CJ616" i="4"/>
  <c r="CI616" i="4"/>
  <c r="CH616" i="4"/>
  <c r="CG616" i="4"/>
  <c r="AM616" i="4"/>
  <c r="AL616" i="4"/>
  <c r="B616" i="4"/>
  <c r="CL615" i="4"/>
  <c r="CK615" i="4"/>
  <c r="CJ615" i="4"/>
  <c r="CI615" i="4"/>
  <c r="CH615" i="4"/>
  <c r="CG615" i="4"/>
  <c r="AM615" i="4"/>
  <c r="AL615" i="4"/>
  <c r="B615" i="4"/>
  <c r="CL614" i="4"/>
  <c r="CK614" i="4"/>
  <c r="CJ614" i="4"/>
  <c r="CI614" i="4"/>
  <c r="CH614" i="4"/>
  <c r="CG614" i="4"/>
  <c r="AM614" i="4"/>
  <c r="AL614" i="4"/>
  <c r="CL613" i="4"/>
  <c r="CK613" i="4"/>
  <c r="CJ613" i="4"/>
  <c r="CI613" i="4"/>
  <c r="CH613" i="4"/>
  <c r="CG613" i="4"/>
  <c r="AM613" i="4"/>
  <c r="AL613" i="4"/>
  <c r="CL612" i="4"/>
  <c r="CK612" i="4"/>
  <c r="CJ612" i="4"/>
  <c r="CI612" i="4"/>
  <c r="CH612" i="4"/>
  <c r="CG612" i="4"/>
  <c r="AM612" i="4"/>
  <c r="AL612" i="4"/>
  <c r="CL611" i="4"/>
  <c r="CK611" i="4"/>
  <c r="CJ611" i="4"/>
  <c r="CI611" i="4"/>
  <c r="CH611" i="4"/>
  <c r="CG611" i="4"/>
  <c r="AM611" i="4"/>
  <c r="AL611" i="4"/>
  <c r="CL610" i="4"/>
  <c r="CK610" i="4"/>
  <c r="CJ610" i="4"/>
  <c r="CI610" i="4"/>
  <c r="CH610" i="4"/>
  <c r="CG610" i="4"/>
  <c r="AM610" i="4"/>
  <c r="AL610" i="4"/>
  <c r="CL609" i="4"/>
  <c r="CK609" i="4"/>
  <c r="CJ609" i="4"/>
  <c r="CI609" i="4"/>
  <c r="CH609" i="4"/>
  <c r="CG609" i="4"/>
  <c r="AM609" i="4"/>
  <c r="AL609" i="4"/>
  <c r="CL608" i="4"/>
  <c r="CK608" i="4"/>
  <c r="CJ608" i="4"/>
  <c r="CI608" i="4"/>
  <c r="CH608" i="4"/>
  <c r="CG608" i="4"/>
  <c r="AM608" i="4"/>
  <c r="AL608" i="4"/>
  <c r="CL607" i="4"/>
  <c r="CK607" i="4"/>
  <c r="CJ607" i="4"/>
  <c r="CI607" i="4"/>
  <c r="CH607" i="4"/>
  <c r="CG607" i="4"/>
  <c r="AL607" i="4"/>
  <c r="CL606" i="4"/>
  <c r="CK606" i="4"/>
  <c r="CJ606" i="4"/>
  <c r="CI606" i="4"/>
  <c r="CH606" i="4"/>
  <c r="CG606" i="4"/>
  <c r="AL606" i="4"/>
  <c r="CL605" i="4"/>
  <c r="CK605" i="4"/>
  <c r="CJ605" i="4"/>
  <c r="CI605" i="4"/>
  <c r="CH605" i="4"/>
  <c r="CG605" i="4"/>
  <c r="AL605" i="4"/>
  <c r="CL604" i="4"/>
  <c r="CK604" i="4"/>
  <c r="CJ604" i="4"/>
  <c r="CI604" i="4"/>
  <c r="CH604" i="4"/>
  <c r="CG604" i="4"/>
  <c r="AL604" i="4"/>
  <c r="CL603" i="4"/>
  <c r="CK603" i="4"/>
  <c r="CJ603" i="4"/>
  <c r="CI603" i="4"/>
  <c r="CH603" i="4"/>
  <c r="CG603" i="4"/>
  <c r="AL603" i="4"/>
  <c r="CL602" i="4"/>
  <c r="CK602" i="4"/>
  <c r="CJ602" i="4"/>
  <c r="CI602" i="4"/>
  <c r="CH602" i="4"/>
  <c r="CG602" i="4"/>
  <c r="AL602" i="4"/>
  <c r="CL601" i="4"/>
  <c r="CK601" i="4"/>
  <c r="CJ601" i="4"/>
  <c r="CI601" i="4"/>
  <c r="CH601" i="4"/>
  <c r="CG601" i="4"/>
  <c r="AL601" i="4"/>
  <c r="CL600" i="4"/>
  <c r="CK600" i="4"/>
  <c r="CJ600" i="4"/>
  <c r="CI600" i="4"/>
  <c r="CH600" i="4"/>
  <c r="CG600" i="4"/>
  <c r="AL600" i="4"/>
  <c r="CL599" i="4"/>
  <c r="CK599" i="4"/>
  <c r="CJ599" i="4"/>
  <c r="CI599" i="4"/>
  <c r="CH599" i="4"/>
  <c r="CG599" i="4"/>
  <c r="AL599" i="4"/>
  <c r="CL598" i="4"/>
  <c r="CK598" i="4"/>
  <c r="CJ598" i="4"/>
  <c r="CI598" i="4"/>
  <c r="CH598" i="4"/>
  <c r="CG598" i="4"/>
  <c r="AL598" i="4"/>
  <c r="CL597" i="4"/>
  <c r="CK597" i="4"/>
  <c r="CJ597" i="4"/>
  <c r="CI597" i="4"/>
  <c r="CH597" i="4"/>
  <c r="CG597" i="4"/>
  <c r="AL597" i="4"/>
  <c r="CL596" i="4"/>
  <c r="CK596" i="4"/>
  <c r="CJ596" i="4"/>
  <c r="CI596" i="4"/>
  <c r="CH596" i="4"/>
  <c r="CG596" i="4"/>
  <c r="AL596" i="4"/>
  <c r="CL595" i="4"/>
  <c r="CK595" i="4"/>
  <c r="CJ595" i="4"/>
  <c r="CI595" i="4"/>
  <c r="CH595" i="4"/>
  <c r="CG595" i="4"/>
  <c r="AL595" i="4"/>
  <c r="CL594" i="4"/>
  <c r="CK594" i="4"/>
  <c r="CJ594" i="4"/>
  <c r="CI594" i="4"/>
  <c r="CH594" i="4"/>
  <c r="CG594" i="4"/>
  <c r="AL594" i="4"/>
  <c r="CL593" i="4"/>
  <c r="CK593" i="4"/>
  <c r="CJ593" i="4"/>
  <c r="CI593" i="4"/>
  <c r="CH593" i="4"/>
  <c r="CG593" i="4"/>
  <c r="AL593" i="4"/>
  <c r="CL592" i="4"/>
  <c r="CK592" i="4"/>
  <c r="CJ592" i="4"/>
  <c r="CI592" i="4"/>
  <c r="CH592" i="4"/>
  <c r="CG592" i="4"/>
  <c r="AL592" i="4"/>
  <c r="CL591" i="4"/>
  <c r="CK591" i="4"/>
  <c r="CJ591" i="4"/>
  <c r="CI591" i="4"/>
  <c r="CH591" i="4"/>
  <c r="CG591" i="4"/>
  <c r="AL591" i="4"/>
  <c r="CL590" i="4"/>
  <c r="CK590" i="4"/>
  <c r="CJ590" i="4"/>
  <c r="CI590" i="4"/>
  <c r="CH590" i="4"/>
  <c r="CG590" i="4"/>
  <c r="AL590" i="4"/>
  <c r="CL589" i="4"/>
  <c r="CK589" i="4"/>
  <c r="CJ589" i="4"/>
  <c r="CI589" i="4"/>
  <c r="CH589" i="4"/>
  <c r="CG589" i="4"/>
  <c r="AL589" i="4"/>
  <c r="CL588" i="4"/>
  <c r="CK588" i="4"/>
  <c r="CJ588" i="4"/>
  <c r="CI588" i="4"/>
  <c r="CH588" i="4"/>
  <c r="CG588" i="4"/>
  <c r="AL588" i="4"/>
  <c r="CL587" i="4"/>
  <c r="CK587" i="4"/>
  <c r="CJ587" i="4"/>
  <c r="CI587" i="4"/>
  <c r="V125" i="8" s="1"/>
  <c r="CH587" i="4"/>
  <c r="CG587" i="4"/>
  <c r="AL587" i="4"/>
  <c r="CL586" i="4"/>
  <c r="CK586" i="4"/>
  <c r="CJ586" i="4"/>
  <c r="CI586" i="4"/>
  <c r="CH586" i="4"/>
  <c r="CG586" i="4"/>
  <c r="AL586" i="4"/>
  <c r="CL585" i="4"/>
  <c r="CK585" i="4"/>
  <c r="CJ585" i="4"/>
  <c r="CI585" i="4"/>
  <c r="CH585" i="4"/>
  <c r="CG585" i="4"/>
  <c r="AL585" i="4"/>
  <c r="CL584" i="4"/>
  <c r="CK584" i="4"/>
  <c r="CJ584" i="4"/>
  <c r="CI584" i="4"/>
  <c r="CH584" i="4"/>
  <c r="CG584" i="4"/>
  <c r="AL584" i="4"/>
  <c r="CL583" i="4"/>
  <c r="CK583" i="4"/>
  <c r="CJ583" i="4"/>
  <c r="CI583" i="4"/>
  <c r="CH583" i="4"/>
  <c r="CG583" i="4"/>
  <c r="AL583" i="4"/>
  <c r="CL582" i="4"/>
  <c r="CK582" i="4"/>
  <c r="CJ582" i="4"/>
  <c r="CI582" i="4"/>
  <c r="CH582" i="4"/>
  <c r="CG582" i="4"/>
  <c r="AL582" i="4"/>
  <c r="CL581" i="4"/>
  <c r="CK581" i="4"/>
  <c r="CJ581" i="4"/>
  <c r="CI581" i="4"/>
  <c r="CH581" i="4"/>
  <c r="CG581" i="4"/>
  <c r="AL581" i="4"/>
  <c r="CL580" i="4"/>
  <c r="CK580" i="4"/>
  <c r="CJ580" i="4"/>
  <c r="CI580" i="4"/>
  <c r="CH580" i="4"/>
  <c r="CG580" i="4"/>
  <c r="AL580" i="4"/>
  <c r="CL579" i="4"/>
  <c r="CK579" i="4"/>
  <c r="CJ579" i="4"/>
  <c r="CI579" i="4"/>
  <c r="CH579" i="4"/>
  <c r="CG579" i="4"/>
  <c r="AL579" i="4"/>
  <c r="CL578" i="4"/>
  <c r="CK578" i="4"/>
  <c r="CJ578" i="4"/>
  <c r="CI578" i="4"/>
  <c r="CH578" i="4"/>
  <c r="CG578" i="4"/>
  <c r="AL578" i="4"/>
  <c r="CL577" i="4"/>
  <c r="CK577" i="4"/>
  <c r="CJ577" i="4"/>
  <c r="CI577" i="4"/>
  <c r="CH577" i="4"/>
  <c r="CG577" i="4"/>
  <c r="AL577" i="4"/>
  <c r="CL576" i="4"/>
  <c r="CK576" i="4"/>
  <c r="CJ576" i="4"/>
  <c r="CI576" i="4"/>
  <c r="CH576" i="4"/>
  <c r="CG576" i="4"/>
  <c r="AL576" i="4"/>
  <c r="CL575" i="4"/>
  <c r="CK575" i="4"/>
  <c r="CJ575" i="4"/>
  <c r="CI575" i="4"/>
  <c r="CH575" i="4"/>
  <c r="CG575" i="4"/>
  <c r="AL575" i="4"/>
  <c r="CL574" i="4"/>
  <c r="CK574" i="4"/>
  <c r="CJ574" i="4"/>
  <c r="CI574" i="4"/>
  <c r="CH574" i="4"/>
  <c r="CG574" i="4"/>
  <c r="AL574" i="4"/>
  <c r="CL573" i="4"/>
  <c r="CK573" i="4"/>
  <c r="CJ573" i="4"/>
  <c r="CI573" i="4"/>
  <c r="CH573" i="4"/>
  <c r="CG573" i="4"/>
  <c r="AL573" i="4"/>
  <c r="CL572" i="4"/>
  <c r="CK572" i="4"/>
  <c r="CJ572" i="4"/>
  <c r="CI572" i="4"/>
  <c r="CH572" i="4"/>
  <c r="CG572" i="4"/>
  <c r="AL572" i="4"/>
  <c r="CL571" i="4"/>
  <c r="CK571" i="4"/>
  <c r="CJ571" i="4"/>
  <c r="CI571" i="4"/>
  <c r="CH571" i="4"/>
  <c r="CG571" i="4"/>
  <c r="AL571" i="4"/>
  <c r="CL570" i="4"/>
  <c r="CK570" i="4"/>
  <c r="CJ570" i="4"/>
  <c r="CI570" i="4"/>
  <c r="CH570" i="4"/>
  <c r="CG570" i="4"/>
  <c r="AL570" i="4"/>
  <c r="CL569" i="4"/>
  <c r="CK569" i="4"/>
  <c r="CJ569" i="4"/>
  <c r="CI569" i="4"/>
  <c r="CH569" i="4"/>
  <c r="CG569" i="4"/>
  <c r="AL569" i="4"/>
  <c r="CL568" i="4"/>
  <c r="CK568" i="4"/>
  <c r="CJ568" i="4"/>
  <c r="CI568" i="4"/>
  <c r="CH568" i="4"/>
  <c r="CG568" i="4"/>
  <c r="AL568" i="4"/>
  <c r="CL567" i="4"/>
  <c r="CK567" i="4"/>
  <c r="CJ567" i="4"/>
  <c r="CI567" i="4"/>
  <c r="CH567" i="4"/>
  <c r="CG567" i="4"/>
  <c r="AL567" i="4"/>
  <c r="CL566" i="4"/>
  <c r="CK566" i="4"/>
  <c r="CJ566" i="4"/>
  <c r="CI566" i="4"/>
  <c r="CH566" i="4"/>
  <c r="CG566" i="4"/>
  <c r="AL566" i="4"/>
  <c r="CL565" i="4"/>
  <c r="CK565" i="4"/>
  <c r="CJ565" i="4"/>
  <c r="CI565" i="4"/>
  <c r="CH565" i="4"/>
  <c r="CG565" i="4"/>
  <c r="AL565" i="4"/>
  <c r="CL564" i="4"/>
  <c r="CK564" i="4"/>
  <c r="CJ564" i="4"/>
  <c r="CI564" i="4"/>
  <c r="CH564" i="4"/>
  <c r="CG564" i="4"/>
  <c r="AL564" i="4"/>
  <c r="CL563" i="4"/>
  <c r="CK563" i="4"/>
  <c r="CJ563" i="4"/>
  <c r="CI563" i="4"/>
  <c r="CH563" i="4"/>
  <c r="CG563" i="4"/>
  <c r="AL563" i="4"/>
  <c r="CL562" i="4"/>
  <c r="CK562" i="4"/>
  <c r="CJ562" i="4"/>
  <c r="CI562" i="4"/>
  <c r="CH562" i="4"/>
  <c r="CG562" i="4"/>
  <c r="AL562" i="4"/>
  <c r="CL561" i="4"/>
  <c r="CK561" i="4"/>
  <c r="CJ561" i="4"/>
  <c r="CI561" i="4"/>
  <c r="CH561" i="4"/>
  <c r="CG561" i="4"/>
  <c r="AL561" i="4"/>
  <c r="CL560" i="4"/>
  <c r="CK560" i="4"/>
  <c r="CJ560" i="4"/>
  <c r="CI560" i="4"/>
  <c r="CH560" i="4"/>
  <c r="CG560" i="4"/>
  <c r="AL560" i="4"/>
  <c r="CL559" i="4"/>
  <c r="CK559" i="4"/>
  <c r="CJ559" i="4"/>
  <c r="CI559" i="4"/>
  <c r="CH559" i="4"/>
  <c r="CG559" i="4"/>
  <c r="AL559" i="4"/>
  <c r="CL558" i="4"/>
  <c r="CK558" i="4"/>
  <c r="CJ558" i="4"/>
  <c r="CI558" i="4"/>
  <c r="CH558" i="4"/>
  <c r="CG558" i="4"/>
  <c r="AL558" i="4"/>
  <c r="CL557" i="4"/>
  <c r="CK557" i="4"/>
  <c r="CJ557" i="4"/>
  <c r="CI557" i="4"/>
  <c r="CH557" i="4"/>
  <c r="CG557" i="4"/>
  <c r="AL557" i="4"/>
  <c r="CL556" i="4"/>
  <c r="CK556" i="4"/>
  <c r="CJ556" i="4"/>
  <c r="CI556" i="4"/>
  <c r="CH556" i="4"/>
  <c r="CG556" i="4"/>
  <c r="AL556" i="4"/>
  <c r="CL555" i="4"/>
  <c r="CK555" i="4"/>
  <c r="CJ555" i="4"/>
  <c r="CI555" i="4"/>
  <c r="CH555" i="4"/>
  <c r="CG555" i="4"/>
  <c r="AL555" i="4"/>
  <c r="CL554" i="4"/>
  <c r="CK554" i="4"/>
  <c r="CJ554" i="4"/>
  <c r="CI554" i="4"/>
  <c r="CH554" i="4"/>
  <c r="CG554" i="4"/>
  <c r="AL554" i="4"/>
  <c r="CL553" i="4"/>
  <c r="CK553" i="4"/>
  <c r="CJ553" i="4"/>
  <c r="CI553" i="4"/>
  <c r="CH553" i="4"/>
  <c r="CG553" i="4"/>
  <c r="AL553" i="4"/>
  <c r="CL552" i="4"/>
  <c r="CK552" i="4"/>
  <c r="CJ552" i="4"/>
  <c r="CI552" i="4"/>
  <c r="CH552" i="4"/>
  <c r="CG552" i="4"/>
  <c r="AL552" i="4"/>
  <c r="CL551" i="4"/>
  <c r="CK551" i="4"/>
  <c r="CJ551" i="4"/>
  <c r="CI551" i="4"/>
  <c r="CH551" i="4"/>
  <c r="CG551" i="4"/>
  <c r="AL551" i="4"/>
  <c r="CL550" i="4"/>
  <c r="CK550" i="4"/>
  <c r="CJ550" i="4"/>
  <c r="CI550" i="4"/>
  <c r="CH550" i="4"/>
  <c r="CG550" i="4"/>
  <c r="AL550" i="4"/>
  <c r="CL549" i="4"/>
  <c r="CK549" i="4"/>
  <c r="CJ549" i="4"/>
  <c r="CI549" i="4"/>
  <c r="CH549" i="4"/>
  <c r="CG549" i="4"/>
  <c r="AL549" i="4"/>
  <c r="CL548" i="4"/>
  <c r="CK548" i="4"/>
  <c r="CJ548" i="4"/>
  <c r="CI548" i="4"/>
  <c r="CH548" i="4"/>
  <c r="CG548" i="4"/>
  <c r="AL548" i="4"/>
  <c r="CL547" i="4"/>
  <c r="CK547" i="4"/>
  <c r="CJ547" i="4"/>
  <c r="CI547" i="4"/>
  <c r="CH547" i="4"/>
  <c r="CG547" i="4"/>
  <c r="AL547" i="4"/>
  <c r="CL546" i="4"/>
  <c r="CK546" i="4"/>
  <c r="CJ546" i="4"/>
  <c r="CI546" i="4"/>
  <c r="CH546" i="4"/>
  <c r="CG546" i="4"/>
  <c r="AL546" i="4"/>
  <c r="CL545" i="4"/>
  <c r="CK545" i="4"/>
  <c r="CJ545" i="4"/>
  <c r="CI545" i="4"/>
  <c r="CH545" i="4"/>
  <c r="CG545" i="4"/>
  <c r="AL545" i="4"/>
  <c r="CL544" i="4"/>
  <c r="CK544" i="4"/>
  <c r="CJ544" i="4"/>
  <c r="CI544" i="4"/>
  <c r="CH544" i="4"/>
  <c r="CG544" i="4"/>
  <c r="AL544" i="4"/>
  <c r="CL543" i="4"/>
  <c r="CK543" i="4"/>
  <c r="CJ543" i="4"/>
  <c r="CI543" i="4"/>
  <c r="CH543" i="4"/>
  <c r="CG543" i="4"/>
  <c r="AL543" i="4"/>
  <c r="CL542" i="4"/>
  <c r="CK542" i="4"/>
  <c r="CJ542" i="4"/>
  <c r="CI542" i="4"/>
  <c r="CH542" i="4"/>
  <c r="CG542" i="4"/>
  <c r="AL542" i="4"/>
  <c r="CL541" i="4"/>
  <c r="CK541" i="4"/>
  <c r="CJ541" i="4"/>
  <c r="CI541" i="4"/>
  <c r="CH541" i="4"/>
  <c r="CG541" i="4"/>
  <c r="AL541" i="4"/>
  <c r="CL540" i="4"/>
  <c r="CK540" i="4"/>
  <c r="CJ540" i="4"/>
  <c r="CI540" i="4"/>
  <c r="CH540" i="4"/>
  <c r="CG540" i="4"/>
  <c r="AL540" i="4"/>
  <c r="CL539" i="4"/>
  <c r="CK539" i="4"/>
  <c r="CJ539" i="4"/>
  <c r="CI539" i="4"/>
  <c r="CH539" i="4"/>
  <c r="CG539" i="4"/>
  <c r="AL539" i="4"/>
  <c r="CL538" i="4"/>
  <c r="CK538" i="4"/>
  <c r="CJ538" i="4"/>
  <c r="CI538" i="4"/>
  <c r="CH538" i="4"/>
  <c r="CG538" i="4"/>
  <c r="AL538" i="4"/>
  <c r="CL537" i="4"/>
  <c r="CK537" i="4"/>
  <c r="CJ537" i="4"/>
  <c r="CI537" i="4"/>
  <c r="CH537" i="4"/>
  <c r="CG537" i="4"/>
  <c r="AL537" i="4"/>
  <c r="CL536" i="4"/>
  <c r="CK536" i="4"/>
  <c r="CJ536" i="4"/>
  <c r="CI536" i="4"/>
  <c r="CH536" i="4"/>
  <c r="CG536" i="4"/>
  <c r="AL536" i="4"/>
  <c r="CL535" i="4"/>
  <c r="CK535" i="4"/>
  <c r="CJ535" i="4"/>
  <c r="CI535" i="4"/>
  <c r="CH535" i="4"/>
  <c r="CG535" i="4"/>
  <c r="AL535" i="4"/>
  <c r="CL534" i="4"/>
  <c r="CK534" i="4"/>
  <c r="CJ534" i="4"/>
  <c r="CI534" i="4"/>
  <c r="CH534" i="4"/>
  <c r="CG534" i="4"/>
  <c r="AL534" i="4"/>
  <c r="CL533" i="4"/>
  <c r="CK533" i="4"/>
  <c r="CJ533" i="4"/>
  <c r="CI533" i="4"/>
  <c r="CH533" i="4"/>
  <c r="CG533" i="4"/>
  <c r="AL533" i="4"/>
  <c r="CL532" i="4"/>
  <c r="CK532" i="4"/>
  <c r="CJ532" i="4"/>
  <c r="CI532" i="4"/>
  <c r="CH532" i="4"/>
  <c r="CG532" i="4"/>
  <c r="AL532" i="4"/>
  <c r="CL531" i="4"/>
  <c r="CK531" i="4"/>
  <c r="CJ531" i="4"/>
  <c r="CI531" i="4"/>
  <c r="CH531" i="4"/>
  <c r="CG531" i="4"/>
  <c r="AL531" i="4"/>
  <c r="CL530" i="4"/>
  <c r="CK530" i="4"/>
  <c r="CJ530" i="4"/>
  <c r="CI530" i="4"/>
  <c r="CH530" i="4"/>
  <c r="CG530" i="4"/>
  <c r="AL530" i="4"/>
  <c r="CL529" i="4"/>
  <c r="CK529" i="4"/>
  <c r="CJ529" i="4"/>
  <c r="CI529" i="4"/>
  <c r="CH529" i="4"/>
  <c r="CG529" i="4"/>
  <c r="AL529" i="4"/>
  <c r="CL528" i="4"/>
  <c r="CK528" i="4"/>
  <c r="CJ528" i="4"/>
  <c r="CI528" i="4"/>
  <c r="CH528" i="4"/>
  <c r="CG528" i="4"/>
  <c r="AL528" i="4"/>
  <c r="CL527" i="4"/>
  <c r="CK527" i="4"/>
  <c r="CJ527" i="4"/>
  <c r="CI527" i="4"/>
  <c r="CH527" i="4"/>
  <c r="CG527" i="4"/>
  <c r="AL527" i="4"/>
  <c r="CL526" i="4"/>
  <c r="CK526" i="4"/>
  <c r="CJ526" i="4"/>
  <c r="CI526" i="4"/>
  <c r="CH526" i="4"/>
  <c r="CG526" i="4"/>
  <c r="AL526" i="4"/>
  <c r="CL525" i="4"/>
  <c r="CK525" i="4"/>
  <c r="CJ525" i="4"/>
  <c r="CI525" i="4"/>
  <c r="CH525" i="4"/>
  <c r="CG525" i="4"/>
  <c r="AL525" i="4"/>
  <c r="CL524" i="4"/>
  <c r="CK524" i="4"/>
  <c r="CJ524" i="4"/>
  <c r="CI524" i="4"/>
  <c r="CH524" i="4"/>
  <c r="CG524" i="4"/>
  <c r="AL524" i="4"/>
  <c r="CL523" i="4"/>
  <c r="CK523" i="4"/>
  <c r="CJ523" i="4"/>
  <c r="CI523" i="4"/>
  <c r="CH523" i="4"/>
  <c r="CG523" i="4"/>
  <c r="AL523" i="4"/>
  <c r="CL522" i="4"/>
  <c r="CK522" i="4"/>
  <c r="CJ522" i="4"/>
  <c r="CI522" i="4"/>
  <c r="CH522" i="4"/>
  <c r="CG522" i="4"/>
  <c r="AL522" i="4"/>
  <c r="CL521" i="4"/>
  <c r="CK521" i="4"/>
  <c r="CJ521" i="4"/>
  <c r="CI521" i="4"/>
  <c r="CH521" i="4"/>
  <c r="CG521" i="4"/>
  <c r="AL521" i="4"/>
  <c r="CL520" i="4"/>
  <c r="CK520" i="4"/>
  <c r="CJ520" i="4"/>
  <c r="CI520" i="4"/>
  <c r="CH520" i="4"/>
  <c r="CG520" i="4"/>
  <c r="AL520" i="4"/>
  <c r="CL519" i="4"/>
  <c r="CK519" i="4"/>
  <c r="CJ519" i="4"/>
  <c r="CI519" i="4"/>
  <c r="CH519" i="4"/>
  <c r="CG519" i="4"/>
  <c r="AL519" i="4"/>
  <c r="CL518" i="4"/>
  <c r="CK518" i="4"/>
  <c r="CJ518" i="4"/>
  <c r="CI518" i="4"/>
  <c r="CH518" i="4"/>
  <c r="CG518" i="4"/>
  <c r="AL518" i="4"/>
  <c r="CL517" i="4"/>
  <c r="CK517" i="4"/>
  <c r="CJ517" i="4"/>
  <c r="CI517" i="4"/>
  <c r="CH517" i="4"/>
  <c r="CG517" i="4"/>
  <c r="AL517" i="4"/>
  <c r="CL516" i="4"/>
  <c r="CK516" i="4"/>
  <c r="CJ516" i="4"/>
  <c r="CI516" i="4"/>
  <c r="CH516" i="4"/>
  <c r="CG516" i="4"/>
  <c r="AL516" i="4"/>
  <c r="CL515" i="4"/>
  <c r="CK515" i="4"/>
  <c r="CJ515" i="4"/>
  <c r="CI515" i="4"/>
  <c r="CH515" i="4"/>
  <c r="CG515" i="4"/>
  <c r="AL515" i="4"/>
  <c r="CL514" i="4"/>
  <c r="CK514" i="4"/>
  <c r="CJ514" i="4"/>
  <c r="CI514" i="4"/>
  <c r="CH514" i="4"/>
  <c r="CG514" i="4"/>
  <c r="AL514" i="4"/>
  <c r="CL513" i="4"/>
  <c r="CK513" i="4"/>
  <c r="CJ513" i="4"/>
  <c r="CI513" i="4"/>
  <c r="CH513" i="4"/>
  <c r="CG513" i="4"/>
  <c r="AL513" i="4"/>
  <c r="CL512" i="4"/>
  <c r="CK512" i="4"/>
  <c r="CJ512" i="4"/>
  <c r="CI512" i="4"/>
  <c r="CH512" i="4"/>
  <c r="CG512" i="4"/>
  <c r="AL512" i="4"/>
  <c r="CL511" i="4"/>
  <c r="CK511" i="4"/>
  <c r="CJ511" i="4"/>
  <c r="CI511" i="4"/>
  <c r="CH511" i="4"/>
  <c r="CG511" i="4"/>
  <c r="AL511" i="4"/>
  <c r="CL510" i="4"/>
  <c r="CK510" i="4"/>
  <c r="CJ510" i="4"/>
  <c r="CI510" i="4"/>
  <c r="CH510" i="4"/>
  <c r="CG510" i="4"/>
  <c r="AL510" i="4"/>
  <c r="CL509" i="4"/>
  <c r="CK509" i="4"/>
  <c r="CJ509" i="4"/>
  <c r="CI509" i="4"/>
  <c r="CH509" i="4"/>
  <c r="CG509" i="4"/>
  <c r="AL509" i="4"/>
  <c r="CL508" i="4"/>
  <c r="CK508" i="4"/>
  <c r="CJ508" i="4"/>
  <c r="CI508" i="4"/>
  <c r="CH508" i="4"/>
  <c r="CG508" i="4"/>
  <c r="AL508" i="4"/>
  <c r="CL507" i="4"/>
  <c r="CK507" i="4"/>
  <c r="CJ507" i="4"/>
  <c r="CI507" i="4"/>
  <c r="CH507" i="4"/>
  <c r="CG507" i="4"/>
  <c r="AL507" i="4"/>
  <c r="CL506" i="4"/>
  <c r="CK506" i="4"/>
  <c r="CJ506" i="4"/>
  <c r="CI506" i="4"/>
  <c r="CH506" i="4"/>
  <c r="CG506" i="4"/>
  <c r="AL506" i="4"/>
  <c r="CL505" i="4"/>
  <c r="CK505" i="4"/>
  <c r="CJ505" i="4"/>
  <c r="CI505" i="4"/>
  <c r="CH505" i="4"/>
  <c r="CG505" i="4"/>
  <c r="AL505" i="4"/>
  <c r="CL504" i="4"/>
  <c r="CK504" i="4"/>
  <c r="CJ504" i="4"/>
  <c r="CI504" i="4"/>
  <c r="CH504" i="4"/>
  <c r="CG504" i="4"/>
  <c r="AL504" i="4"/>
  <c r="CL503" i="4"/>
  <c r="CK503" i="4"/>
  <c r="CJ503" i="4"/>
  <c r="CI503" i="4"/>
  <c r="CH503" i="4"/>
  <c r="CG503" i="4"/>
  <c r="AL503" i="4"/>
  <c r="CL502" i="4"/>
  <c r="CK502" i="4"/>
  <c r="CJ502" i="4"/>
  <c r="CI502" i="4"/>
  <c r="CH502" i="4"/>
  <c r="CG502" i="4"/>
  <c r="AL502" i="4"/>
  <c r="CL501" i="4"/>
  <c r="CK501" i="4"/>
  <c r="CJ501" i="4"/>
  <c r="CI501" i="4"/>
  <c r="CH501" i="4"/>
  <c r="CG501" i="4"/>
  <c r="AL501" i="4"/>
  <c r="CL500" i="4"/>
  <c r="CK500" i="4"/>
  <c r="CJ500" i="4"/>
  <c r="CI500" i="4"/>
  <c r="CH500" i="4"/>
  <c r="CG500" i="4"/>
  <c r="AL500" i="4"/>
  <c r="CL499" i="4"/>
  <c r="CK499" i="4"/>
  <c r="CJ499" i="4"/>
  <c r="CI499" i="4"/>
  <c r="CH499" i="4"/>
  <c r="CG499" i="4"/>
  <c r="AL499" i="4"/>
  <c r="CL498" i="4"/>
  <c r="CK498" i="4"/>
  <c r="CJ498" i="4"/>
  <c r="CI498" i="4"/>
  <c r="CH498" i="4"/>
  <c r="CG498" i="4"/>
  <c r="AL498" i="4"/>
  <c r="CL497" i="4"/>
  <c r="CK497" i="4"/>
  <c r="CJ497" i="4"/>
  <c r="CI497" i="4"/>
  <c r="CH497" i="4"/>
  <c r="CG497" i="4"/>
  <c r="AL497" i="4"/>
  <c r="CL496" i="4"/>
  <c r="CK496" i="4"/>
  <c r="CJ496" i="4"/>
  <c r="CI496" i="4"/>
  <c r="CH496" i="4"/>
  <c r="CG496" i="4"/>
  <c r="AL496" i="4"/>
  <c r="CL495" i="4"/>
  <c r="CK495" i="4"/>
  <c r="CJ495" i="4"/>
  <c r="CI495" i="4"/>
  <c r="CH495" i="4"/>
  <c r="CG495" i="4"/>
  <c r="AL495" i="4"/>
  <c r="CL494" i="4"/>
  <c r="CK494" i="4"/>
  <c r="CJ494" i="4"/>
  <c r="CI494" i="4"/>
  <c r="CH494" i="4"/>
  <c r="CG494" i="4"/>
  <c r="AL494" i="4"/>
  <c r="CL493" i="4"/>
  <c r="CK493" i="4"/>
  <c r="CJ493" i="4"/>
  <c r="CI493" i="4"/>
  <c r="CH493" i="4"/>
  <c r="CG493" i="4"/>
  <c r="AL493" i="4"/>
  <c r="CL492" i="4"/>
  <c r="CK492" i="4"/>
  <c r="CJ492" i="4"/>
  <c r="CI492" i="4"/>
  <c r="CH492" i="4"/>
  <c r="CG492" i="4"/>
  <c r="AL492" i="4"/>
  <c r="CL491" i="4"/>
  <c r="CK491" i="4"/>
  <c r="CJ491" i="4"/>
  <c r="CI491" i="4"/>
  <c r="CH491" i="4"/>
  <c r="CG491" i="4"/>
  <c r="AL491" i="4"/>
  <c r="CL490" i="4"/>
  <c r="CK490" i="4"/>
  <c r="CJ490" i="4"/>
  <c r="CI490" i="4"/>
  <c r="CH490" i="4"/>
  <c r="CG490" i="4"/>
  <c r="AL490" i="4"/>
  <c r="CL489" i="4"/>
  <c r="CK489" i="4"/>
  <c r="CJ489" i="4"/>
  <c r="CI489" i="4"/>
  <c r="CH489" i="4"/>
  <c r="CG489" i="4"/>
  <c r="AL489" i="4"/>
  <c r="CL488" i="4"/>
  <c r="CK488" i="4"/>
  <c r="CJ488" i="4"/>
  <c r="CI488" i="4"/>
  <c r="CH488" i="4"/>
  <c r="CG488" i="4"/>
  <c r="AL488" i="4"/>
  <c r="CL487" i="4"/>
  <c r="CK487" i="4"/>
  <c r="CJ487" i="4"/>
  <c r="CI487" i="4"/>
  <c r="CH487" i="4"/>
  <c r="CG487" i="4"/>
  <c r="AL487" i="4"/>
  <c r="CL486" i="4"/>
  <c r="CK486" i="4"/>
  <c r="CJ486" i="4"/>
  <c r="CI486" i="4"/>
  <c r="CH486" i="4"/>
  <c r="CG486" i="4"/>
  <c r="AL486" i="4"/>
  <c r="CL485" i="4"/>
  <c r="CK485" i="4"/>
  <c r="CJ485" i="4"/>
  <c r="CI485" i="4"/>
  <c r="CH485" i="4"/>
  <c r="CG485" i="4"/>
  <c r="AL485" i="4"/>
  <c r="CL484" i="4"/>
  <c r="CK484" i="4"/>
  <c r="CJ484" i="4"/>
  <c r="CI484" i="4"/>
  <c r="CH484" i="4"/>
  <c r="CG484" i="4"/>
  <c r="AL484" i="4"/>
  <c r="CL483" i="4"/>
  <c r="CK483" i="4"/>
  <c r="CJ483" i="4"/>
  <c r="CI483" i="4"/>
  <c r="CH483" i="4"/>
  <c r="CG483" i="4"/>
  <c r="AL483" i="4"/>
  <c r="CL482" i="4"/>
  <c r="CK482" i="4"/>
  <c r="CJ482" i="4"/>
  <c r="CI482" i="4"/>
  <c r="CH482" i="4"/>
  <c r="CG482" i="4"/>
  <c r="AL482" i="4"/>
  <c r="CL481" i="4"/>
  <c r="CK481" i="4"/>
  <c r="CJ481" i="4"/>
  <c r="CI481" i="4"/>
  <c r="CH481" i="4"/>
  <c r="CG481" i="4"/>
  <c r="AL481" i="4"/>
  <c r="CL480" i="4"/>
  <c r="CK480" i="4"/>
  <c r="CJ480" i="4"/>
  <c r="CI480" i="4"/>
  <c r="CH480" i="4"/>
  <c r="CG480" i="4"/>
  <c r="AL480" i="4"/>
  <c r="CL479" i="4"/>
  <c r="CK479" i="4"/>
  <c r="CJ479" i="4"/>
  <c r="CI479" i="4"/>
  <c r="CH479" i="4"/>
  <c r="CG479" i="4"/>
  <c r="AL479" i="4"/>
  <c r="CL478" i="4"/>
  <c r="CK478" i="4"/>
  <c r="CJ478" i="4"/>
  <c r="CI478" i="4"/>
  <c r="CH478" i="4"/>
  <c r="CG478" i="4"/>
  <c r="AL478" i="4"/>
  <c r="CL477" i="4"/>
  <c r="CK477" i="4"/>
  <c r="CJ477" i="4"/>
  <c r="CI477" i="4"/>
  <c r="CH477" i="4"/>
  <c r="CG477" i="4"/>
  <c r="AL477" i="4"/>
  <c r="CL476" i="4"/>
  <c r="CK476" i="4"/>
  <c r="CJ476" i="4"/>
  <c r="CI476" i="4"/>
  <c r="CH476" i="4"/>
  <c r="CG476" i="4"/>
  <c r="AL476" i="4"/>
  <c r="CL475" i="4"/>
  <c r="CK475" i="4"/>
  <c r="CJ475" i="4"/>
  <c r="CI475" i="4"/>
  <c r="CH475" i="4"/>
  <c r="CG475" i="4"/>
  <c r="AL475" i="4"/>
  <c r="CL474" i="4"/>
  <c r="CK474" i="4"/>
  <c r="CJ474" i="4"/>
  <c r="CI474" i="4"/>
  <c r="CH474" i="4"/>
  <c r="CG474" i="4"/>
  <c r="AL474" i="4"/>
  <c r="CL473" i="4"/>
  <c r="CK473" i="4"/>
  <c r="CJ473" i="4"/>
  <c r="CI473" i="4"/>
  <c r="CH473" i="4"/>
  <c r="CG473" i="4"/>
  <c r="AL473" i="4"/>
  <c r="CL472" i="4"/>
  <c r="CK472" i="4"/>
  <c r="CJ472" i="4"/>
  <c r="CI472" i="4"/>
  <c r="CH472" i="4"/>
  <c r="CG472" i="4"/>
  <c r="AL472" i="4"/>
  <c r="CL471" i="4"/>
  <c r="CK471" i="4"/>
  <c r="CJ471" i="4"/>
  <c r="CI471" i="4"/>
  <c r="CH471" i="4"/>
  <c r="CG471" i="4"/>
  <c r="AL471" i="4"/>
  <c r="CL470" i="4"/>
  <c r="CK470" i="4"/>
  <c r="CJ470" i="4"/>
  <c r="CI470" i="4"/>
  <c r="CH470" i="4"/>
  <c r="CG470" i="4"/>
  <c r="AL470" i="4"/>
  <c r="CL469" i="4"/>
  <c r="CK469" i="4"/>
  <c r="CJ469" i="4"/>
  <c r="CI469" i="4"/>
  <c r="CH469" i="4"/>
  <c r="CG469" i="4"/>
  <c r="AL469" i="4"/>
  <c r="CL468" i="4"/>
  <c r="CK468" i="4"/>
  <c r="CJ468" i="4"/>
  <c r="CI468" i="4"/>
  <c r="CH468" i="4"/>
  <c r="CG468" i="4"/>
  <c r="AL468" i="4"/>
  <c r="CL467" i="4"/>
  <c r="CK467" i="4"/>
  <c r="CJ467" i="4"/>
  <c r="CI467" i="4"/>
  <c r="CH467" i="4"/>
  <c r="CG467" i="4"/>
  <c r="AL467" i="4"/>
  <c r="CL466" i="4"/>
  <c r="CK466" i="4"/>
  <c r="CJ466" i="4"/>
  <c r="CI466" i="4"/>
  <c r="CH466" i="4"/>
  <c r="CG466" i="4"/>
  <c r="AL466" i="4"/>
  <c r="CL465" i="4"/>
  <c r="CK465" i="4"/>
  <c r="CJ465" i="4"/>
  <c r="CI465" i="4"/>
  <c r="CH465" i="4"/>
  <c r="CG465" i="4"/>
  <c r="AL465" i="4"/>
  <c r="CL464" i="4"/>
  <c r="CK464" i="4"/>
  <c r="CJ464" i="4"/>
  <c r="CI464" i="4"/>
  <c r="CH464" i="4"/>
  <c r="CG464" i="4"/>
  <c r="AL464" i="4"/>
  <c r="CL463" i="4"/>
  <c r="CK463" i="4"/>
  <c r="CJ463" i="4"/>
  <c r="CI463" i="4"/>
  <c r="CH463" i="4"/>
  <c r="CG463" i="4"/>
  <c r="AL463" i="4"/>
  <c r="CL462" i="4"/>
  <c r="CK462" i="4"/>
  <c r="CJ462" i="4"/>
  <c r="CI462" i="4"/>
  <c r="CH462" i="4"/>
  <c r="CG462" i="4"/>
  <c r="AL462" i="4"/>
  <c r="CL461" i="4"/>
  <c r="CK461" i="4"/>
  <c r="CJ461" i="4"/>
  <c r="CI461" i="4"/>
  <c r="CH461" i="4"/>
  <c r="CG461" i="4"/>
  <c r="AL461" i="4"/>
  <c r="CL460" i="4"/>
  <c r="CK460" i="4"/>
  <c r="CJ460" i="4"/>
  <c r="CI460" i="4"/>
  <c r="CH460" i="4"/>
  <c r="CG460" i="4"/>
  <c r="AL460" i="4"/>
  <c r="CL459" i="4"/>
  <c r="CK459" i="4"/>
  <c r="CJ459" i="4"/>
  <c r="CI459" i="4"/>
  <c r="CH459" i="4"/>
  <c r="CG459" i="4"/>
  <c r="AL459" i="4"/>
  <c r="CL458" i="4"/>
  <c r="CK458" i="4"/>
  <c r="CJ458" i="4"/>
  <c r="CI458" i="4"/>
  <c r="CH458" i="4"/>
  <c r="CG458" i="4"/>
  <c r="CL457" i="4"/>
  <c r="CK457" i="4"/>
  <c r="CJ457" i="4"/>
  <c r="CI457" i="4"/>
  <c r="CH457" i="4"/>
  <c r="CG457" i="4"/>
  <c r="CL456" i="4"/>
  <c r="CK456" i="4"/>
  <c r="CJ456" i="4"/>
  <c r="CI456" i="4"/>
  <c r="CH456" i="4"/>
  <c r="CG456" i="4"/>
  <c r="CL455" i="4"/>
  <c r="CK455" i="4"/>
  <c r="CJ455" i="4"/>
  <c r="CI455" i="4"/>
  <c r="CH455" i="4"/>
  <c r="CG455" i="4"/>
  <c r="CL454" i="4"/>
  <c r="CK454" i="4"/>
  <c r="CJ454" i="4"/>
  <c r="CI454" i="4"/>
  <c r="CH454" i="4"/>
  <c r="CG454" i="4"/>
  <c r="CL453" i="4"/>
  <c r="CK453" i="4"/>
  <c r="CJ453" i="4"/>
  <c r="CI453" i="4"/>
  <c r="CH453" i="4"/>
  <c r="CG453" i="4"/>
  <c r="CL452" i="4"/>
  <c r="CK452" i="4"/>
  <c r="CJ452" i="4"/>
  <c r="CI452" i="4"/>
  <c r="CH452" i="4"/>
  <c r="CG452" i="4"/>
  <c r="CL451" i="4"/>
  <c r="CK451" i="4"/>
  <c r="CJ451" i="4"/>
  <c r="CI451" i="4"/>
  <c r="CH451" i="4"/>
  <c r="CG451" i="4"/>
  <c r="CL450" i="4"/>
  <c r="CK450" i="4"/>
  <c r="CJ450" i="4"/>
  <c r="CI450" i="4"/>
  <c r="CH450" i="4"/>
  <c r="CG450" i="4"/>
  <c r="CL449" i="4"/>
  <c r="CK449" i="4"/>
  <c r="CJ449" i="4"/>
  <c r="CI449" i="4"/>
  <c r="CH449" i="4"/>
  <c r="CG449" i="4"/>
  <c r="CL448" i="4"/>
  <c r="CK448" i="4"/>
  <c r="CJ448" i="4"/>
  <c r="CI448" i="4"/>
  <c r="CH448" i="4"/>
  <c r="CG448" i="4"/>
  <c r="CL447" i="4"/>
  <c r="CK447" i="4"/>
  <c r="CJ447" i="4"/>
  <c r="CI447" i="4"/>
  <c r="CH447" i="4"/>
  <c r="CG447" i="4"/>
  <c r="CL446" i="4"/>
  <c r="CK446" i="4"/>
  <c r="CJ446" i="4"/>
  <c r="CI446" i="4"/>
  <c r="CH446" i="4"/>
  <c r="CG446" i="4"/>
  <c r="CL445" i="4"/>
  <c r="CK445" i="4"/>
  <c r="CJ445" i="4"/>
  <c r="CI445" i="4"/>
  <c r="CH445" i="4"/>
  <c r="CG445" i="4"/>
  <c r="CL444" i="4"/>
  <c r="CK444" i="4"/>
  <c r="CJ444" i="4"/>
  <c r="CI444" i="4"/>
  <c r="CH444" i="4"/>
  <c r="CG444" i="4"/>
  <c r="CL443" i="4"/>
  <c r="CK443" i="4"/>
  <c r="CJ443" i="4"/>
  <c r="CI443" i="4"/>
  <c r="CH443" i="4"/>
  <c r="CG443" i="4"/>
  <c r="CL442" i="4"/>
  <c r="CK442" i="4"/>
  <c r="CJ442" i="4"/>
  <c r="CI442" i="4"/>
  <c r="CH442" i="4"/>
  <c r="CG442" i="4"/>
  <c r="CL441" i="4"/>
  <c r="CK441" i="4"/>
  <c r="CJ441" i="4"/>
  <c r="CI441" i="4"/>
  <c r="CH441" i="4"/>
  <c r="CG441" i="4"/>
  <c r="CL440" i="4"/>
  <c r="CK440" i="4"/>
  <c r="CJ440" i="4"/>
  <c r="CI440" i="4"/>
  <c r="CH440" i="4"/>
  <c r="CG440" i="4"/>
  <c r="CL439" i="4"/>
  <c r="CK439" i="4"/>
  <c r="CJ439" i="4"/>
  <c r="CI439" i="4"/>
  <c r="CH439" i="4"/>
  <c r="CG439" i="4"/>
  <c r="CL438" i="4"/>
  <c r="CK438" i="4"/>
  <c r="CJ438" i="4"/>
  <c r="CI438" i="4"/>
  <c r="CH438" i="4"/>
  <c r="CG438" i="4"/>
  <c r="CL437" i="4"/>
  <c r="CK437" i="4"/>
  <c r="CJ437" i="4"/>
  <c r="CI437" i="4"/>
  <c r="CH437" i="4"/>
  <c r="CG437" i="4"/>
  <c r="CL436" i="4"/>
  <c r="CK436" i="4"/>
  <c r="CJ436" i="4"/>
  <c r="CI436" i="4"/>
  <c r="CH436" i="4"/>
  <c r="CG436" i="4"/>
  <c r="CL435" i="4"/>
  <c r="CK435" i="4"/>
  <c r="CJ435" i="4"/>
  <c r="CI435" i="4"/>
  <c r="CH435" i="4"/>
  <c r="CG435" i="4"/>
  <c r="CL434" i="4"/>
  <c r="CK434" i="4"/>
  <c r="CJ434" i="4"/>
  <c r="CI434" i="4"/>
  <c r="CH434" i="4"/>
  <c r="CG434" i="4"/>
  <c r="CL433" i="4"/>
  <c r="CK433" i="4"/>
  <c r="CJ433" i="4"/>
  <c r="CI433" i="4"/>
  <c r="CH433" i="4"/>
  <c r="CG433" i="4"/>
  <c r="CL432" i="4"/>
  <c r="CK432" i="4"/>
  <c r="CJ432" i="4"/>
  <c r="CI432" i="4"/>
  <c r="CH432" i="4"/>
  <c r="CG432" i="4"/>
  <c r="CL431" i="4"/>
  <c r="CK431" i="4"/>
  <c r="CJ431" i="4"/>
  <c r="CI431" i="4"/>
  <c r="CH431" i="4"/>
  <c r="CG431" i="4"/>
  <c r="CL430" i="4"/>
  <c r="CK430" i="4"/>
  <c r="CJ430" i="4"/>
  <c r="CI430" i="4"/>
  <c r="CH430" i="4"/>
  <c r="CG430" i="4"/>
  <c r="CL429" i="4"/>
  <c r="CK429" i="4"/>
  <c r="CJ429" i="4"/>
  <c r="CI429" i="4"/>
  <c r="CH429" i="4"/>
  <c r="CG429" i="4"/>
  <c r="CL428" i="4"/>
  <c r="CK428" i="4"/>
  <c r="CJ428" i="4"/>
  <c r="CI428" i="4"/>
  <c r="CH428" i="4"/>
  <c r="CG428" i="4"/>
  <c r="CL427" i="4"/>
  <c r="CK427" i="4"/>
  <c r="CJ427" i="4"/>
  <c r="CI427" i="4"/>
  <c r="CH427" i="4"/>
  <c r="CG427" i="4"/>
  <c r="CL426" i="4"/>
  <c r="CK426" i="4"/>
  <c r="CJ426" i="4"/>
  <c r="CI426" i="4"/>
  <c r="CH426" i="4"/>
  <c r="CG426" i="4"/>
  <c r="CL425" i="4"/>
  <c r="CK425" i="4"/>
  <c r="CJ425" i="4"/>
  <c r="CI425" i="4"/>
  <c r="CH425" i="4"/>
  <c r="CG425" i="4"/>
  <c r="CL424" i="4"/>
  <c r="CK424" i="4"/>
  <c r="CJ424" i="4"/>
  <c r="CI424" i="4"/>
  <c r="CH424" i="4"/>
  <c r="CG424" i="4"/>
  <c r="CL423" i="4"/>
  <c r="CK423" i="4"/>
  <c r="CJ423" i="4"/>
  <c r="CI423" i="4"/>
  <c r="CH423" i="4"/>
  <c r="CG423" i="4"/>
  <c r="CL422" i="4"/>
  <c r="CK422" i="4"/>
  <c r="CJ422" i="4"/>
  <c r="CI422" i="4"/>
  <c r="CH422" i="4"/>
  <c r="CG422" i="4"/>
  <c r="CL421" i="4"/>
  <c r="CK421" i="4"/>
  <c r="CJ421" i="4"/>
  <c r="CI421" i="4"/>
  <c r="CH421" i="4"/>
  <c r="CG421" i="4"/>
  <c r="CL420" i="4"/>
  <c r="CK420" i="4"/>
  <c r="CJ420" i="4"/>
  <c r="CI420" i="4"/>
  <c r="CH420" i="4"/>
  <c r="CG420" i="4"/>
  <c r="CL419" i="4"/>
  <c r="CK419" i="4"/>
  <c r="CJ419" i="4"/>
  <c r="CI419" i="4"/>
  <c r="CH419" i="4"/>
  <c r="CG419" i="4"/>
  <c r="CL418" i="4"/>
  <c r="CK418" i="4"/>
  <c r="CJ418" i="4"/>
  <c r="CI418" i="4"/>
  <c r="CH418" i="4"/>
  <c r="CG418" i="4"/>
  <c r="CL417" i="4"/>
  <c r="CK417" i="4"/>
  <c r="CJ417" i="4"/>
  <c r="CI417" i="4"/>
  <c r="CH417" i="4"/>
  <c r="CG417" i="4"/>
  <c r="CL416" i="4"/>
  <c r="CK416" i="4"/>
  <c r="CJ416" i="4"/>
  <c r="CI416" i="4"/>
  <c r="CH416" i="4"/>
  <c r="CG416" i="4"/>
  <c r="CL415" i="4"/>
  <c r="CK415" i="4"/>
  <c r="CJ415" i="4"/>
  <c r="CI415" i="4"/>
  <c r="CH415" i="4"/>
  <c r="CG415" i="4"/>
  <c r="CL414" i="4"/>
  <c r="CK414" i="4"/>
  <c r="CJ414" i="4"/>
  <c r="CI414" i="4"/>
  <c r="CH414" i="4"/>
  <c r="CG414" i="4"/>
  <c r="CL413" i="4"/>
  <c r="CK413" i="4"/>
  <c r="CJ413" i="4"/>
  <c r="CI413" i="4"/>
  <c r="CH413" i="4"/>
  <c r="CG413" i="4"/>
  <c r="CL412" i="4"/>
  <c r="CK412" i="4"/>
  <c r="CJ412" i="4"/>
  <c r="CI412" i="4"/>
  <c r="CH412" i="4"/>
  <c r="CG412" i="4"/>
  <c r="CL411" i="4"/>
  <c r="CK411" i="4"/>
  <c r="CJ411" i="4"/>
  <c r="CI411" i="4"/>
  <c r="CH411" i="4"/>
  <c r="CG411" i="4"/>
  <c r="CL410" i="4"/>
  <c r="CK410" i="4"/>
  <c r="CJ410" i="4"/>
  <c r="CI410" i="4"/>
  <c r="CH410" i="4"/>
  <c r="CG410" i="4"/>
  <c r="CL409" i="4"/>
  <c r="CK409" i="4"/>
  <c r="CJ409" i="4"/>
  <c r="CI409" i="4"/>
  <c r="CH409" i="4"/>
  <c r="CG409" i="4"/>
  <c r="CL408" i="4"/>
  <c r="CK408" i="4"/>
  <c r="CJ408" i="4"/>
  <c r="CI408" i="4"/>
  <c r="CH408" i="4"/>
  <c r="CG408" i="4"/>
  <c r="CL407" i="4"/>
  <c r="CK407" i="4"/>
  <c r="CJ407" i="4"/>
  <c r="CI407" i="4"/>
  <c r="CH407" i="4"/>
  <c r="CG407" i="4"/>
  <c r="CL406" i="4"/>
  <c r="CK406" i="4"/>
  <c r="CJ406" i="4"/>
  <c r="CI406" i="4"/>
  <c r="CH406" i="4"/>
  <c r="CG406" i="4"/>
  <c r="CL405" i="4"/>
  <c r="CK405" i="4"/>
  <c r="CJ405" i="4"/>
  <c r="CI405" i="4"/>
  <c r="CH405" i="4"/>
  <c r="CG405" i="4"/>
  <c r="CL404" i="4"/>
  <c r="CK404" i="4"/>
  <c r="CJ404" i="4"/>
  <c r="CI404" i="4"/>
  <c r="CH404" i="4"/>
  <c r="CG404" i="4"/>
  <c r="CL403" i="4"/>
  <c r="CK403" i="4"/>
  <c r="CJ403" i="4"/>
  <c r="CI403" i="4"/>
  <c r="CH403" i="4"/>
  <c r="CG403" i="4"/>
  <c r="CL402" i="4"/>
  <c r="CK402" i="4"/>
  <c r="CJ402" i="4"/>
  <c r="CI402" i="4"/>
  <c r="CH402" i="4"/>
  <c r="CG402" i="4"/>
  <c r="CL401" i="4"/>
  <c r="CK401" i="4"/>
  <c r="CJ401" i="4"/>
  <c r="CI401" i="4"/>
  <c r="CH401" i="4"/>
  <c r="CG401" i="4"/>
  <c r="CL400" i="4"/>
  <c r="CK400" i="4"/>
  <c r="CJ400" i="4"/>
  <c r="CI400" i="4"/>
  <c r="CH400" i="4"/>
  <c r="CG400" i="4"/>
  <c r="CL399" i="4"/>
  <c r="CK399" i="4"/>
  <c r="CJ399" i="4"/>
  <c r="CI399" i="4"/>
  <c r="CH399" i="4"/>
  <c r="CG399" i="4"/>
  <c r="CL398" i="4"/>
  <c r="CK398" i="4"/>
  <c r="CJ398" i="4"/>
  <c r="CI398" i="4"/>
  <c r="CH398" i="4"/>
  <c r="CG398" i="4"/>
  <c r="CL397" i="4"/>
  <c r="CK397" i="4"/>
  <c r="CJ397" i="4"/>
  <c r="CI397" i="4"/>
  <c r="CH397" i="4"/>
  <c r="CG397" i="4"/>
  <c r="CL396" i="4"/>
  <c r="CK396" i="4"/>
  <c r="CJ396" i="4"/>
  <c r="CI396" i="4"/>
  <c r="CH396" i="4"/>
  <c r="CG396" i="4"/>
  <c r="CL395" i="4"/>
  <c r="CK395" i="4"/>
  <c r="CJ395" i="4"/>
  <c r="CI395" i="4"/>
  <c r="CH395" i="4"/>
  <c r="CG395" i="4"/>
  <c r="CL394" i="4"/>
  <c r="CK394" i="4"/>
  <c r="CJ394" i="4"/>
  <c r="CI394" i="4"/>
  <c r="CH394" i="4"/>
  <c r="CG394" i="4"/>
  <c r="CL393" i="4"/>
  <c r="CK393" i="4"/>
  <c r="CJ393" i="4"/>
  <c r="CI393" i="4"/>
  <c r="CH393" i="4"/>
  <c r="CG393" i="4"/>
  <c r="CL392" i="4"/>
  <c r="CK392" i="4"/>
  <c r="CJ392" i="4"/>
  <c r="CI392" i="4"/>
  <c r="CH392" i="4"/>
  <c r="CG392" i="4"/>
  <c r="CL391" i="4"/>
  <c r="CK391" i="4"/>
  <c r="CJ391" i="4"/>
  <c r="CI391" i="4"/>
  <c r="CH391" i="4"/>
  <c r="CG391" i="4"/>
  <c r="CL390" i="4"/>
  <c r="CK390" i="4"/>
  <c r="CJ390" i="4"/>
  <c r="CI390" i="4"/>
  <c r="CH390" i="4"/>
  <c r="CG390" i="4"/>
  <c r="CL389" i="4"/>
  <c r="CK389" i="4"/>
  <c r="CJ389" i="4"/>
  <c r="CI389" i="4"/>
  <c r="CH389" i="4"/>
  <c r="CG389" i="4"/>
  <c r="CL388" i="4"/>
  <c r="CK388" i="4"/>
  <c r="CJ388" i="4"/>
  <c r="CI388" i="4"/>
  <c r="CH388" i="4"/>
  <c r="CG388" i="4"/>
  <c r="CL387" i="4"/>
  <c r="CK387" i="4"/>
  <c r="CJ387" i="4"/>
  <c r="CI387" i="4"/>
  <c r="CH387" i="4"/>
  <c r="CG387" i="4"/>
  <c r="CL386" i="4"/>
  <c r="CK386" i="4"/>
  <c r="CJ386" i="4"/>
  <c r="CI386" i="4"/>
  <c r="CH386" i="4"/>
  <c r="CG386" i="4"/>
  <c r="CL385" i="4"/>
  <c r="CK385" i="4"/>
  <c r="CJ385" i="4"/>
  <c r="CI385" i="4"/>
  <c r="CH385" i="4"/>
  <c r="CG385" i="4"/>
  <c r="CL384" i="4"/>
  <c r="CK384" i="4"/>
  <c r="CJ384" i="4"/>
  <c r="CI384" i="4"/>
  <c r="CH384" i="4"/>
  <c r="CG384" i="4"/>
  <c r="CL383" i="4"/>
  <c r="CK383" i="4"/>
  <c r="CJ383" i="4"/>
  <c r="CI383" i="4"/>
  <c r="CH383" i="4"/>
  <c r="CG383" i="4"/>
  <c r="CL382" i="4"/>
  <c r="CK382" i="4"/>
  <c r="CJ382" i="4"/>
  <c r="CI382" i="4"/>
  <c r="CH382" i="4"/>
  <c r="CG382" i="4"/>
  <c r="CL381" i="4"/>
  <c r="CK381" i="4"/>
  <c r="CJ381" i="4"/>
  <c r="CI381" i="4"/>
  <c r="CH381" i="4"/>
  <c r="CG381" i="4"/>
  <c r="CL380" i="4"/>
  <c r="CK380" i="4"/>
  <c r="CJ380" i="4"/>
  <c r="CI380" i="4"/>
  <c r="CH380" i="4"/>
  <c r="CG380" i="4"/>
  <c r="CL379" i="4"/>
  <c r="CK379" i="4"/>
  <c r="CJ379" i="4"/>
  <c r="CI379" i="4"/>
  <c r="CH379" i="4"/>
  <c r="CG379" i="4"/>
  <c r="CL378" i="4"/>
  <c r="CK378" i="4"/>
  <c r="CJ378" i="4"/>
  <c r="CI378" i="4"/>
  <c r="CH378" i="4"/>
  <c r="CG378" i="4"/>
  <c r="CL377" i="4"/>
  <c r="CK377" i="4"/>
  <c r="CJ377" i="4"/>
  <c r="CI377" i="4"/>
  <c r="CH377" i="4"/>
  <c r="CG377" i="4"/>
  <c r="CL376" i="4"/>
  <c r="CK376" i="4"/>
  <c r="CJ376" i="4"/>
  <c r="CI376" i="4"/>
  <c r="CH376" i="4"/>
  <c r="CG376" i="4"/>
  <c r="CL375" i="4"/>
  <c r="CK375" i="4"/>
  <c r="CJ375" i="4"/>
  <c r="CI375" i="4"/>
  <c r="CH375" i="4"/>
  <c r="CG375" i="4"/>
  <c r="CL374" i="4"/>
  <c r="CK374" i="4"/>
  <c r="CJ374" i="4"/>
  <c r="CI374" i="4"/>
  <c r="CH374" i="4"/>
  <c r="CG374" i="4"/>
  <c r="CL373" i="4"/>
  <c r="CK373" i="4"/>
  <c r="CJ373" i="4"/>
  <c r="CI373" i="4"/>
  <c r="CH373" i="4"/>
  <c r="CG373" i="4"/>
  <c r="CL372" i="4"/>
  <c r="CK372" i="4"/>
  <c r="CJ372" i="4"/>
  <c r="CI372" i="4"/>
  <c r="CH372" i="4"/>
  <c r="CG372" i="4"/>
  <c r="CL371" i="4"/>
  <c r="CK371" i="4"/>
  <c r="CJ371" i="4"/>
  <c r="CI371" i="4"/>
  <c r="CH371" i="4"/>
  <c r="CG371" i="4"/>
  <c r="CL370" i="4"/>
  <c r="CK370" i="4"/>
  <c r="CJ370" i="4"/>
  <c r="CI370" i="4"/>
  <c r="CH370" i="4"/>
  <c r="CG370" i="4"/>
  <c r="CL369" i="4"/>
  <c r="CK369" i="4"/>
  <c r="CJ369" i="4"/>
  <c r="CI369" i="4"/>
  <c r="CH369" i="4"/>
  <c r="CG369" i="4"/>
  <c r="CL368" i="4"/>
  <c r="CK368" i="4"/>
  <c r="CJ368" i="4"/>
  <c r="CI368" i="4"/>
  <c r="CH368" i="4"/>
  <c r="CG368" i="4"/>
  <c r="CL367" i="4"/>
  <c r="CK367" i="4"/>
  <c r="CJ367" i="4"/>
  <c r="CI367" i="4"/>
  <c r="CH367" i="4"/>
  <c r="CG367" i="4"/>
  <c r="CL366" i="4"/>
  <c r="CK366" i="4"/>
  <c r="CJ366" i="4"/>
  <c r="CI366" i="4"/>
  <c r="CH366" i="4"/>
  <c r="CG366" i="4"/>
  <c r="CL365" i="4"/>
  <c r="CK365" i="4"/>
  <c r="CJ365" i="4"/>
  <c r="CI365" i="4"/>
  <c r="CH365" i="4"/>
  <c r="CG365" i="4"/>
  <c r="CL364" i="4"/>
  <c r="CK364" i="4"/>
  <c r="CJ364" i="4"/>
  <c r="CI364" i="4"/>
  <c r="CH364" i="4"/>
  <c r="CG364" i="4"/>
  <c r="CL363" i="4"/>
  <c r="CK363" i="4"/>
  <c r="CJ363" i="4"/>
  <c r="CI363" i="4"/>
  <c r="CH363" i="4"/>
  <c r="CG363" i="4"/>
  <c r="CL362" i="4"/>
  <c r="CK362" i="4"/>
  <c r="CJ362" i="4"/>
  <c r="CI362" i="4"/>
  <c r="CH362" i="4"/>
  <c r="CG362" i="4"/>
  <c r="CL361" i="4"/>
  <c r="CK361" i="4"/>
  <c r="CJ361" i="4"/>
  <c r="CI361" i="4"/>
  <c r="CH361" i="4"/>
  <c r="CG361" i="4"/>
  <c r="CL360" i="4"/>
  <c r="CK360" i="4"/>
  <c r="CJ360" i="4"/>
  <c r="CI360" i="4"/>
  <c r="CH360" i="4"/>
  <c r="CG360" i="4"/>
  <c r="CL359" i="4"/>
  <c r="CK359" i="4"/>
  <c r="CJ359" i="4"/>
  <c r="CI359" i="4"/>
  <c r="CH359" i="4"/>
  <c r="CG359" i="4"/>
  <c r="CL358" i="4"/>
  <c r="CK358" i="4"/>
  <c r="CJ358" i="4"/>
  <c r="CI358" i="4"/>
  <c r="CH358" i="4"/>
  <c r="CG358" i="4"/>
  <c r="CL357" i="4"/>
  <c r="CK357" i="4"/>
  <c r="CJ357" i="4"/>
  <c r="CI357" i="4"/>
  <c r="CH357" i="4"/>
  <c r="CG357" i="4"/>
  <c r="CL356" i="4"/>
  <c r="CK356" i="4"/>
  <c r="CJ356" i="4"/>
  <c r="CI356" i="4"/>
  <c r="CH356" i="4"/>
  <c r="CG356" i="4"/>
  <c r="CL355" i="4"/>
  <c r="CK355" i="4"/>
  <c r="CJ355" i="4"/>
  <c r="CI355" i="4"/>
  <c r="CH355" i="4"/>
  <c r="CG355" i="4"/>
  <c r="CL354" i="4"/>
  <c r="CK354" i="4"/>
  <c r="CJ354" i="4"/>
  <c r="CI354" i="4"/>
  <c r="CH354" i="4"/>
  <c r="CG354" i="4"/>
  <c r="CL353" i="4"/>
  <c r="CK353" i="4"/>
  <c r="CJ353" i="4"/>
  <c r="CI353" i="4"/>
  <c r="CH353" i="4"/>
  <c r="CG353" i="4"/>
  <c r="CL352" i="4"/>
  <c r="CK352" i="4"/>
  <c r="CJ352" i="4"/>
  <c r="CI352" i="4"/>
  <c r="CH352" i="4"/>
  <c r="CG352" i="4"/>
  <c r="CL351" i="4"/>
  <c r="CK351" i="4"/>
  <c r="CJ351" i="4"/>
  <c r="CI351" i="4"/>
  <c r="CH351" i="4"/>
  <c r="CG351" i="4"/>
  <c r="CL350" i="4"/>
  <c r="CK350" i="4"/>
  <c r="CJ350" i="4"/>
  <c r="CI350" i="4"/>
  <c r="CH350" i="4"/>
  <c r="CG350" i="4"/>
  <c r="CL349" i="4"/>
  <c r="CK349" i="4"/>
  <c r="CJ349" i="4"/>
  <c r="CI349" i="4"/>
  <c r="CH349" i="4"/>
  <c r="CG349" i="4"/>
  <c r="CL348" i="4"/>
  <c r="CK348" i="4"/>
  <c r="CJ348" i="4"/>
  <c r="CI348" i="4"/>
  <c r="CH348" i="4"/>
  <c r="CG348" i="4"/>
  <c r="CL347" i="4"/>
  <c r="CK347" i="4"/>
  <c r="CJ347" i="4"/>
  <c r="CI347" i="4"/>
  <c r="CH347" i="4"/>
  <c r="CG347" i="4"/>
  <c r="CL346" i="4"/>
  <c r="CK346" i="4"/>
  <c r="CJ346" i="4"/>
  <c r="CI346" i="4"/>
  <c r="CH346" i="4"/>
  <c r="CG346" i="4"/>
  <c r="CL345" i="4"/>
  <c r="CK345" i="4"/>
  <c r="CJ345" i="4"/>
  <c r="CI345" i="4"/>
  <c r="CH345" i="4"/>
  <c r="CG345" i="4"/>
  <c r="CL344" i="4"/>
  <c r="CK344" i="4"/>
  <c r="CJ344" i="4"/>
  <c r="CI344" i="4"/>
  <c r="CH344" i="4"/>
  <c r="CG344" i="4"/>
  <c r="CL343" i="4"/>
  <c r="CK343" i="4"/>
  <c r="CJ343" i="4"/>
  <c r="CI343" i="4"/>
  <c r="CH343" i="4"/>
  <c r="CG343" i="4"/>
  <c r="CL342" i="4"/>
  <c r="CK342" i="4"/>
  <c r="CJ342" i="4"/>
  <c r="CI342" i="4"/>
  <c r="CH342" i="4"/>
  <c r="CG342" i="4"/>
  <c r="CL341" i="4"/>
  <c r="CK341" i="4"/>
  <c r="CJ341" i="4"/>
  <c r="CI341" i="4"/>
  <c r="CH341" i="4"/>
  <c r="CG341" i="4"/>
  <c r="CL340" i="4"/>
  <c r="CK340" i="4"/>
  <c r="CJ340" i="4"/>
  <c r="CI340" i="4"/>
  <c r="CH340" i="4"/>
  <c r="CG340" i="4"/>
  <c r="CL339" i="4"/>
  <c r="CK339" i="4"/>
  <c r="CJ339" i="4"/>
  <c r="CI339" i="4"/>
  <c r="CH339" i="4"/>
  <c r="CG339" i="4"/>
  <c r="CL338" i="4"/>
  <c r="CK338" i="4"/>
  <c r="CJ338" i="4"/>
  <c r="CI338" i="4"/>
  <c r="CH338" i="4"/>
  <c r="CG338" i="4"/>
  <c r="CL337" i="4"/>
  <c r="CK337" i="4"/>
  <c r="CJ337" i="4"/>
  <c r="CI337" i="4"/>
  <c r="CH337" i="4"/>
  <c r="CG337" i="4"/>
  <c r="CL336" i="4"/>
  <c r="CK336" i="4"/>
  <c r="CJ336" i="4"/>
  <c r="CI336" i="4"/>
  <c r="CH336" i="4"/>
  <c r="CG336" i="4"/>
  <c r="CL335" i="4"/>
  <c r="CK335" i="4"/>
  <c r="CJ335" i="4"/>
  <c r="CI335" i="4"/>
  <c r="CH335" i="4"/>
  <c r="CG335" i="4"/>
  <c r="CL334" i="4"/>
  <c r="CK334" i="4"/>
  <c r="CJ334" i="4"/>
  <c r="CI334" i="4"/>
  <c r="CH334" i="4"/>
  <c r="CG334" i="4"/>
  <c r="CL333" i="4"/>
  <c r="CK333" i="4"/>
  <c r="CJ333" i="4"/>
  <c r="CI333" i="4"/>
  <c r="CH333" i="4"/>
  <c r="CG333" i="4"/>
  <c r="CL332" i="4"/>
  <c r="CK332" i="4"/>
  <c r="CJ332" i="4"/>
  <c r="CI332" i="4"/>
  <c r="CH332" i="4"/>
  <c r="CG332" i="4"/>
  <c r="CL331" i="4"/>
  <c r="CK331" i="4"/>
  <c r="CJ331" i="4"/>
  <c r="CI331" i="4"/>
  <c r="CH331" i="4"/>
  <c r="CG331" i="4"/>
  <c r="CL330" i="4"/>
  <c r="CK330" i="4"/>
  <c r="CJ330" i="4"/>
  <c r="CI330" i="4"/>
  <c r="CH330" i="4"/>
  <c r="CG330" i="4"/>
  <c r="CL329" i="4"/>
  <c r="CK329" i="4"/>
  <c r="CJ329" i="4"/>
  <c r="CI329" i="4"/>
  <c r="CH329" i="4"/>
  <c r="CG329" i="4"/>
  <c r="CL328" i="4"/>
  <c r="CK328" i="4"/>
  <c r="CJ328" i="4"/>
  <c r="CI328" i="4"/>
  <c r="CH328" i="4"/>
  <c r="CG328" i="4"/>
  <c r="CL327" i="4"/>
  <c r="CK327" i="4"/>
  <c r="CJ327" i="4"/>
  <c r="CI327" i="4"/>
  <c r="CH327" i="4"/>
  <c r="CG327" i="4"/>
  <c r="CL326" i="4"/>
  <c r="CK326" i="4"/>
  <c r="CJ326" i="4"/>
  <c r="CI326" i="4"/>
  <c r="CH326" i="4"/>
  <c r="CG326" i="4"/>
  <c r="CL325" i="4"/>
  <c r="CK325" i="4"/>
  <c r="CJ325" i="4"/>
  <c r="CI325" i="4"/>
  <c r="CH325" i="4"/>
  <c r="CG325" i="4"/>
  <c r="CL324" i="4"/>
  <c r="CK324" i="4"/>
  <c r="CJ324" i="4"/>
  <c r="CI324" i="4"/>
  <c r="CH324" i="4"/>
  <c r="CG324" i="4"/>
  <c r="CL323" i="4"/>
  <c r="CK323" i="4"/>
  <c r="CJ323" i="4"/>
  <c r="CI323" i="4"/>
  <c r="CH323" i="4"/>
  <c r="CG323" i="4"/>
  <c r="CL322" i="4"/>
  <c r="CK322" i="4"/>
  <c r="CJ322" i="4"/>
  <c r="CI322" i="4"/>
  <c r="CH322" i="4"/>
  <c r="CG322" i="4"/>
  <c r="CL321" i="4"/>
  <c r="CK321" i="4"/>
  <c r="CJ321" i="4"/>
  <c r="CI321" i="4"/>
  <c r="CH321" i="4"/>
  <c r="CG321" i="4"/>
  <c r="CL320" i="4"/>
  <c r="CK320" i="4"/>
  <c r="CJ320" i="4"/>
  <c r="CI320" i="4"/>
  <c r="CH320" i="4"/>
  <c r="CG320" i="4"/>
  <c r="CL319" i="4"/>
  <c r="CK319" i="4"/>
  <c r="CJ319" i="4"/>
  <c r="CI319" i="4"/>
  <c r="CH319" i="4"/>
  <c r="CG319" i="4"/>
  <c r="CL318" i="4"/>
  <c r="CK318" i="4"/>
  <c r="CJ318" i="4"/>
  <c r="CI318" i="4"/>
  <c r="CH318" i="4"/>
  <c r="CG318" i="4"/>
  <c r="CL317" i="4"/>
  <c r="CK317" i="4"/>
  <c r="CJ317" i="4"/>
  <c r="CI317" i="4"/>
  <c r="CH317" i="4"/>
  <c r="CG317" i="4"/>
  <c r="CL316" i="4"/>
  <c r="CK316" i="4"/>
  <c r="CJ316" i="4"/>
  <c r="CI316" i="4"/>
  <c r="CH316" i="4"/>
  <c r="CG316" i="4"/>
  <c r="CL315" i="4"/>
  <c r="CK315" i="4"/>
  <c r="CJ315" i="4"/>
  <c r="CI315" i="4"/>
  <c r="CH315" i="4"/>
  <c r="CG315" i="4"/>
  <c r="CL314" i="4"/>
  <c r="CK314" i="4"/>
  <c r="CJ314" i="4"/>
  <c r="CI314" i="4"/>
  <c r="CH314" i="4"/>
  <c r="CG314" i="4"/>
  <c r="CL313" i="4"/>
  <c r="CK313" i="4"/>
  <c r="CJ313" i="4"/>
  <c r="CI313" i="4"/>
  <c r="CH313" i="4"/>
  <c r="CG313" i="4"/>
  <c r="CL312" i="4"/>
  <c r="CK312" i="4"/>
  <c r="CJ312" i="4"/>
  <c r="CI312" i="4"/>
  <c r="CH312" i="4"/>
  <c r="CG312" i="4"/>
  <c r="CL311" i="4"/>
  <c r="CK311" i="4"/>
  <c r="CJ311" i="4"/>
  <c r="CI311" i="4"/>
  <c r="CH311" i="4"/>
  <c r="CG311" i="4"/>
  <c r="CL310" i="4"/>
  <c r="CK310" i="4"/>
  <c r="CJ310" i="4"/>
  <c r="CI310" i="4"/>
  <c r="CH310" i="4"/>
  <c r="CG310" i="4"/>
  <c r="CL309" i="4"/>
  <c r="CK309" i="4"/>
  <c r="CJ309" i="4"/>
  <c r="CI309" i="4"/>
  <c r="CH309" i="4"/>
  <c r="CG309" i="4"/>
  <c r="CL308" i="4"/>
  <c r="CK308" i="4"/>
  <c r="CJ308" i="4"/>
  <c r="CI308" i="4"/>
  <c r="CH308" i="4"/>
  <c r="CG308" i="4"/>
  <c r="CL307" i="4"/>
  <c r="CK307" i="4"/>
  <c r="CJ307" i="4"/>
  <c r="CI307" i="4"/>
  <c r="CH307" i="4"/>
  <c r="CG307" i="4"/>
  <c r="CL306" i="4"/>
  <c r="CK306" i="4"/>
  <c r="CJ306" i="4"/>
  <c r="CI306" i="4"/>
  <c r="CH306" i="4"/>
  <c r="CG306" i="4"/>
  <c r="CL305" i="4"/>
  <c r="CK305" i="4"/>
  <c r="CJ305" i="4"/>
  <c r="CI305" i="4"/>
  <c r="CH305" i="4"/>
  <c r="CG305" i="4"/>
  <c r="CL304" i="4"/>
  <c r="CK304" i="4"/>
  <c r="CJ304" i="4"/>
  <c r="CI304" i="4"/>
  <c r="CH304" i="4"/>
  <c r="CG304" i="4"/>
  <c r="CL303" i="4"/>
  <c r="CK303" i="4"/>
  <c r="CJ303" i="4"/>
  <c r="CI303" i="4"/>
  <c r="CH303" i="4"/>
  <c r="CG303" i="4"/>
  <c r="CL302" i="4"/>
  <c r="CK302" i="4"/>
  <c r="CJ302" i="4"/>
  <c r="CI302" i="4"/>
  <c r="CH302" i="4"/>
  <c r="CG302" i="4"/>
  <c r="CL301" i="4"/>
  <c r="CK301" i="4"/>
  <c r="CJ301" i="4"/>
  <c r="CI301" i="4"/>
  <c r="CH301" i="4"/>
  <c r="CG301" i="4"/>
  <c r="CL300" i="4"/>
  <c r="CK300" i="4"/>
  <c r="CJ300" i="4"/>
  <c r="CI300" i="4"/>
  <c r="CH300" i="4"/>
  <c r="CG300" i="4"/>
  <c r="CL299" i="4"/>
  <c r="CK299" i="4"/>
  <c r="CJ299" i="4"/>
  <c r="CI299" i="4"/>
  <c r="CH299" i="4"/>
  <c r="CG299" i="4"/>
  <c r="CL298" i="4"/>
  <c r="CK298" i="4"/>
  <c r="CJ298" i="4"/>
  <c r="CI298" i="4"/>
  <c r="CH298" i="4"/>
  <c r="CG298" i="4"/>
  <c r="CL297" i="4"/>
  <c r="CK297" i="4"/>
  <c r="CJ297" i="4"/>
  <c r="CI297" i="4"/>
  <c r="CH297" i="4"/>
  <c r="CG297" i="4"/>
  <c r="CL296" i="4"/>
  <c r="CK296" i="4"/>
  <c r="CJ296" i="4"/>
  <c r="CI296" i="4"/>
  <c r="CH296" i="4"/>
  <c r="CG296" i="4"/>
  <c r="CL295" i="4"/>
  <c r="CK295" i="4"/>
  <c r="CJ295" i="4"/>
  <c r="CI295" i="4"/>
  <c r="CH295" i="4"/>
  <c r="CG295" i="4"/>
  <c r="CL294" i="4"/>
  <c r="CK294" i="4"/>
  <c r="CJ294" i="4"/>
  <c r="CI294" i="4"/>
  <c r="CH294" i="4"/>
  <c r="CG294" i="4"/>
  <c r="CL293" i="4"/>
  <c r="CK293" i="4"/>
  <c r="CJ293" i="4"/>
  <c r="CI293" i="4"/>
  <c r="CH293" i="4"/>
  <c r="CG293" i="4"/>
  <c r="CL292" i="4"/>
  <c r="CK292" i="4"/>
  <c r="CJ292" i="4"/>
  <c r="CI292" i="4"/>
  <c r="CH292" i="4"/>
  <c r="CG292" i="4"/>
  <c r="CL291" i="4"/>
  <c r="CK291" i="4"/>
  <c r="CJ291" i="4"/>
  <c r="CI291" i="4"/>
  <c r="CH291" i="4"/>
  <c r="CG291" i="4"/>
  <c r="CL290" i="4"/>
  <c r="CK290" i="4"/>
  <c r="CJ290" i="4"/>
  <c r="CI290" i="4"/>
  <c r="CH290" i="4"/>
  <c r="CG290" i="4"/>
  <c r="CL289" i="4"/>
  <c r="CK289" i="4"/>
  <c r="CJ289" i="4"/>
  <c r="CI289" i="4"/>
  <c r="CH289" i="4"/>
  <c r="CG289" i="4"/>
  <c r="CL288" i="4"/>
  <c r="CK288" i="4"/>
  <c r="CJ288" i="4"/>
  <c r="CI288" i="4"/>
  <c r="CH288" i="4"/>
  <c r="CG288" i="4"/>
  <c r="CL287" i="4"/>
  <c r="CK287" i="4"/>
  <c r="CJ287" i="4"/>
  <c r="CI287" i="4"/>
  <c r="CH287" i="4"/>
  <c r="CG287" i="4"/>
  <c r="CL286" i="4"/>
  <c r="CK286" i="4"/>
  <c r="CJ286" i="4"/>
  <c r="CI286" i="4"/>
  <c r="CH286" i="4"/>
  <c r="CG286" i="4"/>
  <c r="CL285" i="4"/>
  <c r="CK285" i="4"/>
  <c r="CJ285" i="4"/>
  <c r="CI285" i="4"/>
  <c r="CH285" i="4"/>
  <c r="CG285" i="4"/>
  <c r="CL284" i="4"/>
  <c r="CK284" i="4"/>
  <c r="CJ284" i="4"/>
  <c r="CI284" i="4"/>
  <c r="CH284" i="4"/>
  <c r="CG284" i="4"/>
  <c r="CL283" i="4"/>
  <c r="CK283" i="4"/>
  <c r="CJ283" i="4"/>
  <c r="CI283" i="4"/>
  <c r="CH283" i="4"/>
  <c r="CG283" i="4"/>
  <c r="CL282" i="4"/>
  <c r="CK282" i="4"/>
  <c r="CJ282" i="4"/>
  <c r="CI282" i="4"/>
  <c r="CH282" i="4"/>
  <c r="CG282" i="4"/>
  <c r="CL281" i="4"/>
  <c r="CK281" i="4"/>
  <c r="CJ281" i="4"/>
  <c r="CI281" i="4"/>
  <c r="CH281" i="4"/>
  <c r="CG281" i="4"/>
  <c r="CL280" i="4"/>
  <c r="CK280" i="4"/>
  <c r="CJ280" i="4"/>
  <c r="CI280" i="4"/>
  <c r="CH280" i="4"/>
  <c r="CG280" i="4"/>
  <c r="CL279" i="4"/>
  <c r="CK279" i="4"/>
  <c r="CJ279" i="4"/>
  <c r="CI279" i="4"/>
  <c r="CH279" i="4"/>
  <c r="CG279" i="4"/>
  <c r="CL278" i="4"/>
  <c r="CK278" i="4"/>
  <c r="CJ278" i="4"/>
  <c r="CI278" i="4"/>
  <c r="CH278" i="4"/>
  <c r="CG278" i="4"/>
  <c r="CL277" i="4"/>
  <c r="CK277" i="4"/>
  <c r="CJ277" i="4"/>
  <c r="CI277" i="4"/>
  <c r="CH277" i="4"/>
  <c r="CG277" i="4"/>
  <c r="CL276" i="4"/>
  <c r="CK276" i="4"/>
  <c r="CJ276" i="4"/>
  <c r="CI276" i="4"/>
  <c r="CH276" i="4"/>
  <c r="CG276" i="4"/>
  <c r="CL275" i="4"/>
  <c r="CK275" i="4"/>
  <c r="CJ275" i="4"/>
  <c r="CI275" i="4"/>
  <c r="CH275" i="4"/>
  <c r="CG275" i="4"/>
  <c r="CL274" i="4"/>
  <c r="CK274" i="4"/>
  <c r="CJ274" i="4"/>
  <c r="CI274" i="4"/>
  <c r="CH274" i="4"/>
  <c r="CG274" i="4"/>
  <c r="CL273" i="4"/>
  <c r="CK273" i="4"/>
  <c r="CJ273" i="4"/>
  <c r="CI273" i="4"/>
  <c r="CH273" i="4"/>
  <c r="CG273" i="4"/>
  <c r="CL272" i="4"/>
  <c r="CK272" i="4"/>
  <c r="CJ272" i="4"/>
  <c r="CI272" i="4"/>
  <c r="CH272" i="4"/>
  <c r="CG272" i="4"/>
  <c r="CL271" i="4"/>
  <c r="CK271" i="4"/>
  <c r="CJ271" i="4"/>
  <c r="CI271" i="4"/>
  <c r="CH271" i="4"/>
  <c r="CG271" i="4"/>
  <c r="CL270" i="4"/>
  <c r="CK270" i="4"/>
  <c r="CJ270" i="4"/>
  <c r="CI270" i="4"/>
  <c r="CH270" i="4"/>
  <c r="CG270" i="4"/>
  <c r="CL269" i="4"/>
  <c r="CK269" i="4"/>
  <c r="CJ269" i="4"/>
  <c r="CI269" i="4"/>
  <c r="CH269" i="4"/>
  <c r="CG269" i="4"/>
  <c r="CL268" i="4"/>
  <c r="CK268" i="4"/>
  <c r="CJ268" i="4"/>
  <c r="CI268" i="4"/>
  <c r="CH268" i="4"/>
  <c r="CG268" i="4"/>
  <c r="CL267" i="4"/>
  <c r="CK267" i="4"/>
  <c r="CJ267" i="4"/>
  <c r="CI267" i="4"/>
  <c r="CH267" i="4"/>
  <c r="CG267" i="4"/>
  <c r="CL266" i="4"/>
  <c r="CK266" i="4"/>
  <c r="CJ266" i="4"/>
  <c r="CI266" i="4"/>
  <c r="CH266" i="4"/>
  <c r="CG266" i="4"/>
  <c r="CL265" i="4"/>
  <c r="CK265" i="4"/>
  <c r="CJ265" i="4"/>
  <c r="CI265" i="4"/>
  <c r="CH265" i="4"/>
  <c r="CG265" i="4"/>
  <c r="CL264" i="4"/>
  <c r="CK264" i="4"/>
  <c r="CJ264" i="4"/>
  <c r="CI264" i="4"/>
  <c r="CH264" i="4"/>
  <c r="CG264" i="4"/>
  <c r="CL263" i="4"/>
  <c r="CK263" i="4"/>
  <c r="CJ263" i="4"/>
  <c r="CI263" i="4"/>
  <c r="CH263" i="4"/>
  <c r="CG263" i="4"/>
  <c r="CL262" i="4"/>
  <c r="CK262" i="4"/>
  <c r="CJ262" i="4"/>
  <c r="CI262" i="4"/>
  <c r="CH262" i="4"/>
  <c r="CG262" i="4"/>
  <c r="CL261" i="4"/>
  <c r="CK261" i="4"/>
  <c r="CJ261" i="4"/>
  <c r="CI261" i="4"/>
  <c r="CH261" i="4"/>
  <c r="CG261" i="4"/>
  <c r="CL260" i="4"/>
  <c r="CK260" i="4"/>
  <c r="CJ260" i="4"/>
  <c r="CI260" i="4"/>
  <c r="CH260" i="4"/>
  <c r="CG260" i="4"/>
  <c r="CL259" i="4"/>
  <c r="CK259" i="4"/>
  <c r="CJ259" i="4"/>
  <c r="CI259" i="4"/>
  <c r="CH259" i="4"/>
  <c r="CG259" i="4"/>
  <c r="CL258" i="4"/>
  <c r="CK258" i="4"/>
  <c r="CJ258" i="4"/>
  <c r="CI258" i="4"/>
  <c r="CH258" i="4"/>
  <c r="CG258" i="4"/>
  <c r="CL257" i="4"/>
  <c r="CK257" i="4"/>
  <c r="CJ257" i="4"/>
  <c r="CI257" i="4"/>
  <c r="CH257" i="4"/>
  <c r="CG257" i="4"/>
  <c r="CL256" i="4"/>
  <c r="CK256" i="4"/>
  <c r="CJ256" i="4"/>
  <c r="CI256" i="4"/>
  <c r="CH256" i="4"/>
  <c r="CG256" i="4"/>
  <c r="CL255" i="4"/>
  <c r="CK255" i="4"/>
  <c r="CJ255" i="4"/>
  <c r="CI255" i="4"/>
  <c r="CH255" i="4"/>
  <c r="CG255" i="4"/>
  <c r="CL254" i="4"/>
  <c r="CK254" i="4"/>
  <c r="CJ254" i="4"/>
  <c r="CI254" i="4"/>
  <c r="CH254" i="4"/>
  <c r="CG254" i="4"/>
  <c r="CL253" i="4"/>
  <c r="CK253" i="4"/>
  <c r="CJ253" i="4"/>
  <c r="CI253" i="4"/>
  <c r="CH253" i="4"/>
  <c r="CG253" i="4"/>
  <c r="CL252" i="4"/>
  <c r="CK252" i="4"/>
  <c r="CJ252" i="4"/>
  <c r="CI252" i="4"/>
  <c r="CH252" i="4"/>
  <c r="CG252" i="4"/>
  <c r="CL251" i="4"/>
  <c r="CK251" i="4"/>
  <c r="CJ251" i="4"/>
  <c r="CI251" i="4"/>
  <c r="CH251" i="4"/>
  <c r="CG251" i="4"/>
  <c r="CL250" i="4"/>
  <c r="CK250" i="4"/>
  <c r="CJ250" i="4"/>
  <c r="CI250" i="4"/>
  <c r="CH250" i="4"/>
  <c r="CG250" i="4"/>
  <c r="CL249" i="4"/>
  <c r="CK249" i="4"/>
  <c r="CJ249" i="4"/>
  <c r="CI249" i="4"/>
  <c r="CH249" i="4"/>
  <c r="CG249" i="4"/>
  <c r="CL248" i="4"/>
  <c r="CK248" i="4"/>
  <c r="CJ248" i="4"/>
  <c r="CI248" i="4"/>
  <c r="CH248" i="4"/>
  <c r="CG248" i="4"/>
  <c r="CL247" i="4"/>
  <c r="CK247" i="4"/>
  <c r="CJ247" i="4"/>
  <c r="CI247" i="4"/>
  <c r="CH247" i="4"/>
  <c r="CG247" i="4"/>
  <c r="CL246" i="4"/>
  <c r="CK246" i="4"/>
  <c r="CJ246" i="4"/>
  <c r="CI246" i="4"/>
  <c r="CH246" i="4"/>
  <c r="CG246" i="4"/>
  <c r="CL245" i="4"/>
  <c r="CK245" i="4"/>
  <c r="CJ245" i="4"/>
  <c r="CI245" i="4"/>
  <c r="CH245" i="4"/>
  <c r="CG245" i="4"/>
  <c r="CL244" i="4"/>
  <c r="CK244" i="4"/>
  <c r="CJ244" i="4"/>
  <c r="CI244" i="4"/>
  <c r="CH244" i="4"/>
  <c r="CG244" i="4"/>
  <c r="CL243" i="4"/>
  <c r="CK243" i="4"/>
  <c r="CJ243" i="4"/>
  <c r="CI243" i="4"/>
  <c r="CH243" i="4"/>
  <c r="CG243" i="4"/>
  <c r="CL242" i="4"/>
  <c r="CK242" i="4"/>
  <c r="CJ242" i="4"/>
  <c r="CI242" i="4"/>
  <c r="CH242" i="4"/>
  <c r="CG242" i="4"/>
  <c r="CL241" i="4"/>
  <c r="CK241" i="4"/>
  <c r="CJ241" i="4"/>
  <c r="CI241" i="4"/>
  <c r="CH241" i="4"/>
  <c r="CG241" i="4"/>
  <c r="CL240" i="4"/>
  <c r="CK240" i="4"/>
  <c r="CJ240" i="4"/>
  <c r="CI240" i="4"/>
  <c r="CH240" i="4"/>
  <c r="CG240" i="4"/>
  <c r="CL239" i="4"/>
  <c r="CK239" i="4"/>
  <c r="CJ239" i="4"/>
  <c r="CI239" i="4"/>
  <c r="CH239" i="4"/>
  <c r="CG239" i="4"/>
  <c r="CL238" i="4"/>
  <c r="CK238" i="4"/>
  <c r="CJ238" i="4"/>
  <c r="CI238" i="4"/>
  <c r="CH238" i="4"/>
  <c r="CG238" i="4"/>
  <c r="CL237" i="4"/>
  <c r="CK237" i="4"/>
  <c r="CJ237" i="4"/>
  <c r="CI237" i="4"/>
  <c r="CH237" i="4"/>
  <c r="CG237" i="4"/>
  <c r="CL236" i="4"/>
  <c r="CK236" i="4"/>
  <c r="CJ236" i="4"/>
  <c r="CI236" i="4"/>
  <c r="CH236" i="4"/>
  <c r="CG236" i="4"/>
  <c r="CL235" i="4"/>
  <c r="CK235" i="4"/>
  <c r="CJ235" i="4"/>
  <c r="CI235" i="4"/>
  <c r="CH235" i="4"/>
  <c r="CG235" i="4"/>
  <c r="CL234" i="4"/>
  <c r="CK234" i="4"/>
  <c r="CJ234" i="4"/>
  <c r="CI234" i="4"/>
  <c r="CH234" i="4"/>
  <c r="CG234" i="4"/>
  <c r="CL233" i="4"/>
  <c r="CK233" i="4"/>
  <c r="CJ233" i="4"/>
  <c r="CI233" i="4"/>
  <c r="CH233" i="4"/>
  <c r="CG233" i="4"/>
  <c r="CL232" i="4"/>
  <c r="CK232" i="4"/>
  <c r="CJ232" i="4"/>
  <c r="CI232" i="4"/>
  <c r="CH232" i="4"/>
  <c r="CG232" i="4"/>
  <c r="CL231" i="4"/>
  <c r="CK231" i="4"/>
  <c r="CJ231" i="4"/>
  <c r="CI231" i="4"/>
  <c r="CH231" i="4"/>
  <c r="CG231" i="4"/>
  <c r="CL230" i="4"/>
  <c r="CK230" i="4"/>
  <c r="CJ230" i="4"/>
  <c r="CI230" i="4"/>
  <c r="CH230" i="4"/>
  <c r="CG230" i="4"/>
  <c r="CL229" i="4"/>
  <c r="CK229" i="4"/>
  <c r="CJ229" i="4"/>
  <c r="CI229" i="4"/>
  <c r="CH229" i="4"/>
  <c r="CG229" i="4"/>
  <c r="CL228" i="4"/>
  <c r="CK228" i="4"/>
  <c r="CJ228" i="4"/>
  <c r="CI228" i="4"/>
  <c r="CH228" i="4"/>
  <c r="CG228" i="4"/>
  <c r="CL227" i="4"/>
  <c r="CK227" i="4"/>
  <c r="CJ227" i="4"/>
  <c r="CI227" i="4"/>
  <c r="CH227" i="4"/>
  <c r="CG227" i="4"/>
  <c r="CL226" i="4"/>
  <c r="CK226" i="4"/>
  <c r="CJ226" i="4"/>
  <c r="CI226" i="4"/>
  <c r="CH226" i="4"/>
  <c r="CG226" i="4"/>
  <c r="CL225" i="4"/>
  <c r="CK225" i="4"/>
  <c r="CJ225" i="4"/>
  <c r="CI225" i="4"/>
  <c r="CH225" i="4"/>
  <c r="CG225" i="4"/>
  <c r="CL224" i="4"/>
  <c r="CK224" i="4"/>
  <c r="CJ224" i="4"/>
  <c r="CI224" i="4"/>
  <c r="CH224" i="4"/>
  <c r="CG224" i="4"/>
  <c r="CL223" i="4"/>
  <c r="CK223" i="4"/>
  <c r="CJ223" i="4"/>
  <c r="CI223" i="4"/>
  <c r="CH223" i="4"/>
  <c r="CG223" i="4"/>
  <c r="CL222" i="4"/>
  <c r="CK222" i="4"/>
  <c r="CJ222" i="4"/>
  <c r="CI222" i="4"/>
  <c r="CH222" i="4"/>
  <c r="CG222" i="4"/>
  <c r="CL221" i="4"/>
  <c r="CK221" i="4"/>
  <c r="CJ221" i="4"/>
  <c r="CI221" i="4"/>
  <c r="CH221" i="4"/>
  <c r="CG221" i="4"/>
  <c r="CL220" i="4"/>
  <c r="CK220" i="4"/>
  <c r="CJ220" i="4"/>
  <c r="CI220" i="4"/>
  <c r="CH220" i="4"/>
  <c r="CG220" i="4"/>
  <c r="CL219" i="4"/>
  <c r="CK219" i="4"/>
  <c r="CJ219" i="4"/>
  <c r="CI219" i="4"/>
  <c r="CH219" i="4"/>
  <c r="CG219" i="4"/>
  <c r="CL218" i="4"/>
  <c r="CK218" i="4"/>
  <c r="CJ218" i="4"/>
  <c r="CI218" i="4"/>
  <c r="CH218" i="4"/>
  <c r="CG218" i="4"/>
  <c r="CL217" i="4"/>
  <c r="CK217" i="4"/>
  <c r="CJ217" i="4"/>
  <c r="CI217" i="4"/>
  <c r="CH217" i="4"/>
  <c r="CG217" i="4"/>
  <c r="CL216" i="4"/>
  <c r="CK216" i="4"/>
  <c r="CJ216" i="4"/>
  <c r="CI216" i="4"/>
  <c r="CH216" i="4"/>
  <c r="CG216" i="4"/>
  <c r="CL215" i="4"/>
  <c r="CK215" i="4"/>
  <c r="CJ215" i="4"/>
  <c r="CI215" i="4"/>
  <c r="CH215" i="4"/>
  <c r="CG215" i="4"/>
  <c r="CL214" i="4"/>
  <c r="CK214" i="4"/>
  <c r="CJ214" i="4"/>
  <c r="CI214" i="4"/>
  <c r="CH214" i="4"/>
  <c r="CG214" i="4"/>
  <c r="CL213" i="4"/>
  <c r="CK213" i="4"/>
  <c r="CJ213" i="4"/>
  <c r="CI213" i="4"/>
  <c r="CH213" i="4"/>
  <c r="CG213" i="4"/>
  <c r="CL212" i="4"/>
  <c r="CK212" i="4"/>
  <c r="CJ212" i="4"/>
  <c r="CI212" i="4"/>
  <c r="CH212" i="4"/>
  <c r="CG212" i="4"/>
  <c r="CL211" i="4"/>
  <c r="CK211" i="4"/>
  <c r="CJ211" i="4"/>
  <c r="CI211" i="4"/>
  <c r="CH211" i="4"/>
  <c r="CG211" i="4"/>
  <c r="CL210" i="4"/>
  <c r="CK210" i="4"/>
  <c r="CJ210" i="4"/>
  <c r="CI210" i="4"/>
  <c r="CH210" i="4"/>
  <c r="CG210" i="4"/>
  <c r="CL209" i="4"/>
  <c r="CK209" i="4"/>
  <c r="CJ209" i="4"/>
  <c r="CI209" i="4"/>
  <c r="CH209" i="4"/>
  <c r="CG209" i="4"/>
  <c r="CL208" i="4"/>
  <c r="CK208" i="4"/>
  <c r="CJ208" i="4"/>
  <c r="CI208" i="4"/>
  <c r="CH208" i="4"/>
  <c r="CG208" i="4"/>
  <c r="CL207" i="4"/>
  <c r="CK207" i="4"/>
  <c r="CJ207" i="4"/>
  <c r="CI207" i="4"/>
  <c r="CH207" i="4"/>
  <c r="CG207" i="4"/>
  <c r="CL206" i="4"/>
  <c r="CK206" i="4"/>
  <c r="CJ206" i="4"/>
  <c r="CI206" i="4"/>
  <c r="CH206" i="4"/>
  <c r="CG206" i="4"/>
  <c r="CL205" i="4"/>
  <c r="CK205" i="4"/>
  <c r="CJ205" i="4"/>
  <c r="CI205" i="4"/>
  <c r="CH205" i="4"/>
  <c r="CG205" i="4"/>
  <c r="CL204" i="4"/>
  <c r="CK204" i="4"/>
  <c r="CJ204" i="4"/>
  <c r="CI204" i="4"/>
  <c r="CH204" i="4"/>
  <c r="CG204" i="4"/>
  <c r="CL203" i="4"/>
  <c r="CK203" i="4"/>
  <c r="CJ203" i="4"/>
  <c r="CI203" i="4"/>
  <c r="CH203" i="4"/>
  <c r="CG203" i="4"/>
  <c r="CL202" i="4"/>
  <c r="CK202" i="4"/>
  <c r="CJ202" i="4"/>
  <c r="CI202" i="4"/>
  <c r="CH202" i="4"/>
  <c r="CG202" i="4"/>
  <c r="CL201" i="4"/>
  <c r="CK201" i="4"/>
  <c r="CJ201" i="4"/>
  <c r="CI201" i="4"/>
  <c r="CH201" i="4"/>
  <c r="CG201" i="4"/>
  <c r="CL200" i="4"/>
  <c r="CK200" i="4"/>
  <c r="CJ200" i="4"/>
  <c r="CI200" i="4"/>
  <c r="CH200" i="4"/>
  <c r="CG200" i="4"/>
  <c r="CL199" i="4"/>
  <c r="CK199" i="4"/>
  <c r="CJ199" i="4"/>
  <c r="CI199" i="4"/>
  <c r="CH199" i="4"/>
  <c r="CG199" i="4"/>
  <c r="CL198" i="4"/>
  <c r="CK198" i="4"/>
  <c r="CJ198" i="4"/>
  <c r="CI198" i="4"/>
  <c r="CH198" i="4"/>
  <c r="CG198" i="4"/>
  <c r="CL197" i="4"/>
  <c r="CK197" i="4"/>
  <c r="CJ197" i="4"/>
  <c r="CI197" i="4"/>
  <c r="CH197" i="4"/>
  <c r="CG197" i="4"/>
  <c r="CL196" i="4"/>
  <c r="CK196" i="4"/>
  <c r="CJ196" i="4"/>
  <c r="CI196" i="4"/>
  <c r="CH196" i="4"/>
  <c r="CG196" i="4"/>
  <c r="CL195" i="4"/>
  <c r="CK195" i="4"/>
  <c r="CJ195" i="4"/>
  <c r="CI195" i="4"/>
  <c r="CH195" i="4"/>
  <c r="CG195" i="4"/>
  <c r="CL194" i="4"/>
  <c r="CK194" i="4"/>
  <c r="CJ194" i="4"/>
  <c r="CI194" i="4"/>
  <c r="CH194" i="4"/>
  <c r="CG194" i="4"/>
  <c r="CL193" i="4"/>
  <c r="CK193" i="4"/>
  <c r="CJ193" i="4"/>
  <c r="CI193" i="4"/>
  <c r="CH193" i="4"/>
  <c r="CG193" i="4"/>
  <c r="CL192" i="4"/>
  <c r="CK192" i="4"/>
  <c r="CJ192" i="4"/>
  <c r="CI192" i="4"/>
  <c r="CH192" i="4"/>
  <c r="CG192" i="4"/>
  <c r="CL191" i="4"/>
  <c r="CK191" i="4"/>
  <c r="CJ191" i="4"/>
  <c r="CI191" i="4"/>
  <c r="CH191" i="4"/>
  <c r="CG191" i="4"/>
  <c r="CL190" i="4"/>
  <c r="CK190" i="4"/>
  <c r="CJ190" i="4"/>
  <c r="CI190" i="4"/>
  <c r="CH190" i="4"/>
  <c r="CG190" i="4"/>
  <c r="CL189" i="4"/>
  <c r="CK189" i="4"/>
  <c r="CJ189" i="4"/>
  <c r="CI189" i="4"/>
  <c r="CH189" i="4"/>
  <c r="CG189" i="4"/>
  <c r="CL188" i="4"/>
  <c r="CK188" i="4"/>
  <c r="CJ188" i="4"/>
  <c r="CI188" i="4"/>
  <c r="CH188" i="4"/>
  <c r="CG188" i="4"/>
  <c r="CL187" i="4"/>
  <c r="CK187" i="4"/>
  <c r="CJ187" i="4"/>
  <c r="CI187" i="4"/>
  <c r="CH187" i="4"/>
  <c r="CG187" i="4"/>
  <c r="CL186" i="4"/>
  <c r="CK186" i="4"/>
  <c r="CJ186" i="4"/>
  <c r="CI186" i="4"/>
  <c r="CH186" i="4"/>
  <c r="CG186" i="4"/>
  <c r="CL185" i="4"/>
  <c r="CK185" i="4"/>
  <c r="CJ185" i="4"/>
  <c r="CI185" i="4"/>
  <c r="CH185" i="4"/>
  <c r="CG185" i="4"/>
  <c r="CL184" i="4"/>
  <c r="CK184" i="4"/>
  <c r="CJ184" i="4"/>
  <c r="CI184" i="4"/>
  <c r="CH184" i="4"/>
  <c r="CG184" i="4"/>
  <c r="CL183" i="4"/>
  <c r="CK183" i="4"/>
  <c r="CJ183" i="4"/>
  <c r="CI183" i="4"/>
  <c r="CH183" i="4"/>
  <c r="CG183" i="4"/>
  <c r="CL182" i="4"/>
  <c r="CK182" i="4"/>
  <c r="CJ182" i="4"/>
  <c r="CI182" i="4"/>
  <c r="CH182" i="4"/>
  <c r="CG182" i="4"/>
  <c r="CL181" i="4"/>
  <c r="CK181" i="4"/>
  <c r="CJ181" i="4"/>
  <c r="CI181" i="4"/>
  <c r="CH181" i="4"/>
  <c r="CG181" i="4"/>
  <c r="CL180" i="4"/>
  <c r="CK180" i="4"/>
  <c r="CJ180" i="4"/>
  <c r="CI180" i="4"/>
  <c r="CH180" i="4"/>
  <c r="CG180" i="4"/>
  <c r="CL179" i="4"/>
  <c r="CK179" i="4"/>
  <c r="CJ179" i="4"/>
  <c r="CI179" i="4"/>
  <c r="CH179" i="4"/>
  <c r="CG179" i="4"/>
  <c r="CL178" i="4"/>
  <c r="CK178" i="4"/>
  <c r="CJ178" i="4"/>
  <c r="CI178" i="4"/>
  <c r="CH178" i="4"/>
  <c r="CG178" i="4"/>
  <c r="CL177" i="4"/>
  <c r="CK177" i="4"/>
  <c r="CJ177" i="4"/>
  <c r="CI177" i="4"/>
  <c r="CH177" i="4"/>
  <c r="CG177" i="4"/>
  <c r="CL176" i="4"/>
  <c r="CK176" i="4"/>
  <c r="CJ176" i="4"/>
  <c r="CI176" i="4"/>
  <c r="CH176" i="4"/>
  <c r="CG176" i="4"/>
  <c r="CL175" i="4"/>
  <c r="CK175" i="4"/>
  <c r="CJ175" i="4"/>
  <c r="CI175" i="4"/>
  <c r="CH175" i="4"/>
  <c r="CG175" i="4"/>
  <c r="CL174" i="4"/>
  <c r="CK174" i="4"/>
  <c r="CJ174" i="4"/>
  <c r="CI174" i="4"/>
  <c r="CH174" i="4"/>
  <c r="CG174" i="4"/>
  <c r="CL173" i="4"/>
  <c r="CK173" i="4"/>
  <c r="CJ173" i="4"/>
  <c r="CI173" i="4"/>
  <c r="CH173" i="4"/>
  <c r="CG173" i="4"/>
  <c r="CL172" i="4"/>
  <c r="CK172" i="4"/>
  <c r="CJ172" i="4"/>
  <c r="CI172" i="4"/>
  <c r="CH172" i="4"/>
  <c r="CG172" i="4"/>
  <c r="CL171" i="4"/>
  <c r="CK171" i="4"/>
  <c r="CJ171" i="4"/>
  <c r="CI171" i="4"/>
  <c r="CH171" i="4"/>
  <c r="CG171" i="4"/>
  <c r="CL170" i="4"/>
  <c r="CK170" i="4"/>
  <c r="CJ170" i="4"/>
  <c r="CI170" i="4"/>
  <c r="CH170" i="4"/>
  <c r="CG170" i="4"/>
  <c r="CL169" i="4"/>
  <c r="CK169" i="4"/>
  <c r="CJ169" i="4"/>
  <c r="CI169" i="4"/>
  <c r="CH169" i="4"/>
  <c r="CG169" i="4"/>
  <c r="CL168" i="4"/>
  <c r="CK168" i="4"/>
  <c r="CJ168" i="4"/>
  <c r="CI168" i="4"/>
  <c r="CH168" i="4"/>
  <c r="CG168" i="4"/>
  <c r="CL167" i="4"/>
  <c r="CK167" i="4"/>
  <c r="CJ167" i="4"/>
  <c r="CI167" i="4"/>
  <c r="CH167" i="4"/>
  <c r="CG167" i="4"/>
  <c r="CL166" i="4"/>
  <c r="CK166" i="4"/>
  <c r="CJ166" i="4"/>
  <c r="CI166" i="4"/>
  <c r="CH166" i="4"/>
  <c r="CG166" i="4"/>
  <c r="CL165" i="4"/>
  <c r="CK165" i="4"/>
  <c r="CJ165" i="4"/>
  <c r="CI165" i="4"/>
  <c r="CH165" i="4"/>
  <c r="CG165" i="4"/>
  <c r="CL164" i="4"/>
  <c r="CK164" i="4"/>
  <c r="CJ164" i="4"/>
  <c r="CI164" i="4"/>
  <c r="CH164" i="4"/>
  <c r="CG164" i="4"/>
  <c r="CL163" i="4"/>
  <c r="CK163" i="4"/>
  <c r="CJ163" i="4"/>
  <c r="CI163" i="4"/>
  <c r="CH163" i="4"/>
  <c r="CG163" i="4"/>
  <c r="CL162" i="4"/>
  <c r="CK162" i="4"/>
  <c r="CJ162" i="4"/>
  <c r="CI162" i="4"/>
  <c r="CH162" i="4"/>
  <c r="CG162" i="4"/>
  <c r="CL161" i="4"/>
  <c r="CK161" i="4"/>
  <c r="CJ161" i="4"/>
  <c r="CI161" i="4"/>
  <c r="CH161" i="4"/>
  <c r="CG161" i="4"/>
  <c r="CL160" i="4"/>
  <c r="CK160" i="4"/>
  <c r="CJ160" i="4"/>
  <c r="CI160" i="4"/>
  <c r="CH160" i="4"/>
  <c r="CG160" i="4"/>
  <c r="CL159" i="4"/>
  <c r="CK159" i="4"/>
  <c r="CJ159" i="4"/>
  <c r="CI159" i="4"/>
  <c r="CH159" i="4"/>
  <c r="CG159" i="4"/>
  <c r="CL158" i="4"/>
  <c r="CK158" i="4"/>
  <c r="CJ158" i="4"/>
  <c r="CI158" i="4"/>
  <c r="CH158" i="4"/>
  <c r="CG158" i="4"/>
  <c r="CL157" i="4"/>
  <c r="CK157" i="4"/>
  <c r="CJ157" i="4"/>
  <c r="CI157" i="4"/>
  <c r="CH157" i="4"/>
  <c r="CG157" i="4"/>
  <c r="CL156" i="4"/>
  <c r="CK156" i="4"/>
  <c r="CJ156" i="4"/>
  <c r="CI156" i="4"/>
  <c r="CH156" i="4"/>
  <c r="CG156" i="4"/>
  <c r="CL155" i="4"/>
  <c r="CK155" i="4"/>
  <c r="CJ155" i="4"/>
  <c r="CI155" i="4"/>
  <c r="CH155" i="4"/>
  <c r="CG155" i="4"/>
  <c r="CL154" i="4"/>
  <c r="CK154" i="4"/>
  <c r="CJ154" i="4"/>
  <c r="CI154" i="4"/>
  <c r="CH154" i="4"/>
  <c r="CG154" i="4"/>
  <c r="CL153" i="4"/>
  <c r="CK153" i="4"/>
  <c r="CJ153" i="4"/>
  <c r="CI153" i="4"/>
  <c r="CH153" i="4"/>
  <c r="CG153" i="4"/>
  <c r="CL152" i="4"/>
  <c r="CK152" i="4"/>
  <c r="CJ152" i="4"/>
  <c r="CI152" i="4"/>
  <c r="CH152" i="4"/>
  <c r="CG152" i="4"/>
  <c r="CL151" i="4"/>
  <c r="CK151" i="4"/>
  <c r="CJ151" i="4"/>
  <c r="CI151" i="4"/>
  <c r="CH151" i="4"/>
  <c r="CG151" i="4"/>
  <c r="CL150" i="4"/>
  <c r="CK150" i="4"/>
  <c r="CJ150" i="4"/>
  <c r="CI150" i="4"/>
  <c r="CH150" i="4"/>
  <c r="CG150" i="4"/>
  <c r="CL149" i="4"/>
  <c r="CK149" i="4"/>
  <c r="CJ149" i="4"/>
  <c r="CI149" i="4"/>
  <c r="CH149" i="4"/>
  <c r="CG149" i="4"/>
  <c r="CL148" i="4"/>
  <c r="CK148" i="4"/>
  <c r="CJ148" i="4"/>
  <c r="CI148" i="4"/>
  <c r="CH148" i="4"/>
  <c r="CG148" i="4"/>
  <c r="CL147" i="4"/>
  <c r="CK147" i="4"/>
  <c r="CJ147" i="4"/>
  <c r="CI147" i="4"/>
  <c r="CH147" i="4"/>
  <c r="CG147" i="4"/>
  <c r="CL146" i="4"/>
  <c r="CK146" i="4"/>
  <c r="CJ146" i="4"/>
  <c r="CI146" i="4"/>
  <c r="CH146" i="4"/>
  <c r="CG146" i="4"/>
  <c r="CL145" i="4"/>
  <c r="CK145" i="4"/>
  <c r="CJ145" i="4"/>
  <c r="CI145" i="4"/>
  <c r="CH145" i="4"/>
  <c r="CG145" i="4"/>
  <c r="CL144" i="4"/>
  <c r="CK144" i="4"/>
  <c r="CJ144" i="4"/>
  <c r="CI144" i="4"/>
  <c r="CH144" i="4"/>
  <c r="CG144" i="4"/>
  <c r="CL143" i="4"/>
  <c r="CK143" i="4"/>
  <c r="CJ143" i="4"/>
  <c r="CI143" i="4"/>
  <c r="CH143" i="4"/>
  <c r="CG143" i="4"/>
  <c r="CL142" i="4"/>
  <c r="CK142" i="4"/>
  <c r="CJ142" i="4"/>
  <c r="CI142" i="4"/>
  <c r="CH142" i="4"/>
  <c r="CG142" i="4"/>
  <c r="CL141" i="4"/>
  <c r="CK141" i="4"/>
  <c r="CJ141" i="4"/>
  <c r="CI141" i="4"/>
  <c r="CH141" i="4"/>
  <c r="CG141" i="4"/>
  <c r="CL140" i="4"/>
  <c r="CK140" i="4"/>
  <c r="CJ140" i="4"/>
  <c r="CI140" i="4"/>
  <c r="CH140" i="4"/>
  <c r="CG140" i="4"/>
  <c r="CL139" i="4"/>
  <c r="CK139" i="4"/>
  <c r="CJ139" i="4"/>
  <c r="CI139" i="4"/>
  <c r="CH139" i="4"/>
  <c r="CG139" i="4"/>
  <c r="CL138" i="4"/>
  <c r="CK138" i="4"/>
  <c r="CJ138" i="4"/>
  <c r="CI138" i="4"/>
  <c r="CH138" i="4"/>
  <c r="CG138" i="4"/>
  <c r="CL137" i="4"/>
  <c r="CK137" i="4"/>
  <c r="CJ137" i="4"/>
  <c r="CI137" i="4"/>
  <c r="CH137" i="4"/>
  <c r="CG137" i="4"/>
  <c r="CL136" i="4"/>
  <c r="CK136" i="4"/>
  <c r="CJ136" i="4"/>
  <c r="CI136" i="4"/>
  <c r="CH136" i="4"/>
  <c r="CG136" i="4"/>
  <c r="CL135" i="4"/>
  <c r="CK135" i="4"/>
  <c r="CJ135" i="4"/>
  <c r="CI135" i="4"/>
  <c r="CH135" i="4"/>
  <c r="CG135" i="4"/>
  <c r="CL134" i="4"/>
  <c r="CK134" i="4"/>
  <c r="CJ134" i="4"/>
  <c r="CI134" i="4"/>
  <c r="CH134" i="4"/>
  <c r="CG134" i="4"/>
  <c r="CL133" i="4"/>
  <c r="CK133" i="4"/>
  <c r="CJ133" i="4"/>
  <c r="CI133" i="4"/>
  <c r="CH133" i="4"/>
  <c r="CG133" i="4"/>
  <c r="CL132" i="4"/>
  <c r="CK132" i="4"/>
  <c r="CJ132" i="4"/>
  <c r="CI132" i="4"/>
  <c r="CH132" i="4"/>
  <c r="CG132" i="4"/>
  <c r="CL131" i="4"/>
  <c r="CK131" i="4"/>
  <c r="CJ131" i="4"/>
  <c r="CI131" i="4"/>
  <c r="CH131" i="4"/>
  <c r="CG131" i="4"/>
  <c r="CL130" i="4"/>
  <c r="CK130" i="4"/>
  <c r="CJ130" i="4"/>
  <c r="CI130" i="4"/>
  <c r="CH130" i="4"/>
  <c r="CG130" i="4"/>
  <c r="CL129" i="4"/>
  <c r="CK129" i="4"/>
  <c r="CJ129" i="4"/>
  <c r="CI129" i="4"/>
  <c r="CH129" i="4"/>
  <c r="CG129" i="4"/>
  <c r="CL128" i="4"/>
  <c r="CK128" i="4"/>
  <c r="CJ128" i="4"/>
  <c r="CI128" i="4"/>
  <c r="CH128" i="4"/>
  <c r="CG128" i="4"/>
  <c r="CL127" i="4"/>
  <c r="CK127" i="4"/>
  <c r="CJ127" i="4"/>
  <c r="CI127" i="4"/>
  <c r="CH127" i="4"/>
  <c r="CG127" i="4"/>
  <c r="CL126" i="4"/>
  <c r="CK126" i="4"/>
  <c r="CJ126" i="4"/>
  <c r="CI126" i="4"/>
  <c r="CH126" i="4"/>
  <c r="CG126" i="4"/>
  <c r="CL125" i="4"/>
  <c r="CK125" i="4"/>
  <c r="CJ125" i="4"/>
  <c r="CI125" i="4"/>
  <c r="CH125" i="4"/>
  <c r="CG125" i="4"/>
  <c r="CL124" i="4"/>
  <c r="CK124" i="4"/>
  <c r="CJ124" i="4"/>
  <c r="CI124" i="4"/>
  <c r="CH124" i="4"/>
  <c r="CG124" i="4"/>
  <c r="CL123" i="4"/>
  <c r="CK123" i="4"/>
  <c r="CJ123" i="4"/>
  <c r="CI123" i="4"/>
  <c r="CH123" i="4"/>
  <c r="CG123" i="4"/>
  <c r="CL122" i="4"/>
  <c r="CK122" i="4"/>
  <c r="CJ122" i="4"/>
  <c r="CI122" i="4"/>
  <c r="CH122" i="4"/>
  <c r="CG122" i="4"/>
  <c r="CL121" i="4"/>
  <c r="CK121" i="4"/>
  <c r="CJ121" i="4"/>
  <c r="CI121" i="4"/>
  <c r="CH121" i="4"/>
  <c r="CG121" i="4"/>
  <c r="CL120" i="4"/>
  <c r="CK120" i="4"/>
  <c r="CJ120" i="4"/>
  <c r="CI120" i="4"/>
  <c r="CH120" i="4"/>
  <c r="CG120" i="4"/>
  <c r="CL119" i="4"/>
  <c r="CK119" i="4"/>
  <c r="CJ119" i="4"/>
  <c r="CI119" i="4"/>
  <c r="CH119" i="4"/>
  <c r="CG119" i="4"/>
  <c r="CL118" i="4"/>
  <c r="CK118" i="4"/>
  <c r="CJ118" i="4"/>
  <c r="CI118" i="4"/>
  <c r="CH118" i="4"/>
  <c r="CG118" i="4"/>
  <c r="CL117" i="4"/>
  <c r="CK117" i="4"/>
  <c r="CJ117" i="4"/>
  <c r="CI117" i="4"/>
  <c r="CH117" i="4"/>
  <c r="CG117" i="4"/>
  <c r="CL116" i="4"/>
  <c r="CK116" i="4"/>
  <c r="CJ116" i="4"/>
  <c r="CI116" i="4"/>
  <c r="CH116" i="4"/>
  <c r="CG116" i="4"/>
  <c r="CL115" i="4"/>
  <c r="CK115" i="4"/>
  <c r="CJ115" i="4"/>
  <c r="CI115" i="4"/>
  <c r="CH115" i="4"/>
  <c r="CG115" i="4"/>
  <c r="CL114" i="4"/>
  <c r="CK114" i="4"/>
  <c r="CJ114" i="4"/>
  <c r="CI114" i="4"/>
  <c r="CH114" i="4"/>
  <c r="CG114" i="4"/>
  <c r="CL113" i="4"/>
  <c r="CK113" i="4"/>
  <c r="CJ113" i="4"/>
  <c r="CI113" i="4"/>
  <c r="CH113" i="4"/>
  <c r="CG113" i="4"/>
  <c r="CL112" i="4"/>
  <c r="CK112" i="4"/>
  <c r="CJ112" i="4"/>
  <c r="CI112" i="4"/>
  <c r="CH112" i="4"/>
  <c r="CG112" i="4"/>
  <c r="CL111" i="4"/>
  <c r="CK111" i="4"/>
  <c r="CJ111" i="4"/>
  <c r="CI111" i="4"/>
  <c r="CH111" i="4"/>
  <c r="CG111" i="4"/>
  <c r="CL110" i="4"/>
  <c r="CK110" i="4"/>
  <c r="CJ110" i="4"/>
  <c r="CI110" i="4"/>
  <c r="CH110" i="4"/>
  <c r="CG110" i="4"/>
  <c r="CL109" i="4"/>
  <c r="CK109" i="4"/>
  <c r="CJ109" i="4"/>
  <c r="CI109" i="4"/>
  <c r="CH109" i="4"/>
  <c r="CG109" i="4"/>
  <c r="CL108" i="4"/>
  <c r="CK108" i="4"/>
  <c r="CJ108" i="4"/>
  <c r="CI108" i="4"/>
  <c r="CH108" i="4"/>
  <c r="CG108" i="4"/>
  <c r="CL107" i="4"/>
  <c r="CK107" i="4"/>
  <c r="CJ107" i="4"/>
  <c r="CI107" i="4"/>
  <c r="CH107" i="4"/>
  <c r="CG107" i="4"/>
  <c r="CL106" i="4"/>
  <c r="CK106" i="4"/>
  <c r="CJ106" i="4"/>
  <c r="CI106" i="4"/>
  <c r="CH106" i="4"/>
  <c r="CG106" i="4"/>
  <c r="CL105" i="4"/>
  <c r="CK105" i="4"/>
  <c r="CJ105" i="4"/>
  <c r="CI105" i="4"/>
  <c r="CH105" i="4"/>
  <c r="CG105" i="4"/>
  <c r="CL104" i="4"/>
  <c r="CK104" i="4"/>
  <c r="CJ104" i="4"/>
  <c r="CI104" i="4"/>
  <c r="CH104" i="4"/>
  <c r="CG104" i="4"/>
  <c r="CL103" i="4"/>
  <c r="CK103" i="4"/>
  <c r="CJ103" i="4"/>
  <c r="CI103" i="4"/>
  <c r="CH103" i="4"/>
  <c r="CG103" i="4"/>
  <c r="CL102" i="4"/>
  <c r="CK102" i="4"/>
  <c r="CJ102" i="4"/>
  <c r="CI102" i="4"/>
  <c r="CH102" i="4"/>
  <c r="CG102" i="4"/>
  <c r="CL101" i="4"/>
  <c r="CK101" i="4"/>
  <c r="CJ101" i="4"/>
  <c r="CI101" i="4"/>
  <c r="CH101" i="4"/>
  <c r="CG101" i="4"/>
  <c r="CL100" i="4"/>
  <c r="CK100" i="4"/>
  <c r="CJ100" i="4"/>
  <c r="CI100" i="4"/>
  <c r="CH100" i="4"/>
  <c r="CG100" i="4"/>
  <c r="CL99" i="4"/>
  <c r="CK99" i="4"/>
  <c r="CJ99" i="4"/>
  <c r="CI99" i="4"/>
  <c r="CH99" i="4"/>
  <c r="CG99" i="4"/>
  <c r="CL98" i="4"/>
  <c r="CK98" i="4"/>
  <c r="CJ98" i="4"/>
  <c r="CI98" i="4"/>
  <c r="CH98" i="4"/>
  <c r="CG98" i="4"/>
  <c r="CL97" i="4"/>
  <c r="CK97" i="4"/>
  <c r="CJ97" i="4"/>
  <c r="CI97" i="4"/>
  <c r="CH97" i="4"/>
  <c r="CG97" i="4"/>
  <c r="CL96" i="4"/>
  <c r="CK96" i="4"/>
  <c r="CJ96" i="4"/>
  <c r="CI96" i="4"/>
  <c r="CH96" i="4"/>
  <c r="CG96" i="4"/>
  <c r="CL95" i="4"/>
  <c r="CK95" i="4"/>
  <c r="CJ95" i="4"/>
  <c r="CI95" i="4"/>
  <c r="CH95" i="4"/>
  <c r="CG95" i="4"/>
  <c r="CL94" i="4"/>
  <c r="CK94" i="4"/>
  <c r="CJ94" i="4"/>
  <c r="CI94" i="4"/>
  <c r="CH94" i="4"/>
  <c r="CG94" i="4"/>
  <c r="CL93" i="4"/>
  <c r="CK93" i="4"/>
  <c r="CJ93" i="4"/>
  <c r="CI93" i="4"/>
  <c r="CH93" i="4"/>
  <c r="CG93" i="4"/>
  <c r="CL92" i="4"/>
  <c r="CK92" i="4"/>
  <c r="CJ92" i="4"/>
  <c r="CI92" i="4"/>
  <c r="CH92" i="4"/>
  <c r="CG92" i="4"/>
  <c r="CL91" i="4"/>
  <c r="CK91" i="4"/>
  <c r="CJ91" i="4"/>
  <c r="CI91" i="4"/>
  <c r="CH91" i="4"/>
  <c r="CG91" i="4"/>
  <c r="CL90" i="4"/>
  <c r="CK90" i="4"/>
  <c r="CJ90" i="4"/>
  <c r="CI90" i="4"/>
  <c r="CH90" i="4"/>
  <c r="CG90" i="4"/>
  <c r="CL89" i="4"/>
  <c r="CK89" i="4"/>
  <c r="CJ89" i="4"/>
  <c r="CI89" i="4"/>
  <c r="CH89" i="4"/>
  <c r="CG89" i="4"/>
  <c r="CL88" i="4"/>
  <c r="CK88" i="4"/>
  <c r="CJ88" i="4"/>
  <c r="CI88" i="4"/>
  <c r="CH88" i="4"/>
  <c r="CG88" i="4"/>
  <c r="CL87" i="4"/>
  <c r="CK87" i="4"/>
  <c r="CJ87" i="4"/>
  <c r="CI87" i="4"/>
  <c r="CH87" i="4"/>
  <c r="CG87" i="4"/>
  <c r="CL86" i="4"/>
  <c r="CK86" i="4"/>
  <c r="CJ86" i="4"/>
  <c r="CI86" i="4"/>
  <c r="CH86" i="4"/>
  <c r="CG86" i="4"/>
  <c r="CL85" i="4"/>
  <c r="CK85" i="4"/>
  <c r="CJ85" i="4"/>
  <c r="CI85" i="4"/>
  <c r="CH85" i="4"/>
  <c r="CG85" i="4"/>
  <c r="CL84" i="4"/>
  <c r="CK84" i="4"/>
  <c r="CJ84" i="4"/>
  <c r="CI84" i="4"/>
  <c r="CH84" i="4"/>
  <c r="CG84" i="4"/>
  <c r="CL83" i="4"/>
  <c r="CK83" i="4"/>
  <c r="CJ83" i="4"/>
  <c r="CI83" i="4"/>
  <c r="CH83" i="4"/>
  <c r="CG83" i="4"/>
  <c r="CL82" i="4"/>
  <c r="CK82" i="4"/>
  <c r="CJ82" i="4"/>
  <c r="CI82" i="4"/>
  <c r="CH82" i="4"/>
  <c r="CG82" i="4"/>
  <c r="CL81" i="4"/>
  <c r="CK81" i="4"/>
  <c r="CJ81" i="4"/>
  <c r="CI81" i="4"/>
  <c r="CH81" i="4"/>
  <c r="CG81" i="4"/>
  <c r="CL80" i="4"/>
  <c r="CK80" i="4"/>
  <c r="CJ80" i="4"/>
  <c r="CI80" i="4"/>
  <c r="CH80" i="4"/>
  <c r="CG80" i="4"/>
  <c r="CL79" i="4"/>
  <c r="CK79" i="4"/>
  <c r="CJ79" i="4"/>
  <c r="CI79" i="4"/>
  <c r="CH79" i="4"/>
  <c r="CG79" i="4"/>
  <c r="CL78" i="4"/>
  <c r="CK78" i="4"/>
  <c r="CJ78" i="4"/>
  <c r="CI78" i="4"/>
  <c r="CH78" i="4"/>
  <c r="CG78" i="4"/>
  <c r="CL77" i="4"/>
  <c r="CK77" i="4"/>
  <c r="CJ77" i="4"/>
  <c r="CI77" i="4"/>
  <c r="CH77" i="4"/>
  <c r="CG77" i="4"/>
  <c r="CL76" i="4"/>
  <c r="CK76" i="4"/>
  <c r="CJ76" i="4"/>
  <c r="CI76" i="4"/>
  <c r="CH76" i="4"/>
  <c r="CG76" i="4"/>
  <c r="CL75" i="4"/>
  <c r="CK75" i="4"/>
  <c r="CJ75" i="4"/>
  <c r="CI75" i="4"/>
  <c r="CH75" i="4"/>
  <c r="CG75" i="4"/>
  <c r="CL74" i="4"/>
  <c r="CK74" i="4"/>
  <c r="CJ74" i="4"/>
  <c r="CI74" i="4"/>
  <c r="CH74" i="4"/>
  <c r="CG74" i="4"/>
  <c r="CL73" i="4"/>
  <c r="CK73" i="4"/>
  <c r="CJ73" i="4"/>
  <c r="CI73" i="4"/>
  <c r="CH73" i="4"/>
  <c r="CG73" i="4"/>
  <c r="CL72" i="4"/>
  <c r="CK72" i="4"/>
  <c r="CJ72" i="4"/>
  <c r="CI72" i="4"/>
  <c r="CH72" i="4"/>
  <c r="CG72" i="4"/>
  <c r="CL71" i="4"/>
  <c r="CK71" i="4"/>
  <c r="CJ71" i="4"/>
  <c r="CI71" i="4"/>
  <c r="CH71" i="4"/>
  <c r="CG71" i="4"/>
  <c r="CL70" i="4"/>
  <c r="CK70" i="4"/>
  <c r="CJ70" i="4"/>
  <c r="CI70" i="4"/>
  <c r="CH70" i="4"/>
  <c r="CG70" i="4"/>
  <c r="CL69" i="4"/>
  <c r="CK69" i="4"/>
  <c r="CJ69" i="4"/>
  <c r="CI69" i="4"/>
  <c r="CH69" i="4"/>
  <c r="CG69" i="4"/>
  <c r="CL68" i="4"/>
  <c r="CK68" i="4"/>
  <c r="CJ68" i="4"/>
  <c r="CI68" i="4"/>
  <c r="CH68" i="4"/>
  <c r="CG68" i="4"/>
  <c r="CL67" i="4"/>
  <c r="CK67" i="4"/>
  <c r="CJ67" i="4"/>
  <c r="CI67" i="4"/>
  <c r="CH67" i="4"/>
  <c r="CG67" i="4"/>
  <c r="CL66" i="4"/>
  <c r="CK66" i="4"/>
  <c r="CJ66" i="4"/>
  <c r="CI66" i="4"/>
  <c r="CH66" i="4"/>
  <c r="CG66" i="4"/>
  <c r="CL65" i="4"/>
  <c r="CK65" i="4"/>
  <c r="CJ65" i="4"/>
  <c r="CI65" i="4"/>
  <c r="CH65" i="4"/>
  <c r="CG65" i="4"/>
  <c r="CL64" i="4"/>
  <c r="CK64" i="4"/>
  <c r="CJ64" i="4"/>
  <c r="CI64" i="4"/>
  <c r="CH64" i="4"/>
  <c r="CG64" i="4"/>
  <c r="CL63" i="4"/>
  <c r="CK63" i="4"/>
  <c r="CJ63" i="4"/>
  <c r="CI63" i="4"/>
  <c r="CH63" i="4"/>
  <c r="CG63" i="4"/>
  <c r="CL62" i="4"/>
  <c r="CK62" i="4"/>
  <c r="CJ62" i="4"/>
  <c r="CI62" i="4"/>
  <c r="CH62" i="4"/>
  <c r="CG62" i="4"/>
  <c r="CL61" i="4"/>
  <c r="CK61" i="4"/>
  <c r="CJ61" i="4"/>
  <c r="CI61" i="4"/>
  <c r="CH61" i="4"/>
  <c r="CG61" i="4"/>
  <c r="CL60" i="4"/>
  <c r="CK60" i="4"/>
  <c r="CJ60" i="4"/>
  <c r="CI60" i="4"/>
  <c r="CH60" i="4"/>
  <c r="CG60" i="4"/>
  <c r="CL59" i="4"/>
  <c r="CK59" i="4"/>
  <c r="CJ59" i="4"/>
  <c r="CI59" i="4"/>
  <c r="CH59" i="4"/>
  <c r="CG59" i="4"/>
  <c r="CL58" i="4"/>
  <c r="CK58" i="4"/>
  <c r="CJ58" i="4"/>
  <c r="CI58" i="4"/>
  <c r="CH58" i="4"/>
  <c r="CG58" i="4"/>
  <c r="CL57" i="4"/>
  <c r="CK57" i="4"/>
  <c r="CJ57" i="4"/>
  <c r="CI57" i="4"/>
  <c r="CH57" i="4"/>
  <c r="CG57" i="4"/>
  <c r="CL56" i="4"/>
  <c r="CK56" i="4"/>
  <c r="CJ56" i="4"/>
  <c r="CI56" i="4"/>
  <c r="CH56" i="4"/>
  <c r="CG56" i="4"/>
  <c r="CL55" i="4"/>
  <c r="CK55" i="4"/>
  <c r="CJ55" i="4"/>
  <c r="CI55" i="4"/>
  <c r="CH55" i="4"/>
  <c r="CG55" i="4"/>
  <c r="CL54" i="4"/>
  <c r="CK54" i="4"/>
  <c r="CJ54" i="4"/>
  <c r="CI54" i="4"/>
  <c r="CH54" i="4"/>
  <c r="CG54" i="4"/>
  <c r="CL53" i="4"/>
  <c r="CK53" i="4"/>
  <c r="CJ53" i="4"/>
  <c r="CI53" i="4"/>
  <c r="CH53" i="4"/>
  <c r="CG53" i="4"/>
  <c r="CL52" i="4"/>
  <c r="CK52" i="4"/>
  <c r="CJ52" i="4"/>
  <c r="CI52" i="4"/>
  <c r="CH52" i="4"/>
  <c r="CG52" i="4"/>
  <c r="CL51" i="4"/>
  <c r="CK51" i="4"/>
  <c r="CJ51" i="4"/>
  <c r="CI51" i="4"/>
  <c r="CH51" i="4"/>
  <c r="CG51" i="4"/>
  <c r="CL50" i="4"/>
  <c r="CK50" i="4"/>
  <c r="CJ50" i="4"/>
  <c r="CI50" i="4"/>
  <c r="CH50" i="4"/>
  <c r="CG50" i="4"/>
  <c r="CL49" i="4"/>
  <c r="CK49" i="4"/>
  <c r="CJ49" i="4"/>
  <c r="CI49" i="4"/>
  <c r="CH49" i="4"/>
  <c r="CG49" i="4"/>
  <c r="CL48" i="4"/>
  <c r="CK48" i="4"/>
  <c r="CJ48" i="4"/>
  <c r="CI48" i="4"/>
  <c r="CH48" i="4"/>
  <c r="CG48" i="4"/>
  <c r="CL47" i="4"/>
  <c r="CK47" i="4"/>
  <c r="CJ47" i="4"/>
  <c r="CI47" i="4"/>
  <c r="CH47" i="4"/>
  <c r="CG47" i="4"/>
  <c r="CL46" i="4"/>
  <c r="CK46" i="4"/>
  <c r="CJ46" i="4"/>
  <c r="CI46" i="4"/>
  <c r="CH46" i="4"/>
  <c r="CG46" i="4"/>
  <c r="CL45" i="4"/>
  <c r="CK45" i="4"/>
  <c r="CJ45" i="4"/>
  <c r="CI45" i="4"/>
  <c r="CH45" i="4"/>
  <c r="CG45" i="4"/>
  <c r="CL44" i="4"/>
  <c r="CK44" i="4"/>
  <c r="CJ44" i="4"/>
  <c r="CI44" i="4"/>
  <c r="CH44" i="4"/>
  <c r="CG44" i="4"/>
  <c r="CL43" i="4"/>
  <c r="CK43" i="4"/>
  <c r="CJ43" i="4"/>
  <c r="CI43" i="4"/>
  <c r="CH43" i="4"/>
  <c r="CG43" i="4"/>
  <c r="CL42" i="4"/>
  <c r="CK42" i="4"/>
  <c r="CJ42" i="4"/>
  <c r="CI42" i="4"/>
  <c r="CH42" i="4"/>
  <c r="CG42" i="4"/>
  <c r="CL41" i="4"/>
  <c r="CK41" i="4"/>
  <c r="CJ41" i="4"/>
  <c r="CI41" i="4"/>
  <c r="CH41" i="4"/>
  <c r="CG41" i="4"/>
  <c r="CL40" i="4"/>
  <c r="CK40" i="4"/>
  <c r="CJ40" i="4"/>
  <c r="CI40" i="4"/>
  <c r="CH40" i="4"/>
  <c r="CG40" i="4"/>
  <c r="CL39" i="4"/>
  <c r="CK39" i="4"/>
  <c r="CJ39" i="4"/>
  <c r="CI39" i="4"/>
  <c r="CH39" i="4"/>
  <c r="CG39" i="4"/>
  <c r="CL38" i="4"/>
  <c r="CK38" i="4"/>
  <c r="CJ38" i="4"/>
  <c r="CI38" i="4"/>
  <c r="CH38" i="4"/>
  <c r="CG38" i="4"/>
  <c r="CL37" i="4"/>
  <c r="CK37" i="4"/>
  <c r="CJ37" i="4"/>
  <c r="CI37" i="4"/>
  <c r="CH37" i="4"/>
  <c r="CG37" i="4"/>
  <c r="CL36" i="4"/>
  <c r="CK36" i="4"/>
  <c r="CJ36" i="4"/>
  <c r="CI36" i="4"/>
  <c r="CH36" i="4"/>
  <c r="CG36" i="4"/>
  <c r="CL35" i="4"/>
  <c r="CK35" i="4"/>
  <c r="CJ35" i="4"/>
  <c r="CI35" i="4"/>
  <c r="CH35" i="4"/>
  <c r="CG35" i="4"/>
  <c r="CL34" i="4"/>
  <c r="CK34" i="4"/>
  <c r="CJ34" i="4"/>
  <c r="CI34" i="4"/>
  <c r="CH34" i="4"/>
  <c r="CG34" i="4"/>
  <c r="CL33" i="4"/>
  <c r="CK33" i="4"/>
  <c r="CJ33" i="4"/>
  <c r="CI33" i="4"/>
  <c r="CH33" i="4"/>
  <c r="CG33" i="4"/>
  <c r="CL32" i="4"/>
  <c r="CK32" i="4"/>
  <c r="CJ32" i="4"/>
  <c r="CI32" i="4"/>
  <c r="CH32" i="4"/>
  <c r="CG32" i="4"/>
  <c r="CL31" i="4"/>
  <c r="CK31" i="4"/>
  <c r="CJ31" i="4"/>
  <c r="CI31" i="4"/>
  <c r="CH31" i="4"/>
  <c r="CG31" i="4"/>
  <c r="CL30" i="4"/>
  <c r="CK30" i="4"/>
  <c r="CJ30" i="4"/>
  <c r="CI30" i="4"/>
  <c r="CH30" i="4"/>
  <c r="CG30" i="4"/>
  <c r="CL29" i="4"/>
  <c r="CK29" i="4"/>
  <c r="CJ29" i="4"/>
  <c r="CI29" i="4"/>
  <c r="CH29" i="4"/>
  <c r="CG29" i="4"/>
  <c r="CL28" i="4"/>
  <c r="CK28" i="4"/>
  <c r="CJ28" i="4"/>
  <c r="CI28" i="4"/>
  <c r="CH28" i="4"/>
  <c r="CG28" i="4"/>
  <c r="CL27" i="4"/>
  <c r="CK27" i="4"/>
  <c r="CJ27" i="4"/>
  <c r="CI27" i="4"/>
  <c r="CH27" i="4"/>
  <c r="CG27" i="4"/>
  <c r="CL26" i="4"/>
  <c r="CK26" i="4"/>
  <c r="CJ26" i="4"/>
  <c r="CI26" i="4"/>
  <c r="CH26" i="4"/>
  <c r="CG26" i="4"/>
  <c r="CL25" i="4"/>
  <c r="CK25" i="4"/>
  <c r="CJ25" i="4"/>
  <c r="CI25" i="4"/>
  <c r="CH25" i="4"/>
  <c r="CG25" i="4"/>
  <c r="CL24" i="4"/>
  <c r="CK24" i="4"/>
  <c r="CJ24" i="4"/>
  <c r="CI24" i="4"/>
  <c r="CH24" i="4"/>
  <c r="CG24" i="4"/>
  <c r="CL23" i="4"/>
  <c r="CK23" i="4"/>
  <c r="CJ23" i="4"/>
  <c r="CI23" i="4"/>
  <c r="CH23" i="4"/>
  <c r="CG23" i="4"/>
  <c r="CL22" i="4"/>
  <c r="CK22" i="4"/>
  <c r="CJ22" i="4"/>
  <c r="CI22" i="4"/>
  <c r="CH22" i="4"/>
  <c r="CG22" i="4"/>
  <c r="CL21" i="4"/>
  <c r="CK21" i="4"/>
  <c r="CJ21" i="4"/>
  <c r="CI21" i="4"/>
  <c r="CH21" i="4"/>
  <c r="CG21" i="4"/>
  <c r="CL20" i="4"/>
  <c r="CK20" i="4"/>
  <c r="CJ20" i="4"/>
  <c r="CI20" i="4"/>
  <c r="CH20" i="4"/>
  <c r="CG20" i="4"/>
  <c r="CL19" i="4"/>
  <c r="CK19" i="4"/>
  <c r="CJ19" i="4"/>
  <c r="CI19" i="4"/>
  <c r="CH19" i="4"/>
  <c r="CG19" i="4"/>
  <c r="CL18" i="4"/>
  <c r="CK18" i="4"/>
  <c r="CJ18" i="4"/>
  <c r="CI18" i="4"/>
  <c r="CH18" i="4"/>
  <c r="CG18" i="4"/>
  <c r="CL17" i="4"/>
  <c r="CK17" i="4"/>
  <c r="CJ17" i="4"/>
  <c r="CI17" i="4"/>
  <c r="CH17" i="4"/>
  <c r="CG17" i="4"/>
  <c r="CL16" i="4"/>
  <c r="CK16" i="4"/>
  <c r="CJ16" i="4"/>
  <c r="CI16" i="4"/>
  <c r="CH16" i="4"/>
  <c r="CG16" i="4"/>
  <c r="CL15" i="4"/>
  <c r="CK15" i="4"/>
  <c r="CJ15" i="4"/>
  <c r="CI15" i="4"/>
  <c r="CH15" i="4"/>
  <c r="CG15" i="4"/>
  <c r="CL14" i="4"/>
  <c r="CK14" i="4"/>
  <c r="CJ14" i="4"/>
  <c r="CI14" i="4"/>
  <c r="CH14" i="4"/>
  <c r="CG14" i="4"/>
  <c r="CL13" i="4"/>
  <c r="CK13" i="4"/>
  <c r="CJ13" i="4"/>
  <c r="CI13" i="4"/>
  <c r="CH13" i="4"/>
  <c r="CG13" i="4"/>
  <c r="CL12" i="4"/>
  <c r="CK12" i="4"/>
  <c r="CJ12" i="4"/>
  <c r="CI12" i="4"/>
  <c r="CH12" i="4"/>
  <c r="CG12" i="4"/>
  <c r="CL11" i="4"/>
  <c r="CK11" i="4"/>
  <c r="CJ11" i="4"/>
  <c r="CI11" i="4"/>
  <c r="CH11" i="4"/>
  <c r="CG11" i="4"/>
  <c r="CL10" i="4"/>
  <c r="CK10" i="4"/>
  <c r="CJ10" i="4"/>
  <c r="CI10" i="4"/>
  <c r="CH10" i="4"/>
  <c r="CG10" i="4"/>
  <c r="CL9" i="4"/>
  <c r="CK9" i="4"/>
  <c r="CJ9" i="4"/>
  <c r="CI9" i="4"/>
  <c r="CH9" i="4"/>
  <c r="CG9" i="4"/>
  <c r="CL8" i="4"/>
  <c r="CK8" i="4"/>
  <c r="CJ8" i="4"/>
  <c r="CI8" i="4"/>
  <c r="CH8" i="4"/>
  <c r="CG8" i="4"/>
  <c r="CL7" i="4"/>
  <c r="CK7" i="4"/>
  <c r="CJ7" i="4"/>
  <c r="CI7" i="4"/>
  <c r="CH7" i="4"/>
  <c r="CG7" i="4"/>
  <c r="CL6" i="4"/>
  <c r="CK6" i="4"/>
  <c r="CJ6" i="4"/>
  <c r="CI6" i="4"/>
  <c r="CH6" i="4"/>
  <c r="CG6" i="4"/>
  <c r="CL5" i="4"/>
  <c r="CK5" i="4"/>
  <c r="CJ5" i="4"/>
  <c r="CI5" i="4"/>
  <c r="CH5" i="4"/>
  <c r="CG5" i="4"/>
  <c r="CL4" i="4"/>
  <c r="CK4" i="4"/>
  <c r="CJ4" i="4"/>
  <c r="CI4" i="4"/>
  <c r="CH4" i="4"/>
  <c r="CG4" i="4"/>
  <c r="CL3" i="4"/>
  <c r="CK3" i="4"/>
  <c r="CJ3" i="4"/>
  <c r="CI3" i="4"/>
  <c r="CH3" i="4"/>
  <c r="CG3" i="4"/>
  <c r="CD77" i="3"/>
  <c r="CC77" i="3"/>
  <c r="CB77" i="3"/>
  <c r="CA77" i="3"/>
  <c r="D77" i="3"/>
  <c r="CD76" i="3"/>
  <c r="CC76" i="3"/>
  <c r="CB76" i="3"/>
  <c r="CA76" i="3"/>
  <c r="D76" i="3"/>
  <c r="X9" i="5" s="1"/>
  <c r="BD9" i="5" s="1"/>
  <c r="CD75" i="3"/>
  <c r="CC75" i="3"/>
  <c r="CB75" i="3"/>
  <c r="CA75" i="3"/>
  <c r="D75" i="3"/>
  <c r="CD74" i="3"/>
  <c r="CC74" i="3"/>
  <c r="CB74" i="3"/>
  <c r="CA74" i="3"/>
  <c r="D74" i="3"/>
  <c r="U9" i="5" s="1"/>
  <c r="CD73" i="3"/>
  <c r="CC73" i="3"/>
  <c r="CB73" i="3"/>
  <c r="CA73" i="3"/>
  <c r="D73" i="3"/>
  <c r="T9" i="5" s="1"/>
  <c r="CD72" i="3"/>
  <c r="CC72" i="3"/>
  <c r="CB72" i="3"/>
  <c r="CA72" i="3"/>
  <c r="D72" i="3"/>
  <c r="S9" i="5" s="1"/>
  <c r="CD71" i="3"/>
  <c r="CC71" i="3"/>
  <c r="CB71" i="3"/>
  <c r="CA71" i="3"/>
  <c r="D71" i="3"/>
  <c r="R9" i="5" s="1"/>
  <c r="CD70" i="3"/>
  <c r="CC70" i="3"/>
  <c r="CB70" i="3"/>
  <c r="CA70" i="3"/>
  <c r="D70" i="3"/>
  <c r="Q9" i="5" s="1"/>
  <c r="CD69" i="3"/>
  <c r="CC69" i="3"/>
  <c r="CB69" i="3"/>
  <c r="CA69" i="3"/>
  <c r="D69" i="3"/>
  <c r="P9" i="5" s="1"/>
  <c r="CD68" i="3"/>
  <c r="CC68" i="3"/>
  <c r="CB68" i="3"/>
  <c r="CA68" i="3"/>
  <c r="D68" i="3"/>
  <c r="O9" i="5" s="1"/>
  <c r="CD67" i="3"/>
  <c r="CC67" i="3"/>
  <c r="CB67" i="3"/>
  <c r="CA67" i="3"/>
  <c r="D67" i="3"/>
  <c r="N9" i="5" s="1"/>
  <c r="CD66" i="3"/>
  <c r="CC66" i="3"/>
  <c r="CB66" i="3"/>
  <c r="CA66" i="3"/>
  <c r="D66" i="3"/>
  <c r="M9" i="5" s="1"/>
  <c r="CD65" i="3"/>
  <c r="CC65" i="3"/>
  <c r="CB65" i="3"/>
  <c r="CA65" i="3"/>
  <c r="D65" i="3"/>
  <c r="L9" i="5" s="1"/>
  <c r="CD64" i="3"/>
  <c r="CC64" i="3"/>
  <c r="CB64" i="3"/>
  <c r="CA64" i="3"/>
  <c r="D64" i="3"/>
  <c r="K9" i="5" s="1"/>
  <c r="CD63" i="3"/>
  <c r="CC63" i="3"/>
  <c r="CB63" i="3"/>
  <c r="CA63" i="3"/>
  <c r="D63" i="3"/>
  <c r="J9" i="5" s="1"/>
  <c r="CD62" i="3"/>
  <c r="CC62" i="3"/>
  <c r="CB62" i="3"/>
  <c r="CA62" i="3"/>
  <c r="D62" i="3"/>
  <c r="CD61" i="3"/>
  <c r="CC61" i="3"/>
  <c r="CB61" i="3"/>
  <c r="CA61" i="3"/>
  <c r="D61" i="3"/>
  <c r="H9" i="5" s="1"/>
  <c r="CD60" i="3"/>
  <c r="CC60" i="3"/>
  <c r="CB60" i="3"/>
  <c r="CA60" i="3"/>
  <c r="D60" i="3"/>
  <c r="G9" i="5" s="1"/>
  <c r="CD59" i="3"/>
  <c r="CC59" i="3"/>
  <c r="CB59" i="3"/>
  <c r="CA59" i="3"/>
  <c r="D59" i="3"/>
  <c r="F9" i="5" s="1"/>
  <c r="CD58" i="3"/>
  <c r="CC58" i="3"/>
  <c r="CB58" i="3"/>
  <c r="CA58" i="3"/>
  <c r="D58" i="3"/>
  <c r="E9" i="5" s="1"/>
  <c r="CD57" i="3"/>
  <c r="CC57" i="3"/>
  <c r="CB57" i="3"/>
  <c r="CA57" i="3"/>
  <c r="D57" i="3"/>
  <c r="D9" i="5" s="1"/>
  <c r="CD56" i="3"/>
  <c r="CC56" i="3"/>
  <c r="CB56" i="3"/>
  <c r="CA56" i="3"/>
  <c r="D56" i="3"/>
  <c r="C9" i="5" s="1"/>
  <c r="CD55" i="3"/>
  <c r="CC55" i="3"/>
  <c r="CB55" i="3"/>
  <c r="CA55" i="3"/>
  <c r="D55" i="3"/>
  <c r="B9" i="5" s="1"/>
  <c r="CD54" i="3"/>
  <c r="CC54" i="3"/>
  <c r="CB54" i="3"/>
  <c r="CA54" i="3"/>
  <c r="CD53" i="3"/>
  <c r="CC53" i="3"/>
  <c r="CB53" i="3"/>
  <c r="CA53" i="3"/>
  <c r="CD52" i="3"/>
  <c r="CC52" i="3"/>
  <c r="CB52" i="3"/>
  <c r="CA52" i="3"/>
  <c r="CD51" i="3"/>
  <c r="CC51" i="3"/>
  <c r="CB51" i="3"/>
  <c r="CA51" i="3"/>
  <c r="CD50" i="3"/>
  <c r="CC50" i="3"/>
  <c r="CB50" i="3"/>
  <c r="CA50" i="3"/>
  <c r="CD49" i="3"/>
  <c r="CC49" i="3"/>
  <c r="CB49" i="3"/>
  <c r="CA49" i="3"/>
  <c r="CD48" i="3"/>
  <c r="CC48" i="3"/>
  <c r="CB48" i="3"/>
  <c r="CA48" i="3"/>
  <c r="CD47" i="3"/>
  <c r="CC47" i="3"/>
  <c r="CB47" i="3"/>
  <c r="CA47" i="3"/>
  <c r="CD46" i="3"/>
  <c r="CC46" i="3"/>
  <c r="CB46" i="3"/>
  <c r="CA46" i="3"/>
  <c r="CD45" i="3"/>
  <c r="CC45" i="3"/>
  <c r="CB45" i="3"/>
  <c r="CA45" i="3"/>
  <c r="CD44" i="3"/>
  <c r="CC44" i="3"/>
  <c r="CB44" i="3"/>
  <c r="CA44" i="3"/>
  <c r="CD43" i="3"/>
  <c r="CC43" i="3"/>
  <c r="CB43" i="3"/>
  <c r="CA43" i="3"/>
  <c r="CD42" i="3"/>
  <c r="CC42" i="3"/>
  <c r="CB42" i="3"/>
  <c r="CA42" i="3"/>
  <c r="CD41" i="3"/>
  <c r="CC41" i="3"/>
  <c r="CB41" i="3"/>
  <c r="CA41" i="3"/>
  <c r="CD40" i="3"/>
  <c r="CC40" i="3"/>
  <c r="CB40" i="3"/>
  <c r="CA40" i="3"/>
  <c r="CD39" i="3"/>
  <c r="CC39" i="3"/>
  <c r="CB39" i="3"/>
  <c r="CA39" i="3"/>
  <c r="CD38" i="3"/>
  <c r="CC38" i="3"/>
  <c r="CB38" i="3"/>
  <c r="CA38" i="3"/>
  <c r="CD37" i="3"/>
  <c r="CC37" i="3"/>
  <c r="CB37" i="3"/>
  <c r="CA37" i="3"/>
  <c r="CD36" i="3"/>
  <c r="CC36" i="3"/>
  <c r="CB36" i="3"/>
  <c r="CA36" i="3"/>
  <c r="CD35" i="3"/>
  <c r="CC35" i="3"/>
  <c r="CB35" i="3"/>
  <c r="CA35" i="3"/>
  <c r="CD34" i="3"/>
  <c r="CC34" i="3"/>
  <c r="CB34" i="3"/>
  <c r="CA34" i="3"/>
  <c r="CD33" i="3"/>
  <c r="CC33" i="3"/>
  <c r="CB33" i="3"/>
  <c r="CA33" i="3"/>
  <c r="CD32" i="3"/>
  <c r="CC32" i="3"/>
  <c r="CB32" i="3"/>
  <c r="CA32" i="3"/>
  <c r="CD31" i="3"/>
  <c r="CC31" i="3"/>
  <c r="CB31" i="3"/>
  <c r="CA31" i="3"/>
  <c r="CD30" i="3"/>
  <c r="CC30" i="3"/>
  <c r="CB30" i="3"/>
  <c r="CA30" i="3"/>
  <c r="CD29" i="3"/>
  <c r="CC29" i="3"/>
  <c r="CB29" i="3"/>
  <c r="CA29" i="3"/>
  <c r="CD28" i="3"/>
  <c r="CC28" i="3"/>
  <c r="CB28" i="3"/>
  <c r="CA28" i="3"/>
  <c r="CD27" i="3"/>
  <c r="CC27" i="3"/>
  <c r="CB27" i="3"/>
  <c r="CA27" i="3"/>
  <c r="CD26" i="3"/>
  <c r="CC26" i="3"/>
  <c r="CB26" i="3"/>
  <c r="CA26" i="3"/>
  <c r="CD25" i="3"/>
  <c r="CC25" i="3"/>
  <c r="CB25" i="3"/>
  <c r="CA25" i="3"/>
  <c r="CD24" i="3"/>
  <c r="CC24" i="3"/>
  <c r="CB24" i="3"/>
  <c r="CA24" i="3"/>
  <c r="CD23" i="3"/>
  <c r="CC23" i="3"/>
  <c r="CB23" i="3"/>
  <c r="CA23" i="3"/>
  <c r="CD22" i="3"/>
  <c r="CC22" i="3"/>
  <c r="CB22" i="3"/>
  <c r="CA22" i="3"/>
  <c r="CD21" i="3"/>
  <c r="CC21" i="3"/>
  <c r="CB21" i="3"/>
  <c r="CA21" i="3"/>
  <c r="CD20" i="3"/>
  <c r="CC20" i="3"/>
  <c r="CB20" i="3"/>
  <c r="CA20" i="3"/>
  <c r="CD19" i="3"/>
  <c r="CC19" i="3"/>
  <c r="CB19" i="3"/>
  <c r="CA19" i="3"/>
  <c r="CD18" i="3"/>
  <c r="CC18" i="3"/>
  <c r="CB18" i="3"/>
  <c r="CA18" i="3"/>
  <c r="CD17" i="3"/>
  <c r="CC17" i="3"/>
  <c r="CB17" i="3"/>
  <c r="CA17" i="3"/>
  <c r="CD16" i="3"/>
  <c r="CC16" i="3"/>
  <c r="CB16" i="3"/>
  <c r="CA16" i="3"/>
  <c r="CD15" i="3"/>
  <c r="CC15" i="3"/>
  <c r="CB15" i="3"/>
  <c r="CA15" i="3"/>
  <c r="CD14" i="3"/>
  <c r="CC14" i="3"/>
  <c r="CB14" i="3"/>
  <c r="CA14" i="3"/>
  <c r="CD13" i="3"/>
  <c r="CC13" i="3"/>
  <c r="CB13" i="3"/>
  <c r="CA13" i="3"/>
  <c r="CD12" i="3"/>
  <c r="CC12" i="3"/>
  <c r="CB12" i="3"/>
  <c r="CA12" i="3"/>
  <c r="CD11" i="3"/>
  <c r="CC11" i="3"/>
  <c r="CB11" i="3"/>
  <c r="CA11" i="3"/>
  <c r="CD10" i="3"/>
  <c r="CC10" i="3"/>
  <c r="CB10" i="3"/>
  <c r="CA10" i="3"/>
  <c r="CD9" i="3"/>
  <c r="CC9" i="3"/>
  <c r="CB9" i="3"/>
  <c r="CA9" i="3"/>
  <c r="CD8" i="3"/>
  <c r="CC8" i="3"/>
  <c r="CB8" i="3"/>
  <c r="CA8" i="3"/>
  <c r="CD7" i="3"/>
  <c r="CC7" i="3"/>
  <c r="CB7" i="3"/>
  <c r="CA7" i="3"/>
  <c r="CD6" i="3"/>
  <c r="CC6" i="3"/>
  <c r="CB6" i="3"/>
  <c r="CA6" i="3"/>
  <c r="CD5" i="3"/>
  <c r="CC5" i="3"/>
  <c r="CB5" i="3"/>
  <c r="CA5" i="3"/>
  <c r="CD4" i="3"/>
  <c r="CC4" i="3"/>
  <c r="CB4" i="3"/>
  <c r="CA4" i="3"/>
  <c r="CD3" i="3"/>
  <c r="CC3" i="3"/>
  <c r="CB3" i="3"/>
  <c r="CA3" i="3"/>
  <c r="AD132" i="6" l="1"/>
  <c r="AC132" i="6"/>
  <c r="AE132" i="6"/>
  <c r="I23" i="9"/>
  <c r="L23" i="9" s="1"/>
  <c r="I136" i="9"/>
  <c r="L136" i="9" s="1"/>
  <c r="AF132" i="6"/>
  <c r="X84" i="5"/>
  <c r="X80" i="5"/>
  <c r="X167" i="5"/>
  <c r="X53" i="5"/>
  <c r="X6" i="5" s="1"/>
  <c r="G130" i="9"/>
  <c r="G161" i="9"/>
  <c r="W175" i="5"/>
  <c r="X171" i="5"/>
  <c r="H125" i="9"/>
  <c r="K125" i="9" s="1"/>
  <c r="G162" i="9"/>
  <c r="J162" i="9" s="1"/>
  <c r="M162" i="9" s="1"/>
  <c r="V120" i="5"/>
  <c r="U152" i="5"/>
  <c r="V74" i="5"/>
  <c r="W174" i="5"/>
  <c r="U171" i="5"/>
  <c r="Y152" i="5"/>
  <c r="V164" i="5"/>
  <c r="G135" i="9"/>
  <c r="AC130" i="5"/>
  <c r="H27" i="9"/>
  <c r="K27" i="9" s="1"/>
  <c r="D46" i="9"/>
  <c r="AG123" i="5"/>
  <c r="H164" i="9"/>
  <c r="K164" i="9" s="1"/>
  <c r="X79" i="5"/>
  <c r="Z121" i="5"/>
  <c r="AD124" i="5"/>
  <c r="AH127" i="5"/>
  <c r="AB128" i="5"/>
  <c r="AA121" i="5"/>
  <c r="AE124" i="5"/>
  <c r="H134" i="9"/>
  <c r="K134" i="9" s="1"/>
  <c r="AF124" i="5"/>
  <c r="BI50" i="5"/>
  <c r="AG124" i="5"/>
  <c r="AA125" i="5"/>
  <c r="Y129" i="5"/>
  <c r="AB125" i="5"/>
  <c r="Z129" i="5"/>
  <c r="AB36" i="6"/>
  <c r="AB5" i="6" s="1"/>
  <c r="AB12" i="6" s="1"/>
  <c r="AG128" i="5"/>
  <c r="N25" i="9"/>
  <c r="D45" i="9"/>
  <c r="J120" i="9"/>
  <c r="M120" i="9" s="1"/>
  <c r="H132" i="9"/>
  <c r="K132" i="9" s="1"/>
  <c r="H29" i="9"/>
  <c r="K29" i="9" s="1"/>
  <c r="D24" i="9"/>
  <c r="J24" i="9" s="1"/>
  <c r="M24" i="9" s="1"/>
  <c r="BI44" i="5"/>
  <c r="D25" i="9"/>
  <c r="P69" i="5"/>
  <c r="P10" i="5" s="1"/>
  <c r="D31" i="9"/>
  <c r="D36" i="9"/>
  <c r="W77" i="5"/>
  <c r="H25" i="9"/>
  <c r="K25" i="9" s="1"/>
  <c r="D38" i="9"/>
  <c r="J38" i="9" s="1"/>
  <c r="M38" i="9" s="1"/>
  <c r="D104" i="9"/>
  <c r="J104" i="9" s="1"/>
  <c r="M104" i="9" s="1"/>
  <c r="D148" i="9"/>
  <c r="D39" i="9"/>
  <c r="D67" i="9"/>
  <c r="J67" i="9" s="1"/>
  <c r="M67" i="9" s="1"/>
  <c r="BH50" i="5"/>
  <c r="D63" i="9"/>
  <c r="J63" i="9" s="1"/>
  <c r="M63" i="9" s="1"/>
  <c r="M138" i="6"/>
  <c r="AF140" i="6"/>
  <c r="AE141" i="6"/>
  <c r="AE140" i="6"/>
  <c r="I83" i="9"/>
  <c r="L83" i="9" s="1"/>
  <c r="O138" i="6"/>
  <c r="M139" i="6"/>
  <c r="AF141" i="6"/>
  <c r="AE142" i="6"/>
  <c r="D112" i="9"/>
  <c r="N139" i="6"/>
  <c r="M140" i="6"/>
  <c r="AH141" i="6"/>
  <c r="AG142" i="6"/>
  <c r="AE143" i="6"/>
  <c r="AH138" i="6"/>
  <c r="N140" i="6"/>
  <c r="M141" i="6"/>
  <c r="AH142" i="6"/>
  <c r="AF143" i="6"/>
  <c r="O140" i="6"/>
  <c r="N141" i="6"/>
  <c r="M142" i="6"/>
  <c r="AD145" i="6"/>
  <c r="O141" i="6"/>
  <c r="AH143" i="6"/>
  <c r="AG144" i="6"/>
  <c r="D16" i="9"/>
  <c r="O142" i="6"/>
  <c r="M143" i="6"/>
  <c r="AF145" i="6"/>
  <c r="AB146" i="6"/>
  <c r="I63" i="9"/>
  <c r="L63" i="9" s="1"/>
  <c r="D91" i="9"/>
  <c r="J91" i="9" s="1"/>
  <c r="M91" i="9" s="1"/>
  <c r="AE138" i="6"/>
  <c r="AF138" i="6"/>
  <c r="AG141" i="6"/>
  <c r="M144" i="6"/>
  <c r="AG145" i="6"/>
  <c r="AC146" i="6"/>
  <c r="D131" i="9"/>
  <c r="D28" i="9"/>
  <c r="D64" i="9"/>
  <c r="AF142" i="6"/>
  <c r="AE146" i="6"/>
  <c r="D107" i="9"/>
  <c r="D23" i="9"/>
  <c r="J23" i="9" s="1"/>
  <c r="M23" i="9" s="1"/>
  <c r="O146" i="6"/>
  <c r="D22" i="9"/>
  <c r="I22" i="9"/>
  <c r="L22" i="9" s="1"/>
  <c r="H84" i="9"/>
  <c r="K84" i="9" s="1"/>
  <c r="H162" i="9"/>
  <c r="K162" i="9" s="1"/>
  <c r="X78" i="5"/>
  <c r="I52" i="9"/>
  <c r="L52" i="9" s="1"/>
  <c r="D57" i="9"/>
  <c r="D117" i="9"/>
  <c r="Q136" i="6"/>
  <c r="P137" i="6"/>
  <c r="AG138" i="6"/>
  <c r="AG36" i="6"/>
  <c r="AG5" i="6" s="1"/>
  <c r="AG12" i="6" s="1"/>
  <c r="F165" i="9"/>
  <c r="I165" i="9" s="1"/>
  <c r="L165" i="9" s="1"/>
  <c r="Y143" i="6"/>
  <c r="O147" i="6"/>
  <c r="D18" i="9"/>
  <c r="I39" i="9"/>
  <c r="L39" i="9" s="1"/>
  <c r="H57" i="9"/>
  <c r="K57" i="9" s="1"/>
  <c r="I112" i="9"/>
  <c r="L112" i="9" s="1"/>
  <c r="D122" i="9"/>
  <c r="J122" i="9" s="1"/>
  <c r="M122" i="9" s="1"/>
  <c r="D154" i="9"/>
  <c r="J154" i="9" s="1"/>
  <c r="M154" i="9" s="1"/>
  <c r="I162" i="9"/>
  <c r="L162" i="9" s="1"/>
  <c r="P147" i="6"/>
  <c r="D113" i="9"/>
  <c r="H113" i="9"/>
  <c r="K113" i="9" s="1"/>
  <c r="H66" i="9"/>
  <c r="K66" i="9" s="1"/>
  <c r="N121" i="9"/>
  <c r="AF139" i="6"/>
  <c r="AF123" i="5"/>
  <c r="M69" i="5"/>
  <c r="M10" i="5" s="1"/>
  <c r="AC116" i="6"/>
  <c r="O132" i="6"/>
  <c r="O133" i="6" s="1"/>
  <c r="AC139" i="6"/>
  <c r="AC123" i="5"/>
  <c r="S136" i="6"/>
  <c r="Y36" i="6"/>
  <c r="Y5" i="6" s="1"/>
  <c r="Y12" i="6" s="1"/>
  <c r="D150" i="9"/>
  <c r="AM120" i="5"/>
  <c r="AM37" i="5"/>
  <c r="AM5" i="5" s="1"/>
  <c r="T136" i="6"/>
  <c r="I167" i="9"/>
  <c r="L167" i="9" s="1"/>
  <c r="D40" i="9"/>
  <c r="D109" i="9"/>
  <c r="P146" i="6"/>
  <c r="AH121" i="5"/>
  <c r="D19" i="9"/>
  <c r="D6" i="9"/>
  <c r="J6" i="9" s="1"/>
  <c r="M6" i="9" s="1"/>
  <c r="L6" i="9"/>
  <c r="D78" i="9"/>
  <c r="D2" i="9"/>
  <c r="H2" i="9"/>
  <c r="K2" i="9" s="1"/>
  <c r="I69" i="9"/>
  <c r="L69" i="9" s="1"/>
  <c r="D167" i="9"/>
  <c r="D121" i="9"/>
  <c r="P121" i="9" s="1"/>
  <c r="D43" i="9"/>
  <c r="J43" i="9" s="1"/>
  <c r="M43" i="9" s="1"/>
  <c r="D66" i="9"/>
  <c r="I88" i="9"/>
  <c r="L88" i="9" s="1"/>
  <c r="D26" i="9"/>
  <c r="AB139" i="6"/>
  <c r="AB123" i="5"/>
  <c r="AH147" i="6"/>
  <c r="D108" i="9"/>
  <c r="N37" i="9"/>
  <c r="H37" i="9"/>
  <c r="K37" i="9" s="1"/>
  <c r="I104" i="9"/>
  <c r="L104" i="9" s="1"/>
  <c r="D10" i="9"/>
  <c r="O37" i="9"/>
  <c r="D141" i="9"/>
  <c r="D65" i="9"/>
  <c r="I65" i="9"/>
  <c r="L65" i="9" s="1"/>
  <c r="D30" i="9"/>
  <c r="I30" i="9"/>
  <c r="L30" i="9" s="1"/>
  <c r="D129" i="9"/>
  <c r="J129" i="9" s="1"/>
  <c r="M129" i="9" s="1"/>
  <c r="R132" i="6"/>
  <c r="S133" i="6" s="1"/>
  <c r="L2" i="9"/>
  <c r="D89" i="9"/>
  <c r="J89" i="9" s="1"/>
  <c r="M89" i="9" s="1"/>
  <c r="Y142" i="6"/>
  <c r="Y126" i="5"/>
  <c r="D37" i="9"/>
  <c r="P37" i="9" s="1"/>
  <c r="H141" i="9"/>
  <c r="K141" i="9" s="1"/>
  <c r="D146" i="9"/>
  <c r="AD122" i="5"/>
  <c r="D15" i="9"/>
  <c r="J15" i="9" s="1"/>
  <c r="M15" i="9" s="1"/>
  <c r="I15" i="9"/>
  <c r="L15" i="9" s="1"/>
  <c r="J45" i="9"/>
  <c r="M45" i="9" s="1"/>
  <c r="I77" i="9"/>
  <c r="L77" i="9" s="1"/>
  <c r="I100" i="9"/>
  <c r="L100" i="9" s="1"/>
  <c r="Y116" i="6"/>
  <c r="AP116" i="5"/>
  <c r="AP15" i="5" s="1"/>
  <c r="AB116" i="5"/>
  <c r="AB15" i="5" s="1"/>
  <c r="AA126" i="5"/>
  <c r="N73" i="9"/>
  <c r="H73" i="9"/>
  <c r="K73" i="9" s="1"/>
  <c r="H77" i="9"/>
  <c r="K77" i="9" s="1"/>
  <c r="D166" i="9"/>
  <c r="D168" i="9"/>
  <c r="N146" i="6"/>
  <c r="AG131" i="5"/>
  <c r="D84" i="9"/>
  <c r="AH131" i="5"/>
  <c r="T69" i="5"/>
  <c r="T10" i="5" s="1"/>
  <c r="D96" i="9"/>
  <c r="I96" i="9"/>
  <c r="L96" i="9" s="1"/>
  <c r="D142" i="9"/>
  <c r="J142" i="9" s="1"/>
  <c r="M142" i="9" s="1"/>
  <c r="I19" i="9"/>
  <c r="L19" i="9" s="1"/>
  <c r="I26" i="9"/>
  <c r="L26" i="9" s="1"/>
  <c r="D34" i="9"/>
  <c r="J34" i="9" s="1"/>
  <c r="M34" i="9" s="1"/>
  <c r="I40" i="9"/>
  <c r="L40" i="9" s="1"/>
  <c r="H78" i="9"/>
  <c r="K78" i="9" s="1"/>
  <c r="I142" i="9"/>
  <c r="L142" i="9" s="1"/>
  <c r="AE122" i="5"/>
  <c r="AC126" i="5"/>
  <c r="AA130" i="5"/>
  <c r="W137" i="6"/>
  <c r="V147" i="6"/>
  <c r="AF116" i="6"/>
  <c r="V116" i="6"/>
  <c r="Y145" i="6"/>
  <c r="I11" i="9"/>
  <c r="L11" i="9" s="1"/>
  <c r="D54" i="9"/>
  <c r="I70" i="9"/>
  <c r="L70" i="9" s="1"/>
  <c r="D74" i="9"/>
  <c r="D82" i="9"/>
  <c r="J82" i="9" s="1"/>
  <c r="M82" i="9" s="1"/>
  <c r="I118" i="9"/>
  <c r="L118" i="9" s="1"/>
  <c r="H126" i="9"/>
  <c r="K126" i="9" s="1"/>
  <c r="D147" i="9"/>
  <c r="I163" i="9"/>
  <c r="L163" i="9" s="1"/>
  <c r="AD126" i="5"/>
  <c r="BH47" i="5"/>
  <c r="AE116" i="5"/>
  <c r="AE15" i="5" s="1"/>
  <c r="AF144" i="6"/>
  <c r="W147" i="6"/>
  <c r="AB132" i="6"/>
  <c r="Z145" i="6"/>
  <c r="D20" i="9"/>
  <c r="J20" i="9" s="1"/>
  <c r="M20" i="9" s="1"/>
  <c r="I34" i="9"/>
  <c r="L34" i="9" s="1"/>
  <c r="D41" i="9"/>
  <c r="J41" i="9" s="1"/>
  <c r="M41" i="9" s="1"/>
  <c r="H54" i="9"/>
  <c r="K54" i="9" s="1"/>
  <c r="I78" i="9"/>
  <c r="L78" i="9" s="1"/>
  <c r="H86" i="9"/>
  <c r="K86" i="9" s="1"/>
  <c r="D93" i="9"/>
  <c r="D130" i="9"/>
  <c r="J130" i="9" s="1"/>
  <c r="M130" i="9" s="1"/>
  <c r="H147" i="9"/>
  <c r="K147" i="9" s="1"/>
  <c r="J22" i="9"/>
  <c r="M22" i="9" s="1"/>
  <c r="V136" i="6"/>
  <c r="P140" i="6"/>
  <c r="Z127" i="5"/>
  <c r="Q140" i="6"/>
  <c r="D71" i="9"/>
  <c r="D106" i="9"/>
  <c r="D123" i="9"/>
  <c r="D127" i="9"/>
  <c r="D164" i="9"/>
  <c r="J164" i="9" s="1"/>
  <c r="M164" i="9" s="1"/>
  <c r="AG126" i="5"/>
  <c r="AA127" i="5"/>
  <c r="Y131" i="5"/>
  <c r="T139" i="6"/>
  <c r="R140" i="6"/>
  <c r="Z147" i="6"/>
  <c r="AE139" i="6"/>
  <c r="J31" i="9"/>
  <c r="M31" i="9" s="1"/>
  <c r="D48" i="9"/>
  <c r="J48" i="9" s="1"/>
  <c r="M48" i="9" s="1"/>
  <c r="D51" i="9"/>
  <c r="J51" i="9" s="1"/>
  <c r="M51" i="9" s="1"/>
  <c r="D98" i="9"/>
  <c r="J98" i="9" s="1"/>
  <c r="M98" i="9" s="1"/>
  <c r="D102" i="9"/>
  <c r="AD123" i="5"/>
  <c r="AH126" i="5"/>
  <c r="AB127" i="5"/>
  <c r="Z131" i="5"/>
  <c r="X73" i="5"/>
  <c r="AB137" i="6"/>
  <c r="U139" i="6"/>
  <c r="S140" i="6"/>
  <c r="AA147" i="6"/>
  <c r="I31" i="9"/>
  <c r="L31" i="9" s="1"/>
  <c r="D35" i="9"/>
  <c r="I41" i="9"/>
  <c r="L41" i="9" s="1"/>
  <c r="I82" i="9"/>
  <c r="L82" i="9" s="1"/>
  <c r="D94" i="9"/>
  <c r="J94" i="9" s="1"/>
  <c r="M94" i="9" s="1"/>
  <c r="I106" i="9"/>
  <c r="L106" i="9" s="1"/>
  <c r="D115" i="9"/>
  <c r="I127" i="9"/>
  <c r="L127" i="9" s="1"/>
  <c r="D135" i="9"/>
  <c r="D139" i="9"/>
  <c r="D58" i="9"/>
  <c r="AB120" i="5"/>
  <c r="Z124" i="5"/>
  <c r="AD127" i="5"/>
  <c r="AB131" i="5"/>
  <c r="X75" i="5"/>
  <c r="AD137" i="6"/>
  <c r="W139" i="6"/>
  <c r="U140" i="6"/>
  <c r="N145" i="6"/>
  <c r="AF146" i="6"/>
  <c r="AC147" i="6"/>
  <c r="AH132" i="6"/>
  <c r="AH139" i="6"/>
  <c r="L4" i="9"/>
  <c r="I55" i="9"/>
  <c r="L55" i="9" s="1"/>
  <c r="D76" i="9"/>
  <c r="I79" i="9"/>
  <c r="L79" i="9" s="1"/>
  <c r="I94" i="9"/>
  <c r="L94" i="9" s="1"/>
  <c r="I139" i="9"/>
  <c r="L139" i="9" s="1"/>
  <c r="D144" i="9"/>
  <c r="I148" i="9"/>
  <c r="L148" i="9" s="1"/>
  <c r="D153" i="9"/>
  <c r="I85" i="9"/>
  <c r="L85" i="9" s="1"/>
  <c r="D169" i="9"/>
  <c r="D118" i="9"/>
  <c r="H63" i="9"/>
  <c r="K63" i="9" s="1"/>
  <c r="I86" i="9"/>
  <c r="L86" i="9" s="1"/>
  <c r="U138" i="6"/>
  <c r="AA120" i="5"/>
  <c r="I119" i="9"/>
  <c r="L119" i="9" s="1"/>
  <c r="AA124" i="5"/>
  <c r="AE127" i="5"/>
  <c r="BG52" i="5"/>
  <c r="BG53" i="5" s="1"/>
  <c r="AE137" i="6"/>
  <c r="Z138" i="6"/>
  <c r="I13" i="9"/>
  <c r="L13" i="9" s="1"/>
  <c r="I24" i="9"/>
  <c r="L24" i="9" s="1"/>
  <c r="V132" i="6"/>
  <c r="H30" i="9"/>
  <c r="K30" i="9" s="1"/>
  <c r="AC122" i="5"/>
  <c r="D101" i="9"/>
  <c r="J101" i="9" s="1"/>
  <c r="M101" i="9" s="1"/>
  <c r="H142" i="9"/>
  <c r="K142" i="9" s="1"/>
  <c r="AB126" i="5"/>
  <c r="AG122" i="5"/>
  <c r="AE126" i="5"/>
  <c r="AC140" i="6"/>
  <c r="I58" i="9"/>
  <c r="L58" i="9" s="1"/>
  <c r="AH122" i="5"/>
  <c r="AF126" i="5"/>
  <c r="Z137" i="6"/>
  <c r="AA146" i="6"/>
  <c r="D8" i="9"/>
  <c r="J8" i="9" s="1"/>
  <c r="M8" i="9" s="1"/>
  <c r="AE123" i="5"/>
  <c r="AC127" i="5"/>
  <c r="AG132" i="6"/>
  <c r="AG139" i="6"/>
  <c r="O25" i="9"/>
  <c r="H94" i="9"/>
  <c r="K94" i="9" s="1"/>
  <c r="AH123" i="5"/>
  <c r="AB124" i="5"/>
  <c r="AF127" i="5"/>
  <c r="Z128" i="5"/>
  <c r="AG136" i="6"/>
  <c r="AF137" i="6"/>
  <c r="AA138" i="6"/>
  <c r="W140" i="6"/>
  <c r="U142" i="6"/>
  <c r="AE147" i="6"/>
  <c r="D5" i="9"/>
  <c r="J5" i="9" s="1"/>
  <c r="M5" i="9" s="1"/>
  <c r="H13" i="9"/>
  <c r="K13" i="9" s="1"/>
  <c r="D17" i="9"/>
  <c r="I38" i="9"/>
  <c r="L38" i="9" s="1"/>
  <c r="D83" i="9"/>
  <c r="J83" i="9" s="1"/>
  <c r="M83" i="9" s="1"/>
  <c r="D103" i="9"/>
  <c r="D116" i="9"/>
  <c r="J116" i="9" s="1"/>
  <c r="M116" i="9" s="1"/>
  <c r="H120" i="9"/>
  <c r="K120" i="9" s="1"/>
  <c r="I124" i="9"/>
  <c r="L124" i="9" s="1"/>
  <c r="I135" i="9"/>
  <c r="L135" i="9" s="1"/>
  <c r="I144" i="9"/>
  <c r="L144" i="9" s="1"/>
  <c r="I33" i="9"/>
  <c r="L33" i="9" s="1"/>
  <c r="I159" i="9"/>
  <c r="L159" i="9" s="1"/>
  <c r="D70" i="9"/>
  <c r="I113" i="9"/>
  <c r="L113" i="9" s="1"/>
  <c r="AA123" i="5"/>
  <c r="P141" i="6"/>
  <c r="D90" i="9"/>
  <c r="I16" i="9"/>
  <c r="L16" i="9" s="1"/>
  <c r="I75" i="9"/>
  <c r="L75" i="9" s="1"/>
  <c r="H139" i="9"/>
  <c r="K139" i="9" s="1"/>
  <c r="I156" i="9"/>
  <c r="L156" i="9" s="1"/>
  <c r="AC124" i="5"/>
  <c r="AG127" i="5"/>
  <c r="AA128" i="5"/>
  <c r="BI52" i="5"/>
  <c r="AG137" i="6"/>
  <c r="AB138" i="6"/>
  <c r="Z139" i="6"/>
  <c r="M146" i="6"/>
  <c r="I28" i="9"/>
  <c r="L28" i="9" s="1"/>
  <c r="D42" i="9"/>
  <c r="I64" i="9"/>
  <c r="L64" i="9" s="1"/>
  <c r="I76" i="9"/>
  <c r="L76" i="9" s="1"/>
  <c r="D99" i="9"/>
  <c r="I107" i="9"/>
  <c r="L107" i="9" s="1"/>
  <c r="D125" i="9"/>
  <c r="J125" i="9" s="1"/>
  <c r="M125" i="9" s="1"/>
  <c r="D136" i="9"/>
  <c r="X54" i="5"/>
  <c r="B7" i="5"/>
  <c r="B11" i="5" s="1"/>
  <c r="B8" i="5" s="1"/>
  <c r="I16" i="5"/>
  <c r="C16" i="5"/>
  <c r="AM126" i="5"/>
  <c r="Z37" i="5"/>
  <c r="Z120" i="5"/>
  <c r="L155" i="5"/>
  <c r="L126" i="5"/>
  <c r="P173" i="5"/>
  <c r="P158" i="5"/>
  <c r="O120" i="8"/>
  <c r="O129" i="8" s="1"/>
  <c r="O11" i="8" s="1"/>
  <c r="O12" i="8" s="1"/>
  <c r="O120" i="7"/>
  <c r="M123" i="7"/>
  <c r="M129" i="7" s="1"/>
  <c r="M11" i="7" s="1"/>
  <c r="M12" i="7" s="1"/>
  <c r="M123" i="8"/>
  <c r="X165" i="5"/>
  <c r="X150" i="5"/>
  <c r="X121" i="5"/>
  <c r="L152" i="5"/>
  <c r="L123" i="5"/>
  <c r="V154" i="5"/>
  <c r="V125" i="5"/>
  <c r="V169" i="5"/>
  <c r="AE120" i="5"/>
  <c r="AE37" i="5"/>
  <c r="Y121" i="5"/>
  <c r="Y165" i="5"/>
  <c r="Y150" i="5"/>
  <c r="Y37" i="5"/>
  <c r="S166" i="5"/>
  <c r="S122" i="5"/>
  <c r="S151" i="5"/>
  <c r="AI123" i="5"/>
  <c r="AI37" i="5"/>
  <c r="W154" i="5"/>
  <c r="W125" i="5"/>
  <c r="W169" i="5"/>
  <c r="W78" i="5"/>
  <c r="Q170" i="5"/>
  <c r="Q155" i="5"/>
  <c r="Q126" i="5"/>
  <c r="O130" i="5"/>
  <c r="O159" i="5"/>
  <c r="O174" i="5"/>
  <c r="D151" i="9"/>
  <c r="I151" i="9"/>
  <c r="L151" i="9" s="1"/>
  <c r="M127" i="8"/>
  <c r="M127" i="7"/>
  <c r="O125" i="8"/>
  <c r="O125" i="7"/>
  <c r="Q123" i="8"/>
  <c r="Q123" i="7"/>
  <c r="T125" i="8"/>
  <c r="T125" i="7"/>
  <c r="V123" i="8"/>
  <c r="V75" i="8" s="1"/>
  <c r="V91" i="8" s="1"/>
  <c r="V107" i="8" s="1"/>
  <c r="V123" i="7"/>
  <c r="X121" i="8"/>
  <c r="X121" i="7"/>
  <c r="BI49" i="5"/>
  <c r="V81" i="5"/>
  <c r="T122" i="7"/>
  <c r="T122" i="8"/>
  <c r="T74" i="8" s="1"/>
  <c r="T90" i="8" s="1"/>
  <c r="T106" i="8" s="1"/>
  <c r="V120" i="8"/>
  <c r="V72" i="8" s="1"/>
  <c r="V88" i="8" s="1"/>
  <c r="V104" i="8" s="1"/>
  <c r="V120" i="7"/>
  <c r="X118" i="8"/>
  <c r="X70" i="8" s="1"/>
  <c r="X86" i="8" s="1"/>
  <c r="X102" i="8" s="1"/>
  <c r="AN102" i="8" s="1"/>
  <c r="X118" i="7"/>
  <c r="X70" i="7" s="1"/>
  <c r="X86" i="7" s="1"/>
  <c r="X102" i="7" s="1"/>
  <c r="AN102" i="7" s="1"/>
  <c r="W81" i="5"/>
  <c r="P4" i="5"/>
  <c r="O18" i="5"/>
  <c r="T119" i="8"/>
  <c r="T71" i="8" s="1"/>
  <c r="T87" i="8" s="1"/>
  <c r="T103" i="8" s="1"/>
  <c r="T119" i="7"/>
  <c r="T71" i="7" s="1"/>
  <c r="T87" i="7" s="1"/>
  <c r="V117" i="8"/>
  <c r="V117" i="7"/>
  <c r="W127" i="7"/>
  <c r="W79" i="7" s="1"/>
  <c r="W95" i="7" s="1"/>
  <c r="W127" i="8"/>
  <c r="X124" i="7"/>
  <c r="X76" i="7" s="1"/>
  <c r="X92" i="7" s="1"/>
  <c r="X108" i="7" s="1"/>
  <c r="AN108" i="7" s="1"/>
  <c r="X124" i="8"/>
  <c r="AH37" i="5"/>
  <c r="H53" i="5"/>
  <c r="H6" i="5" s="1"/>
  <c r="X81" i="5"/>
  <c r="P129" i="5"/>
  <c r="M152" i="5"/>
  <c r="M123" i="5"/>
  <c r="M37" i="5"/>
  <c r="N120" i="8"/>
  <c r="N129" i="8" s="1"/>
  <c r="N11" i="8" s="1"/>
  <c r="N12" i="8" s="1"/>
  <c r="N120" i="7"/>
  <c r="N129" i="7" s="1"/>
  <c r="N11" i="7" s="1"/>
  <c r="N12" i="7" s="1"/>
  <c r="W53" i="5"/>
  <c r="W6" i="5" s="1"/>
  <c r="BH42" i="5"/>
  <c r="AN26" i="8"/>
  <c r="AL28" i="8"/>
  <c r="AM28" i="8"/>
  <c r="AK28" i="8"/>
  <c r="D16" i="5"/>
  <c r="T150" i="5"/>
  <c r="T165" i="5"/>
  <c r="T121" i="5"/>
  <c r="Q118" i="8"/>
  <c r="Q118" i="7"/>
  <c r="S128" i="8"/>
  <c r="S128" i="7"/>
  <c r="S80" i="7" s="1"/>
  <c r="S96" i="7" s="1"/>
  <c r="Q127" i="8"/>
  <c r="Q127" i="7"/>
  <c r="AS37" i="5"/>
  <c r="AT37" i="5"/>
  <c r="D85" i="5"/>
  <c r="T18" i="5"/>
  <c r="T101" i="5"/>
  <c r="Q69" i="5"/>
  <c r="Q10" i="5" s="1"/>
  <c r="P136" i="6"/>
  <c r="P36" i="6"/>
  <c r="P5" i="6" s="1"/>
  <c r="O137" i="6"/>
  <c r="O121" i="5"/>
  <c r="H79" i="9"/>
  <c r="K79" i="9" s="1"/>
  <c r="G79" i="9"/>
  <c r="J79" i="9" s="1"/>
  <c r="M79" i="9" s="1"/>
  <c r="O121" i="8"/>
  <c r="O121" i="7"/>
  <c r="O124" i="7"/>
  <c r="O124" i="8"/>
  <c r="U173" i="5"/>
  <c r="U129" i="5"/>
  <c r="U158" i="5"/>
  <c r="P117" i="8"/>
  <c r="P129" i="8" s="1"/>
  <c r="P11" i="8" s="1"/>
  <c r="P117" i="7"/>
  <c r="C85" i="5"/>
  <c r="V53" i="5"/>
  <c r="V6" i="5" s="1"/>
  <c r="W76" i="5"/>
  <c r="R101" i="5"/>
  <c r="R18" i="5"/>
  <c r="C53" i="5"/>
  <c r="C6" i="5" s="1"/>
  <c r="C19" i="5" s="1"/>
  <c r="I85" i="5"/>
  <c r="S15" i="6"/>
  <c r="S7" i="6"/>
  <c r="N151" i="5"/>
  <c r="N122" i="5"/>
  <c r="R125" i="5"/>
  <c r="R154" i="5"/>
  <c r="R169" i="5"/>
  <c r="AK24" i="7"/>
  <c r="AM24" i="7"/>
  <c r="T33" i="7"/>
  <c r="T5" i="7" s="1"/>
  <c r="AL24" i="7"/>
  <c r="R128" i="8"/>
  <c r="R128" i="7"/>
  <c r="O122" i="8"/>
  <c r="O122" i="7"/>
  <c r="O123" i="8"/>
  <c r="O123" i="7"/>
  <c r="T173" i="5"/>
  <c r="T158" i="5"/>
  <c r="T129" i="5"/>
  <c r="M126" i="8"/>
  <c r="M126" i="7"/>
  <c r="N17" i="6"/>
  <c r="O4" i="6"/>
  <c r="Q128" i="8"/>
  <c r="Q128" i="7"/>
  <c r="V18" i="5"/>
  <c r="V101" i="5"/>
  <c r="D53" i="5"/>
  <c r="D6" i="5" s="1"/>
  <c r="X18" i="5"/>
  <c r="X101" i="5"/>
  <c r="Y4" i="5"/>
  <c r="U146" i="6"/>
  <c r="U132" i="6"/>
  <c r="AV120" i="5"/>
  <c r="AV37" i="5"/>
  <c r="V172" i="5"/>
  <c r="V157" i="5"/>
  <c r="V128" i="5"/>
  <c r="Q120" i="8"/>
  <c r="Q120" i="7"/>
  <c r="BO53" i="5"/>
  <c r="N69" i="5"/>
  <c r="N10" i="5" s="1"/>
  <c r="P61" i="6"/>
  <c r="P60" i="6"/>
  <c r="W18" i="5"/>
  <c r="W101" i="5"/>
  <c r="X4" i="5"/>
  <c r="H85" i="5"/>
  <c r="N159" i="5"/>
  <c r="Q67" i="6"/>
  <c r="Q147" i="6"/>
  <c r="AQ37" i="5"/>
  <c r="Q18" i="5"/>
  <c r="R4" i="5"/>
  <c r="J53" i="5"/>
  <c r="J6" i="5" s="1"/>
  <c r="K19" i="5" s="1"/>
  <c r="V64" i="6"/>
  <c r="V63" i="6"/>
  <c r="P118" i="8"/>
  <c r="P118" i="7"/>
  <c r="P119" i="8"/>
  <c r="P119" i="7"/>
  <c r="V78" i="5"/>
  <c r="N119" i="8"/>
  <c r="N119" i="7"/>
  <c r="W37" i="5"/>
  <c r="J85" i="5"/>
  <c r="S101" i="5"/>
  <c r="AK25" i="7"/>
  <c r="AM25" i="7"/>
  <c r="AL25" i="7"/>
  <c r="X168" i="5"/>
  <c r="X124" i="5"/>
  <c r="X153" i="5"/>
  <c r="X77" i="5"/>
  <c r="M122" i="7"/>
  <c r="M122" i="8"/>
  <c r="M129" i="8" s="1"/>
  <c r="M11" i="8" s="1"/>
  <c r="M12" i="8" s="1"/>
  <c r="BP53" i="5"/>
  <c r="Q119" i="8"/>
  <c r="Q129" i="8" s="1"/>
  <c r="Q11" i="8" s="1"/>
  <c r="Q119" i="7"/>
  <c r="M125" i="8"/>
  <c r="M125" i="7"/>
  <c r="AD120" i="5"/>
  <c r="AD37" i="5"/>
  <c r="P155" i="5"/>
  <c r="P170" i="5"/>
  <c r="P126" i="5"/>
  <c r="Q122" i="8"/>
  <c r="Q122" i="7"/>
  <c r="R117" i="7"/>
  <c r="R117" i="8"/>
  <c r="R129" i="8" s="1"/>
  <c r="R11" i="8" s="1"/>
  <c r="S123" i="7"/>
  <c r="S123" i="8"/>
  <c r="W119" i="8"/>
  <c r="W71" i="8" s="1"/>
  <c r="W87" i="8" s="1"/>
  <c r="W103" i="8" s="1"/>
  <c r="W119" i="7"/>
  <c r="W71" i="7" s="1"/>
  <c r="W87" i="7" s="1"/>
  <c r="S53" i="5"/>
  <c r="S6" i="5" s="1"/>
  <c r="S19" i="5" s="1"/>
  <c r="S164" i="5"/>
  <c r="BM53" i="5"/>
  <c r="BF42" i="5"/>
  <c r="S4" i="5"/>
  <c r="X37" i="5"/>
  <c r="V77" i="5"/>
  <c r="T53" i="5"/>
  <c r="T6" i="5" s="1"/>
  <c r="K85" i="5"/>
  <c r="M124" i="8"/>
  <c r="M124" i="7"/>
  <c r="Q121" i="8"/>
  <c r="Q121" i="7"/>
  <c r="R166" i="5"/>
  <c r="R122" i="5"/>
  <c r="BF47" i="5"/>
  <c r="N121" i="7"/>
  <c r="N121" i="8"/>
  <c r="U121" i="8"/>
  <c r="U121" i="7"/>
  <c r="X128" i="8"/>
  <c r="X80" i="8" s="1"/>
  <c r="X128" i="7"/>
  <c r="X80" i="7" s="1"/>
  <c r="X96" i="7" s="1"/>
  <c r="X112" i="7" s="1"/>
  <c r="AN112" i="7" s="1"/>
  <c r="T4" i="5"/>
  <c r="AM49" i="6"/>
  <c r="AL49" i="6"/>
  <c r="AK49" i="6"/>
  <c r="E37" i="5"/>
  <c r="E5" i="5" s="1"/>
  <c r="E16" i="5" s="1"/>
  <c r="AW37" i="5"/>
  <c r="U121" i="5"/>
  <c r="U150" i="5"/>
  <c r="U165" i="5"/>
  <c r="U37" i="5"/>
  <c r="AK122" i="5"/>
  <c r="Y168" i="5"/>
  <c r="Y153" i="5"/>
  <c r="Y124" i="5"/>
  <c r="S125" i="5"/>
  <c r="S154" i="5"/>
  <c r="S169" i="5"/>
  <c r="N53" i="5"/>
  <c r="N6" i="5" s="1"/>
  <c r="T85" i="5"/>
  <c r="W74" i="5"/>
  <c r="X79" i="7"/>
  <c r="X95" i="7" s="1"/>
  <c r="X111" i="7" s="1"/>
  <c r="AN111" i="7" s="1"/>
  <c r="T79" i="7"/>
  <c r="T95" i="7" s="1"/>
  <c r="M128" i="8"/>
  <c r="M128" i="7"/>
  <c r="O126" i="8"/>
  <c r="O126" i="7"/>
  <c r="Q124" i="8"/>
  <c r="Q124" i="7"/>
  <c r="AX37" i="5"/>
  <c r="AX120" i="5"/>
  <c r="V165" i="5"/>
  <c r="V121" i="5"/>
  <c r="V150" i="5"/>
  <c r="V161" i="5" s="1"/>
  <c r="P166" i="5"/>
  <c r="P37" i="5"/>
  <c r="AL37" i="5"/>
  <c r="T169" i="5"/>
  <c r="T154" i="5"/>
  <c r="N126" i="5"/>
  <c r="N155" i="5"/>
  <c r="X172" i="5"/>
  <c r="X157" i="5"/>
  <c r="X128" i="5"/>
  <c r="L159" i="5"/>
  <c r="L130" i="5"/>
  <c r="X74" i="5"/>
  <c r="W79" i="5"/>
  <c r="V84" i="5"/>
  <c r="U116" i="5"/>
  <c r="U15" i="5" s="1"/>
  <c r="AQ116" i="5"/>
  <c r="AQ15" i="5" s="1"/>
  <c r="AH140" i="6"/>
  <c r="AH36" i="6"/>
  <c r="AH5" i="6" s="1"/>
  <c r="AH12" i="6" s="1"/>
  <c r="O122" i="5"/>
  <c r="O166" i="5"/>
  <c r="M155" i="5"/>
  <c r="M126" i="5"/>
  <c r="W157" i="5"/>
  <c r="W172" i="5"/>
  <c r="W128" i="5"/>
  <c r="Q173" i="5"/>
  <c r="Q158" i="5"/>
  <c r="G18" i="5"/>
  <c r="G37" i="5"/>
  <c r="G5" i="5" s="1"/>
  <c r="G16" i="5" s="1"/>
  <c r="AC37" i="5"/>
  <c r="AC120" i="5"/>
  <c r="AY37" i="5"/>
  <c r="AY120" i="5"/>
  <c r="W121" i="5"/>
  <c r="W150" i="5"/>
  <c r="W165" i="5"/>
  <c r="Q166" i="5"/>
  <c r="Q122" i="5"/>
  <c r="U125" i="5"/>
  <c r="U154" i="5"/>
  <c r="U169" i="5"/>
  <c r="AK126" i="5"/>
  <c r="E166" i="9"/>
  <c r="Y157" i="5"/>
  <c r="Y128" i="5"/>
  <c r="S173" i="5"/>
  <c r="S158" i="5"/>
  <c r="M159" i="5"/>
  <c r="M130" i="5"/>
  <c r="P53" i="5"/>
  <c r="P6" i="5" s="1"/>
  <c r="P19" i="5" s="1"/>
  <c r="X82" i="5"/>
  <c r="V116" i="5"/>
  <c r="V15" i="5" s="1"/>
  <c r="AI116" i="5"/>
  <c r="AI15" i="5" s="1"/>
  <c r="L120" i="5"/>
  <c r="L149" i="5"/>
  <c r="V75" i="5"/>
  <c r="V166" i="5"/>
  <c r="V122" i="5"/>
  <c r="V151" i="5"/>
  <c r="P152" i="5"/>
  <c r="P123" i="5"/>
  <c r="T170" i="5"/>
  <c r="T126" i="5"/>
  <c r="N156" i="5"/>
  <c r="N127" i="5"/>
  <c r="X129" i="5"/>
  <c r="X173" i="5"/>
  <c r="N85" i="5"/>
  <c r="O7" i="7"/>
  <c r="H87" i="9"/>
  <c r="K87" i="9" s="1"/>
  <c r="G87" i="9"/>
  <c r="J87" i="9" s="1"/>
  <c r="M87" i="9" s="1"/>
  <c r="S125" i="8"/>
  <c r="S125" i="7"/>
  <c r="U123" i="8"/>
  <c r="U123" i="7"/>
  <c r="W121" i="8"/>
  <c r="W121" i="7"/>
  <c r="X127" i="8"/>
  <c r="X127" i="7"/>
  <c r="L37" i="5"/>
  <c r="E85" i="5"/>
  <c r="W116" i="5"/>
  <c r="W15" i="5" s="1"/>
  <c r="AW116" i="5"/>
  <c r="AW15" i="5" s="1"/>
  <c r="X59" i="6"/>
  <c r="U126" i="7"/>
  <c r="U126" i="8"/>
  <c r="U78" i="8" s="1"/>
  <c r="U94" i="8" s="1"/>
  <c r="U110" i="8" s="1"/>
  <c r="W124" i="8"/>
  <c r="W124" i="7"/>
  <c r="W76" i="7" s="1"/>
  <c r="W92" i="7" s="1"/>
  <c r="R159" i="5"/>
  <c r="R130" i="5"/>
  <c r="L160" i="5"/>
  <c r="L131" i="5"/>
  <c r="B5" i="8" a="1"/>
  <c r="B5" i="8" s="1"/>
  <c r="B7" i="8" s="1"/>
  <c r="S122" i="8"/>
  <c r="S122" i="7"/>
  <c r="S74" i="7" s="1"/>
  <c r="S90" i="7" s="1"/>
  <c r="U120" i="8"/>
  <c r="U120" i="7"/>
  <c r="W118" i="8"/>
  <c r="W70" i="8" s="1"/>
  <c r="W86" i="8" s="1"/>
  <c r="W102" i="8" s="1"/>
  <c r="W118" i="7"/>
  <c r="W70" i="7" s="1"/>
  <c r="W86" i="7" s="1"/>
  <c r="J7" i="5"/>
  <c r="J11" i="5" s="1"/>
  <c r="J8" i="5" s="1"/>
  <c r="N120" i="5"/>
  <c r="N149" i="5"/>
  <c r="N37" i="5"/>
  <c r="X166" i="5"/>
  <c r="X151" i="5"/>
  <c r="X122" i="5"/>
  <c r="R152" i="5"/>
  <c r="R167" i="5"/>
  <c r="R123" i="5"/>
  <c r="L124" i="5"/>
  <c r="L153" i="5"/>
  <c r="V126" i="5"/>
  <c r="V170" i="5"/>
  <c r="P156" i="5"/>
  <c r="P171" i="5"/>
  <c r="P127" i="5"/>
  <c r="T159" i="5"/>
  <c r="T174" i="5"/>
  <c r="T130" i="5"/>
  <c r="N131" i="5"/>
  <c r="N160" i="5"/>
  <c r="AA37" i="5"/>
  <c r="X83" i="5"/>
  <c r="T155" i="5"/>
  <c r="R174" i="5"/>
  <c r="Q17" i="6"/>
  <c r="R17" i="6"/>
  <c r="R4" i="6"/>
  <c r="W79" i="8"/>
  <c r="W95" i="8" s="1"/>
  <c r="W111" i="8" s="1"/>
  <c r="S119" i="7"/>
  <c r="S119" i="8"/>
  <c r="U117" i="8"/>
  <c r="U117" i="7"/>
  <c r="V127" i="8"/>
  <c r="V127" i="7"/>
  <c r="J18" i="5"/>
  <c r="J14" i="5"/>
  <c r="K4" i="5"/>
  <c r="O120" i="5"/>
  <c r="O37" i="5"/>
  <c r="O149" i="5"/>
  <c r="O164" i="5"/>
  <c r="AK37" i="5"/>
  <c r="Y166" i="5"/>
  <c r="Y151" i="5"/>
  <c r="Y122" i="5"/>
  <c r="S152" i="5"/>
  <c r="S123" i="5"/>
  <c r="M124" i="5"/>
  <c r="M153" i="5"/>
  <c r="M161" i="5" s="1"/>
  <c r="AC125" i="5"/>
  <c r="W170" i="5"/>
  <c r="W155" i="5"/>
  <c r="W126" i="5"/>
  <c r="Q156" i="5"/>
  <c r="Q127" i="5"/>
  <c r="Q171" i="5"/>
  <c r="U130" i="5"/>
  <c r="U159" i="5"/>
  <c r="U174" i="5"/>
  <c r="O175" i="5"/>
  <c r="O160" i="5"/>
  <c r="O131" i="5"/>
  <c r="AB37" i="5"/>
  <c r="M53" i="5"/>
  <c r="M6" i="5" s="1"/>
  <c r="AL30" i="6"/>
  <c r="AL126" i="5" s="1"/>
  <c r="AM30" i="6"/>
  <c r="AK30" i="6"/>
  <c r="BH52" i="5"/>
  <c r="P167" i="5"/>
  <c r="AF136" i="6"/>
  <c r="AF36" i="6"/>
  <c r="AF5" i="6" s="1"/>
  <c r="AF12" i="6" s="1"/>
  <c r="X139" i="6"/>
  <c r="AN28" i="6"/>
  <c r="AN124" i="5" s="1"/>
  <c r="AK28" i="6"/>
  <c r="AK124" i="5" s="1"/>
  <c r="AL29" i="6"/>
  <c r="AL125" i="5" s="1"/>
  <c r="AK29" i="6"/>
  <c r="AK125" i="5" s="1"/>
  <c r="V140" i="6"/>
  <c r="V60" i="6"/>
  <c r="H7" i="5"/>
  <c r="H11" i="5" s="1"/>
  <c r="H8" i="5" s="1"/>
  <c r="B8" i="8" a="1"/>
  <c r="B8" i="8" s="1"/>
  <c r="B15" i="8" s="1"/>
  <c r="T126" i="8"/>
  <c r="T126" i="7"/>
  <c r="T78" i="7" s="1"/>
  <c r="T94" i="7" s="1"/>
  <c r="V124" i="8"/>
  <c r="V124" i="7"/>
  <c r="P122" i="5"/>
  <c r="S167" i="5"/>
  <c r="T120" i="8"/>
  <c r="T72" i="8" s="1"/>
  <c r="T88" i="8" s="1"/>
  <c r="T104" i="8" s="1"/>
  <c r="T120" i="7"/>
  <c r="T72" i="7" s="1"/>
  <c r="T88" i="7" s="1"/>
  <c r="V118" i="8"/>
  <c r="V118" i="7"/>
  <c r="V70" i="7" s="1"/>
  <c r="V86" i="7" s="1"/>
  <c r="W128" i="8"/>
  <c r="W128" i="7"/>
  <c r="W80" i="7" s="1"/>
  <c r="W96" i="7" s="1"/>
  <c r="M18" i="5"/>
  <c r="N4" i="5"/>
  <c r="AL124" i="5"/>
  <c r="E53" i="5"/>
  <c r="E6" i="5" s="1"/>
  <c r="E19" i="5" s="1"/>
  <c r="BF49" i="5"/>
  <c r="Z122" i="5"/>
  <c r="AM48" i="6"/>
  <c r="AL48" i="6"/>
  <c r="T64" i="6"/>
  <c r="AK48" i="6"/>
  <c r="W125" i="7"/>
  <c r="W125" i="8"/>
  <c r="X125" i="7"/>
  <c r="X125" i="8"/>
  <c r="D7" i="5"/>
  <c r="D11" i="5" s="1"/>
  <c r="D8" i="5" s="1"/>
  <c r="B6" i="8" a="1"/>
  <c r="B6" i="8" s="1"/>
  <c r="T117" i="8"/>
  <c r="T117" i="7"/>
  <c r="U127" i="8"/>
  <c r="U127" i="7"/>
  <c r="U79" i="7" s="1"/>
  <c r="U95" i="7" s="1"/>
  <c r="S126" i="7"/>
  <c r="S126" i="8"/>
  <c r="U124" i="8"/>
  <c r="U76" i="8" s="1"/>
  <c r="U92" i="8" s="1"/>
  <c r="U108" i="8" s="1"/>
  <c r="U124" i="7"/>
  <c r="W122" i="7"/>
  <c r="W122" i="8"/>
  <c r="T37" i="5"/>
  <c r="AP120" i="5"/>
  <c r="AP37" i="5"/>
  <c r="AJ37" i="5"/>
  <c r="G53" i="5"/>
  <c r="G6" i="5" s="1"/>
  <c r="O69" i="5"/>
  <c r="O10" i="5" s="1"/>
  <c r="AN42" i="6"/>
  <c r="X52" i="6"/>
  <c r="X6" i="6" s="1"/>
  <c r="X22" i="5" s="1"/>
  <c r="J37" i="5"/>
  <c r="J5" i="5" s="1"/>
  <c r="AF37" i="5"/>
  <c r="T151" i="5"/>
  <c r="T166" i="5"/>
  <c r="T122" i="5"/>
  <c r="N123" i="5"/>
  <c r="N152" i="5"/>
  <c r="X125" i="5"/>
  <c r="X154" i="5"/>
  <c r="X169" i="5"/>
  <c r="L127" i="5"/>
  <c r="L156" i="5"/>
  <c r="V158" i="5"/>
  <c r="V129" i="5"/>
  <c r="P159" i="5"/>
  <c r="P174" i="5"/>
  <c r="U101" i="5"/>
  <c r="T17" i="6"/>
  <c r="U4" i="6"/>
  <c r="AL46" i="6"/>
  <c r="AK46" i="6"/>
  <c r="X77" i="7"/>
  <c r="X93" i="7" s="1"/>
  <c r="X109" i="7" s="1"/>
  <c r="AN109" i="7" s="1"/>
  <c r="AM32" i="8"/>
  <c r="AL32" i="8"/>
  <c r="AK32" i="8"/>
  <c r="J86" i="9"/>
  <c r="M86" i="9" s="1"/>
  <c r="D110" i="9"/>
  <c r="J110" i="9" s="1"/>
  <c r="M110" i="9" s="1"/>
  <c r="T123" i="8"/>
  <c r="T123" i="7"/>
  <c r="V121" i="8"/>
  <c r="V121" i="7"/>
  <c r="X119" i="8"/>
  <c r="X119" i="7"/>
  <c r="X122" i="7"/>
  <c r="X122" i="8"/>
  <c r="X74" i="8" s="1"/>
  <c r="X90" i="8" s="1"/>
  <c r="X106" i="8" s="1"/>
  <c r="AN106" i="8" s="1"/>
  <c r="Y118" i="8"/>
  <c r="Y118" i="7"/>
  <c r="U18" i="5"/>
  <c r="K37" i="5"/>
  <c r="K5" i="5" s="1"/>
  <c r="AG37" i="5"/>
  <c r="U151" i="5"/>
  <c r="U122" i="5"/>
  <c r="U166" i="5"/>
  <c r="O152" i="5"/>
  <c r="O123" i="5"/>
  <c r="O167" i="5"/>
  <c r="Y169" i="5"/>
  <c r="Y125" i="5"/>
  <c r="S155" i="5"/>
  <c r="S170" i="5"/>
  <c r="W173" i="5"/>
  <c r="W129" i="5"/>
  <c r="Q174" i="5"/>
  <c r="Q130" i="5"/>
  <c r="BH49" i="5"/>
  <c r="AS116" i="5"/>
  <c r="AS15" i="5" s="1"/>
  <c r="L121" i="5"/>
  <c r="W160" i="5"/>
  <c r="P168" i="5"/>
  <c r="N52" i="6"/>
  <c r="N6" i="6" s="1"/>
  <c r="N18" i="6" s="1"/>
  <c r="M17" i="6"/>
  <c r="Y45" i="7"/>
  <c r="V128" i="8"/>
  <c r="V80" i="8" s="1"/>
  <c r="V96" i="8" s="1"/>
  <c r="V112" i="8" s="1"/>
  <c r="V128" i="7"/>
  <c r="V80" i="7" s="1"/>
  <c r="V96" i="7" s="1"/>
  <c r="S117" i="8"/>
  <c r="S117" i="7"/>
  <c r="T127" i="8"/>
  <c r="T127" i="7"/>
  <c r="Q131" i="5"/>
  <c r="F53" i="5"/>
  <c r="F6" i="5" s="1"/>
  <c r="F7" i="5" s="1"/>
  <c r="F11" i="5" s="1"/>
  <c r="F8" i="5" s="1"/>
  <c r="S69" i="5"/>
  <c r="S10" i="5" s="1"/>
  <c r="AH116" i="5"/>
  <c r="AH15" i="5" s="1"/>
  <c r="V146" i="6"/>
  <c r="AM35" i="6"/>
  <c r="AM41" i="6"/>
  <c r="AM52" i="6" s="1"/>
  <c r="AL41" i="6"/>
  <c r="AK41" i="6"/>
  <c r="AK52" i="6" s="1"/>
  <c r="AL22" i="8"/>
  <c r="AK22" i="8"/>
  <c r="R69" i="5"/>
  <c r="R10" i="5" s="1"/>
  <c r="AG116" i="5"/>
  <c r="AG15" i="5" s="1"/>
  <c r="AT116" i="5"/>
  <c r="AT15" i="5" s="1"/>
  <c r="O57" i="6"/>
  <c r="T124" i="8"/>
  <c r="T124" i="7"/>
  <c r="V122" i="8"/>
  <c r="V122" i="7"/>
  <c r="X120" i="8"/>
  <c r="X72" i="8" s="1"/>
  <c r="X88" i="8" s="1"/>
  <c r="X104" i="8" s="1"/>
  <c r="AN104" i="8" s="1"/>
  <c r="X120" i="7"/>
  <c r="R120" i="5"/>
  <c r="R164" i="5"/>
  <c r="R176" i="5" s="1"/>
  <c r="AN120" i="5"/>
  <c r="AN37" i="5"/>
  <c r="V123" i="5"/>
  <c r="V152" i="5"/>
  <c r="T156" i="5"/>
  <c r="T127" i="5"/>
  <c r="N128" i="5"/>
  <c r="N157" i="5"/>
  <c r="R37" i="5"/>
  <c r="G85" i="5"/>
  <c r="T147" i="6"/>
  <c r="AM36" i="6"/>
  <c r="AK36" i="6"/>
  <c r="T67" i="6"/>
  <c r="S120" i="8"/>
  <c r="S72" i="8" s="1"/>
  <c r="S88" i="8" s="1"/>
  <c r="S104" i="8" s="1"/>
  <c r="S120" i="7"/>
  <c r="S72" i="7" s="1"/>
  <c r="S88" i="7" s="1"/>
  <c r="U118" i="8"/>
  <c r="U118" i="7"/>
  <c r="U72" i="7"/>
  <c r="U88" i="7" s="1"/>
  <c r="D72" i="9"/>
  <c r="J72" i="9" s="1"/>
  <c r="M72" i="9" s="1"/>
  <c r="I72" i="9"/>
  <c r="L72" i="9" s="1"/>
  <c r="T121" i="8"/>
  <c r="T73" i="8" s="1"/>
  <c r="T89" i="8" s="1"/>
  <c r="T105" i="8" s="1"/>
  <c r="T121" i="7"/>
  <c r="T73" i="7" s="1"/>
  <c r="T89" i="7" s="1"/>
  <c r="V119" i="8"/>
  <c r="V119" i="7"/>
  <c r="O172" i="5"/>
  <c r="U69" i="5"/>
  <c r="U10" i="5" s="1"/>
  <c r="AJ116" i="5"/>
  <c r="AJ15" i="5" s="1"/>
  <c r="AA116" i="5"/>
  <c r="AA15" i="5" s="1"/>
  <c r="P124" i="5"/>
  <c r="V176" i="5"/>
  <c r="T171" i="5"/>
  <c r="Z136" i="6"/>
  <c r="Z36" i="6"/>
  <c r="Z5" i="6" s="1"/>
  <c r="Z12" i="6" s="1"/>
  <c r="Y137" i="6"/>
  <c r="Y57" i="6"/>
  <c r="AM27" i="6"/>
  <c r="AM123" i="5" s="1"/>
  <c r="AK27" i="6"/>
  <c r="AK123" i="5" s="1"/>
  <c r="T36" i="6"/>
  <c r="T5" i="6" s="1"/>
  <c r="R59" i="6"/>
  <c r="R139" i="6"/>
  <c r="AL36" i="6"/>
  <c r="V52" i="6"/>
  <c r="V6" i="6" s="1"/>
  <c r="V57" i="6"/>
  <c r="AN51" i="6"/>
  <c r="AL51" i="6"/>
  <c r="X123" i="5"/>
  <c r="I53" i="5"/>
  <c r="I6" i="5" s="1"/>
  <c r="I19" i="5" s="1"/>
  <c r="V69" i="5"/>
  <c r="V10" i="5" s="1"/>
  <c r="O85" i="5"/>
  <c r="V80" i="5"/>
  <c r="AK116" i="5"/>
  <c r="AK15" i="5" s="1"/>
  <c r="W164" i="5"/>
  <c r="N56" i="6"/>
  <c r="N68" i="6" s="1"/>
  <c r="F168" i="9"/>
  <c r="I168" i="9" s="1"/>
  <c r="L168" i="9" s="1"/>
  <c r="Y146" i="6"/>
  <c r="O52" i="6"/>
  <c r="O6" i="6" s="1"/>
  <c r="K33" i="7"/>
  <c r="S71" i="7"/>
  <c r="S87" i="7" s="1"/>
  <c r="U128" i="8"/>
  <c r="U80" i="8" s="1"/>
  <c r="U96" i="8" s="1"/>
  <c r="U112" i="8" s="1"/>
  <c r="U128" i="7"/>
  <c r="U80" i="7" s="1"/>
  <c r="U96" i="7" s="1"/>
  <c r="T120" i="5"/>
  <c r="T149" i="5"/>
  <c r="T161" i="5" s="1"/>
  <c r="T164" i="5"/>
  <c r="T176" i="5" s="1"/>
  <c r="S127" i="8"/>
  <c r="S127" i="7"/>
  <c r="S79" i="7" s="1"/>
  <c r="S95" i="7" s="1"/>
  <c r="U125" i="8"/>
  <c r="U125" i="7"/>
  <c r="W123" i="7"/>
  <c r="W123" i="8"/>
  <c r="W75" i="8" s="1"/>
  <c r="W91" i="8" s="1"/>
  <c r="W107" i="8" s="1"/>
  <c r="X126" i="7"/>
  <c r="X78" i="7" s="1"/>
  <c r="X94" i="7" s="1"/>
  <c r="X110" i="7" s="1"/>
  <c r="AN110" i="7" s="1"/>
  <c r="X126" i="8"/>
  <c r="U164" i="5"/>
  <c r="U149" i="5"/>
  <c r="S168" i="5"/>
  <c r="S153" i="5"/>
  <c r="S161" i="5" s="1"/>
  <c r="S124" i="5"/>
  <c r="M154" i="5"/>
  <c r="M125" i="5"/>
  <c r="W156" i="5"/>
  <c r="W127" i="5"/>
  <c r="Q157" i="5"/>
  <c r="Q128" i="5"/>
  <c r="Q172" i="5"/>
  <c r="AM128" i="5"/>
  <c r="U160" i="5"/>
  <c r="U175" i="5"/>
  <c r="W69" i="5"/>
  <c r="W10" i="5" s="1"/>
  <c r="P85" i="5"/>
  <c r="W80" i="5"/>
  <c r="AL116" i="5"/>
  <c r="AL15" i="5" s="1"/>
  <c r="AC116" i="5"/>
  <c r="AC15" i="5" s="1"/>
  <c r="U120" i="5"/>
  <c r="O165" i="5"/>
  <c r="P52" i="6"/>
  <c r="P6" i="6" s="1"/>
  <c r="M67" i="6"/>
  <c r="L33" i="7"/>
  <c r="L5" i="7" s="1"/>
  <c r="S75" i="7"/>
  <c r="S91" i="7" s="1"/>
  <c r="C15" i="8"/>
  <c r="D4" i="8"/>
  <c r="D7" i="8" s="1"/>
  <c r="C14" i="8"/>
  <c r="D14" i="8"/>
  <c r="S124" i="7"/>
  <c r="S124" i="8"/>
  <c r="U122" i="8"/>
  <c r="U122" i="7"/>
  <c r="W120" i="8"/>
  <c r="W120" i="7"/>
  <c r="V37" i="5"/>
  <c r="O53" i="5"/>
  <c r="O6" i="5" s="1"/>
  <c r="O19" i="5" s="1"/>
  <c r="X69" i="5"/>
  <c r="X10" i="5" s="1"/>
  <c r="X70" i="5" s="1"/>
  <c r="V82" i="5"/>
  <c r="AM116" i="5"/>
  <c r="AM15" i="5" s="1"/>
  <c r="AD116" i="5"/>
  <c r="AD15" i="5" s="1"/>
  <c r="W171" i="5"/>
  <c r="P56" i="6"/>
  <c r="P7" i="6"/>
  <c r="AC36" i="6"/>
  <c r="AC5" i="6" s="1"/>
  <c r="AC12" i="6" s="1"/>
  <c r="Q52" i="6"/>
  <c r="Q6" i="6" s="1"/>
  <c r="M62" i="6"/>
  <c r="S100" i="6"/>
  <c r="M33" i="7"/>
  <c r="M5" i="7" s="1"/>
  <c r="Y70" i="7"/>
  <c r="Y86" i="7" s="1"/>
  <c r="Y102" i="7" s="1"/>
  <c r="T118" i="8"/>
  <c r="T70" i="8" s="1"/>
  <c r="T86" i="8" s="1"/>
  <c r="T102" i="8" s="1"/>
  <c r="T118" i="7"/>
  <c r="W126" i="7"/>
  <c r="W78" i="7" s="1"/>
  <c r="W94" i="7" s="1"/>
  <c r="W126" i="8"/>
  <c r="S121" i="8"/>
  <c r="S121" i="7"/>
  <c r="S73" i="7" s="1"/>
  <c r="S89" i="7" s="1"/>
  <c r="U119" i="8"/>
  <c r="U119" i="7"/>
  <c r="W117" i="8"/>
  <c r="W117" i="7"/>
  <c r="W149" i="5"/>
  <c r="W120" i="5"/>
  <c r="Q150" i="5"/>
  <c r="Q161" i="5" s="1"/>
  <c r="Q37" i="5"/>
  <c r="Q121" i="5"/>
  <c r="U153" i="5"/>
  <c r="U124" i="5"/>
  <c r="O125" i="5"/>
  <c r="O154" i="5"/>
  <c r="E165" i="9"/>
  <c r="Y127" i="5"/>
  <c r="Y156" i="5"/>
  <c r="S128" i="5"/>
  <c r="S172" i="5"/>
  <c r="S157" i="5"/>
  <c r="L53" i="5"/>
  <c r="L6" i="5" s="1"/>
  <c r="L19" i="5" s="1"/>
  <c r="W82" i="5"/>
  <c r="R149" i="5"/>
  <c r="Y154" i="5"/>
  <c r="Q165" i="5"/>
  <c r="Q176" i="5" s="1"/>
  <c r="AM29" i="6"/>
  <c r="R141" i="6"/>
  <c r="R61" i="6"/>
  <c r="L64" i="6"/>
  <c r="L128" i="5"/>
  <c r="L144" i="6"/>
  <c r="AH144" i="6"/>
  <c r="AH128" i="5"/>
  <c r="R52" i="6"/>
  <c r="R6" i="6" s="1"/>
  <c r="R18" i="6" s="1"/>
  <c r="L100" i="6"/>
  <c r="Y69" i="7"/>
  <c r="Y85" i="7" s="1"/>
  <c r="X49" i="7"/>
  <c r="X6" i="7" s="1"/>
  <c r="Y119" i="7"/>
  <c r="Y71" i="7" s="1"/>
  <c r="Y87" i="7" s="1"/>
  <c r="Y103" i="7" s="1"/>
  <c r="S118" i="8"/>
  <c r="S70" i="8" s="1"/>
  <c r="S86" i="8" s="1"/>
  <c r="S102" i="8" s="1"/>
  <c r="S118" i="7"/>
  <c r="S70" i="7" s="1"/>
  <c r="S86" i="7" s="1"/>
  <c r="T128" i="8"/>
  <c r="T80" i="8" s="1"/>
  <c r="T96" i="8" s="1"/>
  <c r="T112" i="8" s="1"/>
  <c r="T128" i="7"/>
  <c r="T80" i="7" s="1"/>
  <c r="T96" i="7" s="1"/>
  <c r="V126" i="8"/>
  <c r="V126" i="7"/>
  <c r="Y117" i="8"/>
  <c r="Y117" i="7"/>
  <c r="F18" i="5"/>
  <c r="X164" i="5"/>
  <c r="X149" i="5"/>
  <c r="X120" i="5"/>
  <c r="R150" i="5"/>
  <c r="R121" i="5"/>
  <c r="R165" i="5"/>
  <c r="V168" i="5"/>
  <c r="V153" i="5"/>
  <c r="V124" i="5"/>
  <c r="P169" i="5"/>
  <c r="P154" i="5"/>
  <c r="P161" i="5" s="1"/>
  <c r="P125" i="5"/>
  <c r="T172" i="5"/>
  <c r="T157" i="5"/>
  <c r="N158" i="5"/>
  <c r="N129" i="5"/>
  <c r="X175" i="5"/>
  <c r="X131" i="5"/>
  <c r="Q53" i="5"/>
  <c r="Q6" i="5" s="1"/>
  <c r="V76" i="5"/>
  <c r="W158" i="5"/>
  <c r="S141" i="6"/>
  <c r="S61" i="6"/>
  <c r="X65" i="6"/>
  <c r="X64" i="6"/>
  <c r="M100" i="6"/>
  <c r="Q141" i="6"/>
  <c r="L7" i="7"/>
  <c r="V125" i="7"/>
  <c r="V77" i="7" s="1"/>
  <c r="V93" i="7" s="1"/>
  <c r="AO116" i="5"/>
  <c r="AO15" i="5" s="1"/>
  <c r="Q100" i="6"/>
  <c r="W74" i="8"/>
  <c r="W90" i="8" s="1"/>
  <c r="W106" i="8" s="1"/>
  <c r="X174" i="5"/>
  <c r="X130" i="5"/>
  <c r="X159" i="5"/>
  <c r="R160" i="5"/>
  <c r="R131" i="5"/>
  <c r="R175" i="5"/>
  <c r="U53" i="5"/>
  <c r="U6" i="5" s="1"/>
  <c r="Q56" i="6"/>
  <c r="Q7" i="6"/>
  <c r="Y139" i="6"/>
  <c r="Y59" i="6"/>
  <c r="S52" i="6"/>
  <c r="S6" i="6" s="1"/>
  <c r="C4" i="7"/>
  <c r="C7" i="7" s="1"/>
  <c r="B15" i="7"/>
  <c r="N33" i="7"/>
  <c r="N5" i="7" s="1"/>
  <c r="V76" i="7"/>
  <c r="V92" i="7" s="1"/>
  <c r="W123" i="5"/>
  <c r="W152" i="5"/>
  <c r="Q124" i="5"/>
  <c r="Q168" i="5"/>
  <c r="O157" i="5"/>
  <c r="O128" i="5"/>
  <c r="E168" i="9"/>
  <c r="Y130" i="5"/>
  <c r="S131" i="5"/>
  <c r="S175" i="5"/>
  <c r="AO37" i="5"/>
  <c r="R85" i="5"/>
  <c r="U127" i="5"/>
  <c r="S165" i="5"/>
  <c r="L56" i="6"/>
  <c r="L36" i="6"/>
  <c r="L5" i="6" s="1"/>
  <c r="L7" i="6" s="1"/>
  <c r="L10" i="6" s="1"/>
  <c r="L8" i="6" s="1"/>
  <c r="AN29" i="6"/>
  <c r="AN125" i="5" s="1"/>
  <c r="X140" i="6"/>
  <c r="V141" i="6"/>
  <c r="V61" i="6"/>
  <c r="O144" i="6"/>
  <c r="O64" i="6"/>
  <c r="O17" i="6"/>
  <c r="V156" i="5"/>
  <c r="V127" i="5"/>
  <c r="P157" i="5"/>
  <c r="P172" i="5"/>
  <c r="T175" i="5"/>
  <c r="S85" i="5"/>
  <c r="S121" i="5"/>
  <c r="L13" i="6"/>
  <c r="M36" i="6"/>
  <c r="M5" i="6" s="1"/>
  <c r="M136" i="6"/>
  <c r="T57" i="6"/>
  <c r="N59" i="6"/>
  <c r="P17" i="6"/>
  <c r="N36" i="6"/>
  <c r="N5" i="6" s="1"/>
  <c r="M57" i="6"/>
  <c r="M68" i="6" s="1"/>
  <c r="M137" i="6"/>
  <c r="Q144" i="6"/>
  <c r="Q64" i="6"/>
  <c r="O145" i="6"/>
  <c r="O65" i="6"/>
  <c r="K15" i="8"/>
  <c r="L4" i="8"/>
  <c r="K14" i="8"/>
  <c r="X117" i="8"/>
  <c r="X117" i="7"/>
  <c r="X123" i="8"/>
  <c r="X123" i="7"/>
  <c r="X75" i="7" s="1"/>
  <c r="X91" i="7" s="1"/>
  <c r="X107" i="7" s="1"/>
  <c r="AN107" i="7" s="1"/>
  <c r="T124" i="5"/>
  <c r="T153" i="5"/>
  <c r="T168" i="5"/>
  <c r="AN128" i="5"/>
  <c r="L158" i="5"/>
  <c r="L129" i="5"/>
  <c r="AB130" i="5"/>
  <c r="V175" i="5"/>
  <c r="S37" i="5"/>
  <c r="AR37" i="5"/>
  <c r="U85" i="5"/>
  <c r="W84" i="5"/>
  <c r="O136" i="6"/>
  <c r="O36" i="6"/>
  <c r="O5" i="6" s="1"/>
  <c r="X142" i="6"/>
  <c r="AN31" i="6"/>
  <c r="AM31" i="6"/>
  <c r="AM127" i="5" s="1"/>
  <c r="S143" i="6"/>
  <c r="S63" i="6"/>
  <c r="R64" i="6"/>
  <c r="R144" i="6"/>
  <c r="L146" i="6"/>
  <c r="L66" i="6"/>
  <c r="U65" i="6"/>
  <c r="Z116" i="6"/>
  <c r="U71" i="7"/>
  <c r="U87" i="7" s="1"/>
  <c r="AF122" i="5"/>
  <c r="L154" i="5"/>
  <c r="T160" i="5"/>
  <c r="AM42" i="6"/>
  <c r="AK42" i="6"/>
  <c r="AM47" i="6"/>
  <c r="AL47" i="6"/>
  <c r="AK47" i="6"/>
  <c r="N61" i="6"/>
  <c r="J4" i="7"/>
  <c r="J7" i="7" s="1"/>
  <c r="I15" i="7"/>
  <c r="I14" i="7"/>
  <c r="O49" i="7"/>
  <c r="O6" i="7" s="1"/>
  <c r="R81" i="7"/>
  <c r="N14" i="8"/>
  <c r="N15" i="8"/>
  <c r="O4" i="8"/>
  <c r="O7" i="8" s="1"/>
  <c r="Y164" i="5"/>
  <c r="Y149" i="5"/>
  <c r="W153" i="5"/>
  <c r="W168" i="5"/>
  <c r="Q125" i="5"/>
  <c r="AM125" i="5"/>
  <c r="U128" i="5"/>
  <c r="U157" i="5"/>
  <c r="AK129" i="5"/>
  <c r="E169" i="9"/>
  <c r="AU37" i="5"/>
  <c r="V79" i="5"/>
  <c r="P18" i="5"/>
  <c r="AF116" i="5"/>
  <c r="AF15" i="5" s="1"/>
  <c r="V160" i="5"/>
  <c r="R136" i="6"/>
  <c r="R36" i="6"/>
  <c r="R5" i="6" s="1"/>
  <c r="Q57" i="6"/>
  <c r="Q137" i="6"/>
  <c r="X62" i="6"/>
  <c r="X61" i="6"/>
  <c r="AB116" i="6"/>
  <c r="AD116" i="6"/>
  <c r="U59" i="6"/>
  <c r="T62" i="6"/>
  <c r="T132" i="6"/>
  <c r="T133" i="6" s="1"/>
  <c r="AL32" i="6"/>
  <c r="AL128" i="5" s="1"/>
  <c r="AM32" i="6"/>
  <c r="AK32" i="6"/>
  <c r="AK128" i="5" s="1"/>
  <c r="S64" i="6"/>
  <c r="S144" i="6"/>
  <c r="M52" i="6"/>
  <c r="M6" i="6" s="1"/>
  <c r="U58" i="6"/>
  <c r="O66" i="6"/>
  <c r="L81" i="7"/>
  <c r="I10" i="9"/>
  <c r="L10" i="9" s="1"/>
  <c r="G10" i="9"/>
  <c r="J10" i="9" s="1"/>
  <c r="M10" i="9" s="1"/>
  <c r="X56" i="6"/>
  <c r="AL28" i="6"/>
  <c r="T144" i="6"/>
  <c r="AK33" i="6"/>
  <c r="AL34" i="6"/>
  <c r="AL130" i="5" s="1"/>
  <c r="AL40" i="6"/>
  <c r="T52" i="6"/>
  <c r="T6" i="6" s="1"/>
  <c r="T18" i="6" s="1"/>
  <c r="P66" i="6"/>
  <c r="M81" i="7"/>
  <c r="X73" i="7"/>
  <c r="X89" i="7" s="1"/>
  <c r="X105" i="7" s="1"/>
  <c r="AN105" i="7" s="1"/>
  <c r="G14" i="7"/>
  <c r="G15" i="7"/>
  <c r="S130" i="5"/>
  <c r="Y136" i="6"/>
  <c r="AN26" i="6"/>
  <c r="AN122" i="5" s="1"/>
  <c r="X137" i="6"/>
  <c r="X36" i="6"/>
  <c r="X5" i="6" s="1"/>
  <c r="AK26" i="6"/>
  <c r="AM28" i="6"/>
  <c r="AM124" i="5" s="1"/>
  <c r="AM34" i="6"/>
  <c r="AM130" i="5" s="1"/>
  <c r="U52" i="6"/>
  <c r="P57" i="6"/>
  <c r="W4" i="7"/>
  <c r="S7" i="8"/>
  <c r="S12" i="8" s="1"/>
  <c r="X58" i="6"/>
  <c r="T61" i="6"/>
  <c r="W166" i="5"/>
  <c r="U126" i="5"/>
  <c r="U170" i="5"/>
  <c r="O127" i="5"/>
  <c r="O171" i="5"/>
  <c r="E167" i="9"/>
  <c r="Y158" i="5"/>
  <c r="W130" i="5"/>
  <c r="AA136" i="6"/>
  <c r="AA36" i="6"/>
  <c r="AA5" i="6" s="1"/>
  <c r="AA12" i="6" s="1"/>
  <c r="S59" i="6"/>
  <c r="S139" i="6"/>
  <c r="W144" i="6"/>
  <c r="Q66" i="6"/>
  <c r="Q146" i="6"/>
  <c r="W52" i="6"/>
  <c r="W6" i="6" s="1"/>
  <c r="W18" i="6" s="1"/>
  <c r="U61" i="6"/>
  <c r="K4" i="7"/>
  <c r="K7" i="7" s="1"/>
  <c r="K14" i="7"/>
  <c r="G46" i="9"/>
  <c r="J46" i="9" s="1"/>
  <c r="M46" i="9" s="1"/>
  <c r="H46" i="9"/>
  <c r="K46" i="9" s="1"/>
  <c r="T4" i="6"/>
  <c r="S17" i="6"/>
  <c r="AB136" i="6"/>
  <c r="AA137" i="6"/>
  <c r="X144" i="6"/>
  <c r="V145" i="6"/>
  <c r="AN52" i="6"/>
  <c r="AM44" i="6"/>
  <c r="AL44" i="6"/>
  <c r="AK44" i="6"/>
  <c r="M64" i="6"/>
  <c r="U63" i="6"/>
  <c r="H4" i="7"/>
  <c r="H7" i="7" s="1"/>
  <c r="R49" i="7"/>
  <c r="R6" i="7" s="1"/>
  <c r="T75" i="8"/>
  <c r="T91" i="8" s="1"/>
  <c r="T107" i="8" s="1"/>
  <c r="W58" i="6"/>
  <c r="W36" i="6"/>
  <c r="W5" i="6" s="1"/>
  <c r="F166" i="9"/>
  <c r="I166" i="9" s="1"/>
  <c r="L166" i="9" s="1"/>
  <c r="Y144" i="6"/>
  <c r="W116" i="6"/>
  <c r="T143" i="6"/>
  <c r="AK23" i="7"/>
  <c r="V71" i="7"/>
  <c r="V87" i="7" s="1"/>
  <c r="G19" i="9"/>
  <c r="J19" i="9" s="1"/>
  <c r="M19" i="9" s="1"/>
  <c r="H19" i="9"/>
  <c r="K19" i="9" s="1"/>
  <c r="Q25" i="9"/>
  <c r="P120" i="5"/>
  <c r="X170" i="5"/>
  <c r="R171" i="5"/>
  <c r="R127" i="5"/>
  <c r="AN127" i="5"/>
  <c r="V130" i="5"/>
  <c r="W122" i="5"/>
  <c r="P164" i="5"/>
  <c r="AD36" i="6"/>
  <c r="AD5" i="6" s="1"/>
  <c r="AD12" i="6" s="1"/>
  <c r="AC137" i="6"/>
  <c r="V139" i="6"/>
  <c r="V59" i="6"/>
  <c r="V68" i="6" s="1"/>
  <c r="V8" i="6" s="1"/>
  <c r="AA143" i="6"/>
  <c r="Z144" i="6"/>
  <c r="AL43" i="6"/>
  <c r="W63" i="6"/>
  <c r="X116" i="6"/>
  <c r="J14" i="7"/>
  <c r="AL23" i="7"/>
  <c r="AA122" i="5"/>
  <c r="Y170" i="5"/>
  <c r="Y155" i="5"/>
  <c r="S171" i="5"/>
  <c r="AM131" i="5"/>
  <c r="BN53" i="5"/>
  <c r="Q120" i="5"/>
  <c r="V159" i="5"/>
  <c r="V17" i="6"/>
  <c r="W4" i="6"/>
  <c r="AE36" i="6"/>
  <c r="AE5" i="6" s="1"/>
  <c r="AE12" i="6" s="1"/>
  <c r="AE136" i="6"/>
  <c r="AB143" i="6"/>
  <c r="AA144" i="6"/>
  <c r="T59" i="6"/>
  <c r="W77" i="7"/>
  <c r="W93" i="7" s="1"/>
  <c r="AA116" i="6"/>
  <c r="S33" i="7"/>
  <c r="S5" i="7" s="1"/>
  <c r="S7" i="7" s="1"/>
  <c r="S12" i="7" s="1"/>
  <c r="Z38" i="7"/>
  <c r="Z37" i="7"/>
  <c r="AA37" i="7" s="1"/>
  <c r="O15" i="8"/>
  <c r="P14" i="8"/>
  <c r="O14" i="8"/>
  <c r="P4" i="8"/>
  <c r="V100" i="6"/>
  <c r="M49" i="7"/>
  <c r="M6" i="7" s="1"/>
  <c r="M7" i="7" s="1"/>
  <c r="T74" i="7"/>
  <c r="T90" i="7" s="1"/>
  <c r="U69" i="7"/>
  <c r="T13" i="7"/>
  <c r="AL27" i="8"/>
  <c r="M81" i="8"/>
  <c r="Y56" i="6"/>
  <c r="U17" i="6"/>
  <c r="R57" i="6"/>
  <c r="AC145" i="6"/>
  <c r="S147" i="6"/>
  <c r="S67" i="6"/>
  <c r="P63" i="6"/>
  <c r="T65" i="6"/>
  <c r="V66" i="6"/>
  <c r="X67" i="6"/>
  <c r="W100" i="6"/>
  <c r="R137" i="6"/>
  <c r="AK32" i="7"/>
  <c r="N49" i="7"/>
  <c r="N6" i="7" s="1"/>
  <c r="Q65" i="7"/>
  <c r="O129" i="7"/>
  <c r="O11" i="7" s="1"/>
  <c r="O12" i="7" s="1"/>
  <c r="V69" i="7"/>
  <c r="I46" i="9"/>
  <c r="L46" i="9" s="1"/>
  <c r="R65" i="7"/>
  <c r="P65" i="7"/>
  <c r="W69" i="7"/>
  <c r="O33" i="8"/>
  <c r="O5" i="8" s="1"/>
  <c r="AM24" i="8"/>
  <c r="AL24" i="8"/>
  <c r="AK24" i="8"/>
  <c r="W33" i="8"/>
  <c r="W5" i="8" s="1"/>
  <c r="G12" i="9"/>
  <c r="J12" i="9" s="1"/>
  <c r="M12" i="9" s="1"/>
  <c r="H12" i="9"/>
  <c r="K12" i="9" s="1"/>
  <c r="D62" i="9"/>
  <c r="W17" i="6"/>
  <c r="Y141" i="6"/>
  <c r="T142" i="6"/>
  <c r="AL31" i="6"/>
  <c r="AL127" i="5" s="1"/>
  <c r="AK31" i="6"/>
  <c r="AK127" i="5" s="1"/>
  <c r="N62" i="6"/>
  <c r="X66" i="6"/>
  <c r="Q132" i="6"/>
  <c r="R133" i="6" s="1"/>
  <c r="P132" i="6"/>
  <c r="AL30" i="7"/>
  <c r="AM30" i="7"/>
  <c r="AM31" i="7"/>
  <c r="AL31" i="7"/>
  <c r="AK31" i="7"/>
  <c r="W74" i="7"/>
  <c r="W90" i="7" s="1"/>
  <c r="X4" i="7"/>
  <c r="W14" i="7"/>
  <c r="AN24" i="8"/>
  <c r="AN33" i="8" s="1"/>
  <c r="X33" i="8"/>
  <c r="O62" i="6"/>
  <c r="U13" i="7"/>
  <c r="X74" i="7"/>
  <c r="X90" i="7" s="1"/>
  <c r="X106" i="7" s="1"/>
  <c r="AN106" i="7" s="1"/>
  <c r="T75" i="7"/>
  <c r="T91" i="7" s="1"/>
  <c r="X71" i="8"/>
  <c r="X87" i="8" s="1"/>
  <c r="X103" i="8" s="1"/>
  <c r="AN103" i="8" s="1"/>
  <c r="X136" i="6"/>
  <c r="AG140" i="6"/>
  <c r="AB141" i="6"/>
  <c r="X147" i="6"/>
  <c r="AN36" i="6"/>
  <c r="S49" i="7"/>
  <c r="S6" i="7" s="1"/>
  <c r="N33" i="8"/>
  <c r="N5" i="8" s="1"/>
  <c r="AM26" i="8"/>
  <c r="AL26" i="8"/>
  <c r="AK26" i="8"/>
  <c r="AD146" i="6"/>
  <c r="F169" i="9"/>
  <c r="I169" i="9" s="1"/>
  <c r="L169" i="9" s="1"/>
  <c r="Y147" i="6"/>
  <c r="AN33" i="7"/>
  <c r="W75" i="7"/>
  <c r="W91" i="7" s="1"/>
  <c r="M7" i="8"/>
  <c r="S13" i="7"/>
  <c r="D53" i="9"/>
  <c r="I53" i="9"/>
  <c r="L53" i="9" s="1"/>
  <c r="Q62" i="9"/>
  <c r="R133" i="9"/>
  <c r="R134" i="9" s="1"/>
  <c r="I123" i="9"/>
  <c r="L123" i="9" s="1"/>
  <c r="C14" i="7"/>
  <c r="T49" i="7"/>
  <c r="T6" i="7" s="1"/>
  <c r="AA38" i="7"/>
  <c r="I65" i="7"/>
  <c r="Y4" i="7"/>
  <c r="AM31" i="8"/>
  <c r="AL31" i="8"/>
  <c r="H144" i="9"/>
  <c r="K144" i="9" s="1"/>
  <c r="G144" i="9"/>
  <c r="U136" i="6"/>
  <c r="AL26" i="6"/>
  <c r="AL122" i="5" s="1"/>
  <c r="T137" i="6"/>
  <c r="X141" i="6"/>
  <c r="AB145" i="6"/>
  <c r="R100" i="6"/>
  <c r="T100" i="6"/>
  <c r="AE116" i="6"/>
  <c r="M132" i="6"/>
  <c r="N133" i="6" s="1"/>
  <c r="D14" i="7"/>
  <c r="U49" i="7"/>
  <c r="U6" i="7" s="1"/>
  <c r="J65" i="7"/>
  <c r="P81" i="7"/>
  <c r="I14" i="8"/>
  <c r="D149" i="9"/>
  <c r="W33" i="7"/>
  <c r="W5" i="7" s="1"/>
  <c r="W17" i="7" s="1"/>
  <c r="V49" i="7"/>
  <c r="V6" i="7" s="1"/>
  <c r="K65" i="7"/>
  <c r="Q81" i="7"/>
  <c r="I4" i="8"/>
  <c r="I7" i="8" s="1"/>
  <c r="H15" i="8"/>
  <c r="Y69" i="8"/>
  <c r="Y101" i="8" s="1"/>
  <c r="R62" i="9"/>
  <c r="AM50" i="6"/>
  <c r="AL50" i="6"/>
  <c r="AK50" i="6"/>
  <c r="AM51" i="6"/>
  <c r="N63" i="6"/>
  <c r="P64" i="6"/>
  <c r="T66" i="6"/>
  <c r="V67" i="6"/>
  <c r="AG116" i="6"/>
  <c r="F14" i="7"/>
  <c r="W49" i="7"/>
  <c r="W6" i="7" s="1"/>
  <c r="J4" i="8"/>
  <c r="J7" i="8" s="1"/>
  <c r="I15" i="8"/>
  <c r="U49" i="8"/>
  <c r="U6" i="8" s="1"/>
  <c r="AA141" i="6"/>
  <c r="Q63" i="6"/>
  <c r="AE145" i="6"/>
  <c r="U36" i="6"/>
  <c r="U5" i="6" s="1"/>
  <c r="U100" i="6"/>
  <c r="AH116" i="6"/>
  <c r="H14" i="7"/>
  <c r="I4" i="7"/>
  <c r="I7" i="7" s="1"/>
  <c r="J15" i="8"/>
  <c r="K4" i="8"/>
  <c r="K7" i="8" s="1"/>
  <c r="AL25" i="8"/>
  <c r="AK25" i="8"/>
  <c r="W73" i="8"/>
  <c r="W89" i="8" s="1"/>
  <c r="W105" i="8" s="1"/>
  <c r="I121" i="9"/>
  <c r="L121" i="9" s="1"/>
  <c r="G121" i="9"/>
  <c r="O65" i="7"/>
  <c r="M65" i="7"/>
  <c r="L14" i="8"/>
  <c r="L15" i="8"/>
  <c r="AN25" i="8"/>
  <c r="W77" i="8"/>
  <c r="W93" i="8" s="1"/>
  <c r="W109" i="8" s="1"/>
  <c r="D105" i="9"/>
  <c r="H117" i="9"/>
  <c r="K117" i="9" s="1"/>
  <c r="G117" i="9"/>
  <c r="V72" i="7"/>
  <c r="V88" i="7" s="1"/>
  <c r="S76" i="7"/>
  <c r="S92" i="7" s="1"/>
  <c r="S78" i="7"/>
  <c r="S94" i="7" s="1"/>
  <c r="M14" i="8"/>
  <c r="N4" i="8"/>
  <c r="N7" i="8" s="1"/>
  <c r="M15" i="8"/>
  <c r="I25" i="9"/>
  <c r="L25" i="9" s="1"/>
  <c r="G25" i="9"/>
  <c r="J25" i="9" s="1"/>
  <c r="M25" i="9" s="1"/>
  <c r="G113" i="9"/>
  <c r="J113" i="9" s="1"/>
  <c r="M113" i="9" s="1"/>
  <c r="Q121" i="9"/>
  <c r="Q122" i="9" s="1"/>
  <c r="G158" i="9"/>
  <c r="H158" i="9"/>
  <c r="K158" i="9" s="1"/>
  <c r="I105" i="9"/>
  <c r="L105" i="9" s="1"/>
  <c r="G105" i="9"/>
  <c r="P120" i="8"/>
  <c r="P120" i="7"/>
  <c r="U75" i="7"/>
  <c r="U91" i="7" s="1"/>
  <c r="G65" i="8"/>
  <c r="E65" i="8"/>
  <c r="L3" i="9"/>
  <c r="D3" i="9"/>
  <c r="L14" i="7"/>
  <c r="R33" i="7"/>
  <c r="R5" i="7" s="1"/>
  <c r="R7" i="7" s="1"/>
  <c r="V75" i="7"/>
  <c r="V91" i="7" s="1"/>
  <c r="Q49" i="8"/>
  <c r="Q6" i="8" s="1"/>
  <c r="Q7" i="8" s="1"/>
  <c r="I21" i="9"/>
  <c r="L21" i="9" s="1"/>
  <c r="G21" i="9"/>
  <c r="J21" i="9" s="1"/>
  <c r="M21" i="9" s="1"/>
  <c r="G35" i="9"/>
  <c r="J35" i="9" s="1"/>
  <c r="M35" i="9" s="1"/>
  <c r="H35" i="9"/>
  <c r="K35" i="9" s="1"/>
  <c r="D126" i="9"/>
  <c r="U141" i="6"/>
  <c r="AG143" i="6"/>
  <c r="AB144" i="6"/>
  <c r="W66" i="6"/>
  <c r="W67" i="6"/>
  <c r="AM22" i="7"/>
  <c r="AM33" i="7" s="1"/>
  <c r="AL22" i="7"/>
  <c r="AK22" i="7"/>
  <c r="AK33" i="7" s="1"/>
  <c r="T70" i="7"/>
  <c r="T86" i="7" s="1"/>
  <c r="X71" i="7"/>
  <c r="X87" i="7" s="1"/>
  <c r="X103" i="7" s="1"/>
  <c r="AN103" i="7" s="1"/>
  <c r="AL33" i="8"/>
  <c r="H58" i="9"/>
  <c r="K58" i="9" s="1"/>
  <c r="G58" i="9"/>
  <c r="G69" i="9"/>
  <c r="H123" i="9"/>
  <c r="K123" i="9" s="1"/>
  <c r="Q133" i="9"/>
  <c r="U137" i="6"/>
  <c r="AB140" i="6"/>
  <c r="AD144" i="6"/>
  <c r="AL35" i="6"/>
  <c r="AL131" i="5" s="1"/>
  <c r="AK35" i="6"/>
  <c r="AK131" i="5" s="1"/>
  <c r="U116" i="6"/>
  <c r="X33" i="7"/>
  <c r="AM23" i="7"/>
  <c r="T79" i="8"/>
  <c r="T95" i="8" s="1"/>
  <c r="T111" i="8" s="1"/>
  <c r="S80" i="8"/>
  <c r="S96" i="8" s="1"/>
  <c r="S112" i="8" s="1"/>
  <c r="H18" i="9"/>
  <c r="K18" i="9" s="1"/>
  <c r="G123" i="9"/>
  <c r="J123" i="9" s="1"/>
  <c r="M123" i="9" s="1"/>
  <c r="I158" i="9"/>
  <c r="L158" i="9" s="1"/>
  <c r="W132" i="6"/>
  <c r="P15" i="7"/>
  <c r="P14" i="7"/>
  <c r="S77" i="7"/>
  <c r="S93" i="7" s="1"/>
  <c r="L33" i="8"/>
  <c r="L5" i="8" s="1"/>
  <c r="V49" i="8"/>
  <c r="V6" i="8" s="1"/>
  <c r="Y41" i="8"/>
  <c r="O65" i="8"/>
  <c r="H65" i="8"/>
  <c r="F65" i="8"/>
  <c r="H11" i="9"/>
  <c r="K11" i="9" s="1"/>
  <c r="E65" i="7"/>
  <c r="C65" i="7"/>
  <c r="X72" i="7"/>
  <c r="X88" i="7" s="1"/>
  <c r="X104" i="7" s="1"/>
  <c r="AN104" i="7" s="1"/>
  <c r="M33" i="8"/>
  <c r="M5" i="8" s="1"/>
  <c r="W49" i="8"/>
  <c r="W6" i="8" s="1"/>
  <c r="P65" i="8"/>
  <c r="N65" i="8"/>
  <c r="L65" i="8"/>
  <c r="J65" i="8"/>
  <c r="W72" i="8"/>
  <c r="W88" i="8" s="1"/>
  <c r="W104" i="8" s="1"/>
  <c r="V79" i="8"/>
  <c r="V95" i="8" s="1"/>
  <c r="V111" i="8" s="1"/>
  <c r="D134" i="9"/>
  <c r="I134" i="9"/>
  <c r="L134" i="9" s="1"/>
  <c r="P33" i="8"/>
  <c r="P5" i="8" s="1"/>
  <c r="Q65" i="8"/>
  <c r="X75" i="8"/>
  <c r="Q49" i="9"/>
  <c r="Q50" i="9" s="1"/>
  <c r="I147" i="9"/>
  <c r="L147" i="9" s="1"/>
  <c r="R13" i="9"/>
  <c r="R14" i="9" s="1"/>
  <c r="D59" i="9"/>
  <c r="D95" i="9"/>
  <c r="I110" i="9"/>
  <c r="L110" i="9" s="1"/>
  <c r="AM27" i="7"/>
  <c r="AK27" i="7"/>
  <c r="T76" i="7"/>
  <c r="T92" i="7" s="1"/>
  <c r="L49" i="7"/>
  <c r="L6" i="7" s="1"/>
  <c r="O81" i="7"/>
  <c r="T4" i="8"/>
  <c r="S14" i="8"/>
  <c r="W78" i="8"/>
  <c r="W94" i="8" s="1"/>
  <c r="W110" i="8" s="1"/>
  <c r="S49" i="8"/>
  <c r="S6" i="8" s="1"/>
  <c r="T65" i="8"/>
  <c r="G13" i="9"/>
  <c r="H33" i="9"/>
  <c r="K33" i="9" s="1"/>
  <c r="G33" i="9"/>
  <c r="J33" i="9" s="1"/>
  <c r="M33" i="9" s="1"/>
  <c r="G59" i="9"/>
  <c r="H59" i="9"/>
  <c r="K59" i="9" s="1"/>
  <c r="N85" i="9"/>
  <c r="D85" i="9"/>
  <c r="T14" i="8"/>
  <c r="T33" i="8"/>
  <c r="T5" i="8" s="1"/>
  <c r="U75" i="8"/>
  <c r="U91" i="8" s="1"/>
  <c r="U107" i="8" s="1"/>
  <c r="AK27" i="8"/>
  <c r="X78" i="8"/>
  <c r="AN30" i="8"/>
  <c r="AN31" i="8"/>
  <c r="X79" i="8"/>
  <c r="P49" i="8"/>
  <c r="P6" i="8" s="1"/>
  <c r="I95" i="9"/>
  <c r="L95" i="9" s="1"/>
  <c r="S69" i="7"/>
  <c r="P49" i="7"/>
  <c r="P6" i="7" s="1"/>
  <c r="P7" i="7" s="1"/>
  <c r="Q129" i="7"/>
  <c r="Q11" i="7" s="1"/>
  <c r="V73" i="7"/>
  <c r="V89" i="7" s="1"/>
  <c r="T77" i="7"/>
  <c r="T93" i="7" s="1"/>
  <c r="V33" i="8"/>
  <c r="V5" i="8" s="1"/>
  <c r="V17" i="8" s="1"/>
  <c r="R49" i="8"/>
  <c r="R6" i="8" s="1"/>
  <c r="AL21" i="7"/>
  <c r="T65" i="7"/>
  <c r="W73" i="7"/>
  <c r="W89" i="7" s="1"/>
  <c r="R7" i="8"/>
  <c r="U74" i="8"/>
  <c r="U90" i="8" s="1"/>
  <c r="U106" i="8" s="1"/>
  <c r="X65" i="8"/>
  <c r="H3" i="9"/>
  <c r="K3" i="9" s="1"/>
  <c r="G3" i="9"/>
  <c r="Q13" i="9"/>
  <c r="Q14" i="9" s="1"/>
  <c r="G27" i="9"/>
  <c r="J27" i="9" s="1"/>
  <c r="M27" i="9" s="1"/>
  <c r="R85" i="9"/>
  <c r="R86" i="9" s="1"/>
  <c r="I74" i="9"/>
  <c r="L74" i="9" s="1"/>
  <c r="H85" i="9"/>
  <c r="K85" i="9" s="1"/>
  <c r="G107" i="9"/>
  <c r="H107" i="9"/>
  <c r="K107" i="9" s="1"/>
  <c r="H99" i="9"/>
  <c r="K99" i="9" s="1"/>
  <c r="H155" i="9"/>
  <c r="K155" i="9" s="1"/>
  <c r="G155" i="9"/>
  <c r="U65" i="8"/>
  <c r="S79" i="8"/>
  <c r="S95" i="8" s="1"/>
  <c r="R25" i="9"/>
  <c r="R38" i="9" s="1"/>
  <c r="H49" i="9"/>
  <c r="K49" i="9" s="1"/>
  <c r="N49" i="9"/>
  <c r="N61" i="9"/>
  <c r="D69" i="9"/>
  <c r="I89" i="9"/>
  <c r="L89" i="9" s="1"/>
  <c r="R109" i="9"/>
  <c r="R110" i="9" s="1"/>
  <c r="I99" i="9"/>
  <c r="L99" i="9" s="1"/>
  <c r="S65" i="7"/>
  <c r="N81" i="7"/>
  <c r="U74" i="7"/>
  <c r="U90" i="7" s="1"/>
  <c r="AM21" i="8"/>
  <c r="S69" i="8"/>
  <c r="AM22" i="8"/>
  <c r="T49" i="8"/>
  <c r="T6" i="8" s="1"/>
  <c r="H93" i="9"/>
  <c r="K93" i="9" s="1"/>
  <c r="G93" i="9"/>
  <c r="G118" i="9"/>
  <c r="O121" i="9"/>
  <c r="G149" i="9"/>
  <c r="H149" i="9"/>
  <c r="K149" i="9" s="1"/>
  <c r="V74" i="7"/>
  <c r="V90" i="7" s="1"/>
  <c r="S71" i="8"/>
  <c r="S87" i="8" s="1"/>
  <c r="S103" i="8" s="1"/>
  <c r="V71" i="8"/>
  <c r="V87" i="8" s="1"/>
  <c r="V103" i="8" s="1"/>
  <c r="U33" i="8"/>
  <c r="U5" i="8" s="1"/>
  <c r="U7" i="8" s="1"/>
  <c r="U12" i="8" s="1"/>
  <c r="S76" i="8"/>
  <c r="S92" i="8" s="1"/>
  <c r="S108" i="8" s="1"/>
  <c r="W80" i="8"/>
  <c r="W96" i="8" s="1"/>
  <c r="W112" i="8" s="1"/>
  <c r="V69" i="8"/>
  <c r="U13" i="8"/>
  <c r="H7" i="9"/>
  <c r="K7" i="9" s="1"/>
  <c r="G7" i="9"/>
  <c r="L81" i="8"/>
  <c r="T76" i="8"/>
  <c r="T92" i="8" s="1"/>
  <c r="T108" i="8" s="1"/>
  <c r="T77" i="8"/>
  <c r="T93" i="8" s="1"/>
  <c r="T109" i="8" s="1"/>
  <c r="S33" i="8"/>
  <c r="S5" i="8" s="1"/>
  <c r="Y42" i="8"/>
  <c r="N81" i="8"/>
  <c r="V76" i="8"/>
  <c r="V92" i="8" s="1"/>
  <c r="V108" i="8" s="1"/>
  <c r="H53" i="9"/>
  <c r="K53" i="9" s="1"/>
  <c r="R97" i="9"/>
  <c r="I87" i="9"/>
  <c r="L87" i="9" s="1"/>
  <c r="U72" i="8"/>
  <c r="U88" i="8" s="1"/>
  <c r="U104" i="8" s="1"/>
  <c r="S73" i="8"/>
  <c r="S89" i="8" s="1"/>
  <c r="S105" i="8" s="1"/>
  <c r="AM25" i="8"/>
  <c r="AM27" i="8"/>
  <c r="AL30" i="8"/>
  <c r="AM30" i="8"/>
  <c r="AK30" i="8"/>
  <c r="Z37" i="8"/>
  <c r="K65" i="8"/>
  <c r="W76" i="8"/>
  <c r="W92" i="8" s="1"/>
  <c r="W108" i="8" s="1"/>
  <c r="G36" i="9"/>
  <c r="I108" i="9"/>
  <c r="L108" i="9" s="1"/>
  <c r="X145" i="6"/>
  <c r="Y72" i="7"/>
  <c r="Y88" i="7" s="1"/>
  <c r="Y104" i="7" s="1"/>
  <c r="W72" i="7"/>
  <c r="W88" i="7" s="1"/>
  <c r="S78" i="8"/>
  <c r="S94" i="8" s="1"/>
  <c r="S110" i="8" s="1"/>
  <c r="G11" i="9"/>
  <c r="J11" i="9" s="1"/>
  <c r="M11" i="9" s="1"/>
  <c r="H23" i="9"/>
  <c r="K23" i="9" s="1"/>
  <c r="I36" i="9"/>
  <c r="L36" i="9" s="1"/>
  <c r="O61" i="9"/>
  <c r="D61" i="9"/>
  <c r="H74" i="9"/>
  <c r="K74" i="9" s="1"/>
  <c r="G74" i="9"/>
  <c r="Q85" i="9"/>
  <c r="G108" i="9"/>
  <c r="J111" i="9"/>
  <c r="M111" i="9" s="1"/>
  <c r="I141" i="9"/>
  <c r="L141" i="9" s="1"/>
  <c r="N145" i="9"/>
  <c r="H145" i="9"/>
  <c r="K145" i="9" s="1"/>
  <c r="H60" i="9"/>
  <c r="K60" i="9" s="1"/>
  <c r="G60" i="9"/>
  <c r="H75" i="9"/>
  <c r="K75" i="9" s="1"/>
  <c r="G75" i="9"/>
  <c r="J75" i="9" s="1"/>
  <c r="M75" i="9" s="1"/>
  <c r="I84" i="9"/>
  <c r="L84" i="9" s="1"/>
  <c r="H138" i="9"/>
  <c r="K138" i="9" s="1"/>
  <c r="D152" i="9"/>
  <c r="J152" i="9" s="1"/>
  <c r="M152" i="9" s="1"/>
  <c r="D155" i="9"/>
  <c r="L66" i="11"/>
  <c r="V73" i="8"/>
  <c r="V89" i="8" s="1"/>
  <c r="V105" i="8" s="1"/>
  <c r="U77" i="8"/>
  <c r="U93" i="8" s="1"/>
  <c r="U109" i="8" s="1"/>
  <c r="D14" i="9"/>
  <c r="D44" i="9"/>
  <c r="J44" i="9" s="1"/>
  <c r="M44" i="9" s="1"/>
  <c r="H67" i="9"/>
  <c r="K67" i="9" s="1"/>
  <c r="N97" i="9"/>
  <c r="H97" i="9"/>
  <c r="K97" i="9" s="1"/>
  <c r="N109" i="9"/>
  <c r="I149" i="9"/>
  <c r="L149" i="9" s="1"/>
  <c r="L106" i="11"/>
  <c r="H14" i="9"/>
  <c r="K14" i="9" s="1"/>
  <c r="G14" i="9"/>
  <c r="H70" i="9"/>
  <c r="K70" i="9" s="1"/>
  <c r="G70" i="9"/>
  <c r="O97" i="9"/>
  <c r="O109" i="9"/>
  <c r="H115" i="9"/>
  <c r="K115" i="9" s="1"/>
  <c r="G115" i="9"/>
  <c r="H146" i="9"/>
  <c r="K146" i="9" s="1"/>
  <c r="Q157" i="9"/>
  <c r="H156" i="9"/>
  <c r="K156" i="9" s="1"/>
  <c r="G156" i="9"/>
  <c r="J156" i="9" s="1"/>
  <c r="M156" i="9" s="1"/>
  <c r="V70" i="8"/>
  <c r="V86" i="8" s="1"/>
  <c r="V102" i="8" s="1"/>
  <c r="D9" i="9"/>
  <c r="D55" i="9"/>
  <c r="J55" i="9" s="1"/>
  <c r="M55" i="9" s="1"/>
  <c r="I61" i="9"/>
  <c r="L61" i="9" s="1"/>
  <c r="G61" i="9"/>
  <c r="D97" i="9"/>
  <c r="P109" i="9" s="1"/>
  <c r="R121" i="9"/>
  <c r="D133" i="9"/>
  <c r="O133" i="9"/>
  <c r="H136" i="9"/>
  <c r="K136" i="9" s="1"/>
  <c r="G136" i="9"/>
  <c r="R157" i="9"/>
  <c r="S74" i="8"/>
  <c r="S90" i="8" s="1"/>
  <c r="S106" i="8" s="1"/>
  <c r="H17" i="9"/>
  <c r="K17" i="9" s="1"/>
  <c r="G17" i="9"/>
  <c r="H28" i="9"/>
  <c r="K28" i="9" s="1"/>
  <c r="G28" i="9"/>
  <c r="G39" i="9"/>
  <c r="H64" i="9"/>
  <c r="K64" i="9" s="1"/>
  <c r="G64" i="9"/>
  <c r="G85" i="9"/>
  <c r="H103" i="9"/>
  <c r="K103" i="9" s="1"/>
  <c r="G103" i="9"/>
  <c r="I115" i="9"/>
  <c r="L115" i="9" s="1"/>
  <c r="G146" i="9"/>
  <c r="H153" i="9"/>
  <c r="K153" i="9" s="1"/>
  <c r="G153" i="9"/>
  <c r="D160" i="9"/>
  <c r="J160" i="9" s="1"/>
  <c r="M160" i="9" s="1"/>
  <c r="X77" i="8"/>
  <c r="G9" i="9"/>
  <c r="I17" i="9"/>
  <c r="L17" i="9" s="1"/>
  <c r="Q73" i="9"/>
  <c r="Q74" i="9" s="1"/>
  <c r="Q109" i="9"/>
  <c r="Q110" i="9" s="1"/>
  <c r="G119" i="9"/>
  <c r="J119" i="9" s="1"/>
  <c r="M119" i="9" s="1"/>
  <c r="H119" i="9"/>
  <c r="K119" i="9" s="1"/>
  <c r="D128" i="9"/>
  <c r="J128" i="9" s="1"/>
  <c r="M128" i="9" s="1"/>
  <c r="D157" i="9"/>
  <c r="J157" i="9" s="1"/>
  <c r="M157" i="9" s="1"/>
  <c r="O169" i="9"/>
  <c r="O157" i="9"/>
  <c r="V74" i="8"/>
  <c r="V90" i="8" s="1"/>
  <c r="V106" i="8" s="1"/>
  <c r="J77" i="9"/>
  <c r="M77" i="9" s="1"/>
  <c r="N133" i="9"/>
  <c r="X76" i="8"/>
  <c r="V78" i="8"/>
  <c r="V94" i="8" s="1"/>
  <c r="V110" i="8" s="1"/>
  <c r="G71" i="9"/>
  <c r="H42" i="9"/>
  <c r="K42" i="9" s="1"/>
  <c r="D49" i="9"/>
  <c r="J49" i="9" s="1"/>
  <c r="M49" i="9" s="1"/>
  <c r="H69" i="9"/>
  <c r="K69" i="9" s="1"/>
  <c r="I97" i="9"/>
  <c r="L97" i="9" s="1"/>
  <c r="G97" i="9"/>
  <c r="I133" i="9"/>
  <c r="L133" i="9" s="1"/>
  <c r="G133" i="9"/>
  <c r="L87" i="11"/>
  <c r="L43" i="11"/>
  <c r="S77" i="8"/>
  <c r="S93" i="8" s="1"/>
  <c r="I12" i="9"/>
  <c r="L12" i="9" s="1"/>
  <c r="H40" i="9"/>
  <c r="K40" i="9" s="1"/>
  <c r="G40" i="9"/>
  <c r="J40" i="9" s="1"/>
  <c r="M40" i="9" s="1"/>
  <c r="O73" i="9"/>
  <c r="I103" i="9"/>
  <c r="L103" i="9" s="1"/>
  <c r="O145" i="9"/>
  <c r="D145" i="9"/>
  <c r="I153" i="9"/>
  <c r="L153" i="9" s="1"/>
  <c r="D7" i="9"/>
  <c r="D73" i="9"/>
  <c r="D137" i="9"/>
  <c r="J137" i="9" s="1"/>
  <c r="M137" i="9" s="1"/>
  <c r="L62" i="11"/>
  <c r="L90" i="11"/>
  <c r="H62" i="9"/>
  <c r="K62" i="9" s="1"/>
  <c r="G62" i="9"/>
  <c r="H106" i="9"/>
  <c r="K106" i="9" s="1"/>
  <c r="G106" i="9"/>
  <c r="J109" i="9"/>
  <c r="M109" i="9" s="1"/>
  <c r="R145" i="9"/>
  <c r="R146" i="9" s="1"/>
  <c r="I145" i="9"/>
  <c r="L145" i="9" s="1"/>
  <c r="G145" i="9"/>
  <c r="D161" i="9"/>
  <c r="I161" i="9"/>
  <c r="L161" i="9" s="1"/>
  <c r="V77" i="8"/>
  <c r="V93" i="8" s="1"/>
  <c r="V109" i="8" s="1"/>
  <c r="H26" i="9"/>
  <c r="K26" i="9" s="1"/>
  <c r="G26" i="9"/>
  <c r="D60" i="9"/>
  <c r="R73" i="9"/>
  <c r="R74" i="9" s="1"/>
  <c r="I73" i="9"/>
  <c r="L73" i="9" s="1"/>
  <c r="D114" i="9"/>
  <c r="G134" i="9"/>
  <c r="D140" i="9"/>
  <c r="J140" i="9" s="1"/>
  <c r="M140" i="9" s="1"/>
  <c r="Q145" i="9"/>
  <c r="H148" i="9"/>
  <c r="K148" i="9" s="1"/>
  <c r="G148" i="9"/>
  <c r="G2" i="9"/>
  <c r="H5" i="9"/>
  <c r="K5" i="9" s="1"/>
  <c r="G29" i="9"/>
  <c r="J29" i="9" s="1"/>
  <c r="M29" i="9" s="1"/>
  <c r="H50" i="9"/>
  <c r="K50" i="9" s="1"/>
  <c r="H52" i="9"/>
  <c r="K52" i="9" s="1"/>
  <c r="G52" i="9"/>
  <c r="H81" i="9"/>
  <c r="K81" i="9" s="1"/>
  <c r="H88" i="9"/>
  <c r="K88" i="9" s="1"/>
  <c r="G88" i="9"/>
  <c r="J88" i="9" s="1"/>
  <c r="M88" i="9" s="1"/>
  <c r="I93" i="9"/>
  <c r="L93" i="9" s="1"/>
  <c r="I117" i="9"/>
  <c r="L117" i="9" s="1"/>
  <c r="G132" i="9"/>
  <c r="J132" i="9" s="1"/>
  <c r="M132" i="9" s="1"/>
  <c r="D143" i="9"/>
  <c r="J143" i="9" s="1"/>
  <c r="M143" i="9" s="1"/>
  <c r="J161" i="9"/>
  <c r="M161" i="9" s="1"/>
  <c r="M65" i="8"/>
  <c r="S75" i="8"/>
  <c r="S91" i="8" s="1"/>
  <c r="S107" i="8" s="1"/>
  <c r="D13" i="9"/>
  <c r="P13" i="9" s="1"/>
  <c r="J57" i="9"/>
  <c r="M57" i="9" s="1"/>
  <c r="H76" i="9"/>
  <c r="K76" i="9" s="1"/>
  <c r="G76" i="9"/>
  <c r="I81" i="9"/>
  <c r="L81" i="9" s="1"/>
  <c r="H96" i="9"/>
  <c r="K96" i="9" s="1"/>
  <c r="G96" i="9"/>
  <c r="H151" i="9"/>
  <c r="K151" i="9" s="1"/>
  <c r="G151" i="9"/>
  <c r="H55" i="9"/>
  <c r="K55" i="9" s="1"/>
  <c r="I101" i="9"/>
  <c r="L101" i="9" s="1"/>
  <c r="I120" i="9"/>
  <c r="L120" i="9" s="1"/>
  <c r="N169" i="9"/>
  <c r="N157" i="9"/>
  <c r="I67" i="9"/>
  <c r="L67" i="9" s="1"/>
  <c r="H124" i="9"/>
  <c r="K124" i="9" s="1"/>
  <c r="G124" i="9"/>
  <c r="J124" i="9" s="1"/>
  <c r="M124" i="9" s="1"/>
  <c r="H157" i="9"/>
  <c r="K157" i="9" s="1"/>
  <c r="D159" i="9"/>
  <c r="I129" i="9"/>
  <c r="L129" i="9" s="1"/>
  <c r="D138" i="9"/>
  <c r="I157" i="9"/>
  <c r="L157" i="9" s="1"/>
  <c r="H159" i="9"/>
  <c r="K159" i="9" s="1"/>
  <c r="L25" i="11"/>
  <c r="L126" i="11"/>
  <c r="T78" i="8"/>
  <c r="T94" i="8" s="1"/>
  <c r="T110" i="8" s="1"/>
  <c r="D32" i="9"/>
  <c r="J32" i="9" s="1"/>
  <c r="M32" i="9" s="1"/>
  <c r="H38" i="9"/>
  <c r="K38" i="9" s="1"/>
  <c r="D47" i="9"/>
  <c r="D56" i="9"/>
  <c r="J56" i="9" s="1"/>
  <c r="M56" i="9" s="1"/>
  <c r="G99" i="9"/>
  <c r="H122" i="9"/>
  <c r="K122" i="9" s="1"/>
  <c r="H150" i="9"/>
  <c r="K150" i="9" s="1"/>
  <c r="H16" i="9"/>
  <c r="K16" i="9" s="1"/>
  <c r="G16" i="9"/>
  <c r="J16" i="9" s="1"/>
  <c r="M16" i="9" s="1"/>
  <c r="G47" i="9"/>
  <c r="H47" i="9"/>
  <c r="K47" i="9" s="1"/>
  <c r="H65" i="9"/>
  <c r="K65" i="9" s="1"/>
  <c r="G65" i="9"/>
  <c r="J65" i="9" s="1"/>
  <c r="M65" i="9" s="1"/>
  <c r="D68" i="9"/>
  <c r="J68" i="9" s="1"/>
  <c r="M68" i="9" s="1"/>
  <c r="G95" i="9"/>
  <c r="I122" i="9"/>
  <c r="L122" i="9" s="1"/>
  <c r="G127" i="9"/>
  <c r="J127" i="9" s="1"/>
  <c r="M127" i="9" s="1"/>
  <c r="L9" i="11"/>
  <c r="L68" i="11"/>
  <c r="H95" i="9"/>
  <c r="K95" i="9" s="1"/>
  <c r="Q97" i="9"/>
  <c r="I109" i="9"/>
  <c r="L109" i="9" s="1"/>
  <c r="I143" i="9"/>
  <c r="L143" i="9" s="1"/>
  <c r="D92" i="9"/>
  <c r="J92" i="9" s="1"/>
  <c r="M92" i="9" s="1"/>
  <c r="H102" i="9"/>
  <c r="K102" i="9" s="1"/>
  <c r="H110" i="9"/>
  <c r="K110" i="9" s="1"/>
  <c r="H112" i="9"/>
  <c r="K112" i="9" s="1"/>
  <c r="G112" i="9"/>
  <c r="D163" i="9"/>
  <c r="I49" i="9"/>
  <c r="L49" i="9" s="1"/>
  <c r="I57" i="9"/>
  <c r="L57" i="9" s="1"/>
  <c r="H163" i="9"/>
  <c r="K163" i="9" s="1"/>
  <c r="L112" i="11"/>
  <c r="G53" i="9"/>
  <c r="D80" i="9"/>
  <c r="J80" i="9" s="1"/>
  <c r="M80" i="9" s="1"/>
  <c r="G84" i="9"/>
  <c r="H90" i="9"/>
  <c r="K90" i="9" s="1"/>
  <c r="H98" i="9"/>
  <c r="K98" i="9" s="1"/>
  <c r="H100" i="9"/>
  <c r="K100" i="9" s="1"/>
  <c r="G100" i="9"/>
  <c r="J100" i="9" s="1"/>
  <c r="M100" i="9" s="1"/>
  <c r="G131" i="9"/>
  <c r="G139" i="9"/>
  <c r="G141" i="9"/>
  <c r="G147" i="9"/>
  <c r="G159" i="9"/>
  <c r="G163" i="9"/>
  <c r="I37" i="9"/>
  <c r="L37" i="9" s="1"/>
  <c r="I45" i="9"/>
  <c r="L45" i="9" s="1"/>
  <c r="G18" i="9"/>
  <c r="G30" i="9"/>
  <c r="G42" i="9"/>
  <c r="G54" i="9"/>
  <c r="G66" i="9"/>
  <c r="G78" i="9"/>
  <c r="J78" i="9" s="1"/>
  <c r="M78" i="9" s="1"/>
  <c r="G90" i="9"/>
  <c r="G102" i="9"/>
  <c r="G114" i="9"/>
  <c r="G126" i="9"/>
  <c r="G138" i="9"/>
  <c r="G150" i="9"/>
  <c r="J141" i="9" l="1"/>
  <c r="M141" i="9" s="1"/>
  <c r="S148" i="6"/>
  <c r="J108" i="9"/>
  <c r="M108" i="9" s="1"/>
  <c r="J103" i="9"/>
  <c r="M103" i="9" s="1"/>
  <c r="W19" i="5"/>
  <c r="W161" i="5"/>
  <c r="J135" i="9"/>
  <c r="M135" i="9" s="1"/>
  <c r="Q146" i="9"/>
  <c r="W176" i="5"/>
  <c r="Q158" i="9"/>
  <c r="J71" i="9"/>
  <c r="M71" i="9" s="1"/>
  <c r="J117" i="9"/>
  <c r="M117" i="9" s="1"/>
  <c r="J36" i="9"/>
  <c r="M36" i="9" s="1"/>
  <c r="J147" i="9"/>
  <c r="M147" i="9" s="1"/>
  <c r="BI53" i="5"/>
  <c r="J17" i="9"/>
  <c r="M17" i="9" s="1"/>
  <c r="BF53" i="5"/>
  <c r="J30" i="9"/>
  <c r="M30" i="9" s="1"/>
  <c r="J112" i="9"/>
  <c r="M112" i="9" s="1"/>
  <c r="J118" i="9"/>
  <c r="M118" i="9" s="1"/>
  <c r="J9" i="9"/>
  <c r="M9" i="9" s="1"/>
  <c r="J148" i="9"/>
  <c r="M148" i="9" s="1"/>
  <c r="J107" i="9"/>
  <c r="M107" i="9" s="1"/>
  <c r="J131" i="9"/>
  <c r="M131" i="9" s="1"/>
  <c r="J64" i="9"/>
  <c r="M64" i="9" s="1"/>
  <c r="N153" i="9"/>
  <c r="J61" i="9"/>
  <c r="M61" i="9" s="1"/>
  <c r="P145" i="9"/>
  <c r="N148" i="6"/>
  <c r="J115" i="9"/>
  <c r="M115" i="9" s="1"/>
  <c r="J3" i="9"/>
  <c r="M3" i="9" s="1"/>
  <c r="J126" i="9"/>
  <c r="M126" i="9" s="1"/>
  <c r="J84" i="9"/>
  <c r="M84" i="9" s="1"/>
  <c r="J37" i="9"/>
  <c r="M37" i="9" s="1"/>
  <c r="W148" i="6"/>
  <c r="J28" i="9"/>
  <c r="M28" i="9" s="1"/>
  <c r="AH148" i="6"/>
  <c r="J121" i="9"/>
  <c r="M121" i="9" s="1"/>
  <c r="J150" i="9"/>
  <c r="M150" i="9" s="1"/>
  <c r="J47" i="9"/>
  <c r="M47" i="9" s="1"/>
  <c r="AC148" i="6"/>
  <c r="W85" i="5"/>
  <c r="J144" i="9"/>
  <c r="M144" i="9" s="1"/>
  <c r="J18" i="9"/>
  <c r="M18" i="9" s="1"/>
  <c r="J138" i="9"/>
  <c r="M138" i="9" s="1"/>
  <c r="J66" i="9"/>
  <c r="M66" i="9" s="1"/>
  <c r="J70" i="9"/>
  <c r="M70" i="9" s="1"/>
  <c r="P85" i="9"/>
  <c r="O160" i="9"/>
  <c r="J99" i="9"/>
  <c r="M99" i="9" s="1"/>
  <c r="J151" i="9"/>
  <c r="M151" i="9" s="1"/>
  <c r="J133" i="9"/>
  <c r="M133" i="9" s="1"/>
  <c r="J58" i="9"/>
  <c r="M58" i="9" s="1"/>
  <c r="V148" i="6"/>
  <c r="J102" i="9"/>
  <c r="M102" i="9" s="1"/>
  <c r="AD148" i="6"/>
  <c r="P133" i="9"/>
  <c r="P133" i="6"/>
  <c r="Z148" i="6"/>
  <c r="AM132" i="5"/>
  <c r="S134" i="6"/>
  <c r="J7" i="9"/>
  <c r="M7" i="9" s="1"/>
  <c r="V85" i="5"/>
  <c r="J54" i="9"/>
  <c r="M54" i="9" s="1"/>
  <c r="J163" i="9"/>
  <c r="M163" i="9" s="1"/>
  <c r="J106" i="9"/>
  <c r="M106" i="9" s="1"/>
  <c r="J97" i="9"/>
  <c r="M97" i="9" s="1"/>
  <c r="P25" i="9"/>
  <c r="J114" i="9"/>
  <c r="M114" i="9" s="1"/>
  <c r="J42" i="9"/>
  <c r="M42" i="9" s="1"/>
  <c r="AA148" i="6"/>
  <c r="J159" i="9"/>
  <c r="M159" i="9" s="1"/>
  <c r="J96" i="9"/>
  <c r="M96" i="9" s="1"/>
  <c r="T148" i="6"/>
  <c r="J136" i="9"/>
  <c r="M136" i="9" s="1"/>
  <c r="J153" i="9"/>
  <c r="M153" i="9" s="1"/>
  <c r="J13" i="9"/>
  <c r="M13" i="9" s="1"/>
  <c r="J53" i="9"/>
  <c r="M53" i="9" s="1"/>
  <c r="J60" i="9"/>
  <c r="M60" i="9" s="1"/>
  <c r="P49" i="9"/>
  <c r="W133" i="6"/>
  <c r="J76" i="9"/>
  <c r="M76" i="9" s="1"/>
  <c r="P148" i="6"/>
  <c r="O158" i="9"/>
  <c r="J145" i="9"/>
  <c r="M145" i="9" s="1"/>
  <c r="P61" i="9"/>
  <c r="AG148" i="6"/>
  <c r="BH53" i="5"/>
  <c r="AF148" i="6"/>
  <c r="J90" i="9"/>
  <c r="M90" i="9" s="1"/>
  <c r="U148" i="6"/>
  <c r="J139" i="9"/>
  <c r="M139" i="9" s="1"/>
  <c r="J93" i="9"/>
  <c r="M93" i="9" s="1"/>
  <c r="Q148" i="6"/>
  <c r="AC89" i="7"/>
  <c r="S105" i="7"/>
  <c r="AC95" i="7"/>
  <c r="S111" i="7"/>
  <c r="AE96" i="7"/>
  <c r="U112" i="7"/>
  <c r="S102" i="7"/>
  <c r="AC86" i="7"/>
  <c r="V10" i="6"/>
  <c r="V16" i="6"/>
  <c r="V13" i="6"/>
  <c r="T103" i="7"/>
  <c r="AD87" i="7"/>
  <c r="AL104" i="8"/>
  <c r="AK104" i="8"/>
  <c r="AM104" i="8"/>
  <c r="V109" i="7"/>
  <c r="AF93" i="7"/>
  <c r="W102" i="7"/>
  <c r="AG86" i="7"/>
  <c r="U111" i="7"/>
  <c r="AE95" i="7"/>
  <c r="F17" i="5"/>
  <c r="AG87" i="7"/>
  <c r="W103" i="7"/>
  <c r="V102" i="7"/>
  <c r="AF86" i="7"/>
  <c r="Q12" i="8"/>
  <c r="T104" i="7"/>
  <c r="AD88" i="7"/>
  <c r="AN5" i="5"/>
  <c r="AN132" i="5"/>
  <c r="AC94" i="7"/>
  <c r="S110" i="7"/>
  <c r="Z45" i="7"/>
  <c r="AE88" i="7"/>
  <c r="U104" i="7"/>
  <c r="P7" i="5"/>
  <c r="P11" i="5" s="1"/>
  <c r="P8" i="5" s="1"/>
  <c r="G167" i="9"/>
  <c r="J167" i="9" s="1"/>
  <c r="M167" i="9" s="1"/>
  <c r="H167" i="9"/>
  <c r="K167" i="9" s="1"/>
  <c r="AM112" i="8"/>
  <c r="AK112" i="8"/>
  <c r="AL112" i="8"/>
  <c r="U70" i="8"/>
  <c r="U86" i="8" s="1"/>
  <c r="U102" i="8" s="1"/>
  <c r="AM102" i="8" s="1"/>
  <c r="N7" i="5"/>
  <c r="N11" i="5" s="1"/>
  <c r="N8" i="5" s="1"/>
  <c r="W132" i="5"/>
  <c r="W5" i="5"/>
  <c r="W13" i="5" s="1"/>
  <c r="AK108" i="8"/>
  <c r="AM108" i="8"/>
  <c r="AL108" i="8"/>
  <c r="S73" i="9"/>
  <c r="J62" i="9"/>
  <c r="M62" i="9" s="1"/>
  <c r="R158" i="9"/>
  <c r="X34" i="8"/>
  <c r="X5" i="8"/>
  <c r="Q26" i="9"/>
  <c r="AB148" i="6"/>
  <c r="AL52" i="6"/>
  <c r="L68" i="6"/>
  <c r="N7" i="7"/>
  <c r="R161" i="5"/>
  <c r="W129" i="8"/>
  <c r="W11" i="8" s="1"/>
  <c r="W69" i="8"/>
  <c r="O18" i="6"/>
  <c r="K16" i="5"/>
  <c r="T129" i="8"/>
  <c r="T11" i="8" s="1"/>
  <c r="T69" i="8"/>
  <c r="AL132" i="5"/>
  <c r="AL5" i="5"/>
  <c r="AM16" i="5" s="1"/>
  <c r="Y41" i="7"/>
  <c r="F16" i="5"/>
  <c r="U85" i="7"/>
  <c r="U78" i="7"/>
  <c r="U94" i="7" s="1"/>
  <c r="S7" i="5"/>
  <c r="AM105" i="8"/>
  <c r="AK105" i="8"/>
  <c r="AL105" i="8"/>
  <c r="AC91" i="7"/>
  <c r="S107" i="7"/>
  <c r="S103" i="7"/>
  <c r="AC87" i="7"/>
  <c r="AW5" i="5"/>
  <c r="AW132" i="5"/>
  <c r="M5" i="5"/>
  <c r="M132" i="5"/>
  <c r="AI132" i="5"/>
  <c r="AI5" i="5"/>
  <c r="AL106" i="8"/>
  <c r="AM106" i="8"/>
  <c r="AK106" i="8"/>
  <c r="Z39" i="7"/>
  <c r="AF92" i="7"/>
  <c r="V108" i="7"/>
  <c r="Y101" i="7"/>
  <c r="W129" i="7"/>
  <c r="W11" i="7" s="1"/>
  <c r="AC88" i="7"/>
  <c r="S104" i="7"/>
  <c r="AG132" i="5"/>
  <c r="AG5" i="5"/>
  <c r="T129" i="7"/>
  <c r="T11" i="7" s="1"/>
  <c r="L132" i="5"/>
  <c r="L5" i="5"/>
  <c r="J59" i="9"/>
  <c r="M59" i="9" s="1"/>
  <c r="AM107" i="8"/>
  <c r="AL107" i="8"/>
  <c r="AK107" i="8"/>
  <c r="S109" i="9"/>
  <c r="U15" i="6"/>
  <c r="M148" i="6"/>
  <c r="P18" i="6"/>
  <c r="AF5" i="5"/>
  <c r="AF132" i="5"/>
  <c r="U129" i="7"/>
  <c r="U11" i="7" s="1"/>
  <c r="Z117" i="7"/>
  <c r="AA117" i="7" s="1"/>
  <c r="I7" i="5"/>
  <c r="I11" i="5" s="1"/>
  <c r="I8" i="5" s="1"/>
  <c r="I17" i="5" s="1"/>
  <c r="H166" i="9"/>
  <c r="K166" i="9" s="1"/>
  <c r="G166" i="9"/>
  <c r="J166" i="9" s="1"/>
  <c r="M166" i="9" s="1"/>
  <c r="AK110" i="8"/>
  <c r="AM110" i="8"/>
  <c r="AL110" i="8"/>
  <c r="V85" i="7"/>
  <c r="AD96" i="7"/>
  <c r="T112" i="7"/>
  <c r="AA132" i="5"/>
  <c r="AA5" i="5"/>
  <c r="X132" i="5"/>
  <c r="X5" i="5"/>
  <c r="X13" i="5" s="1"/>
  <c r="AQ132" i="5"/>
  <c r="AQ5" i="5"/>
  <c r="P68" i="6"/>
  <c r="P8" i="6" s="1"/>
  <c r="P15" i="6"/>
  <c r="W17" i="8"/>
  <c r="W7" i="8"/>
  <c r="W12" i="8" s="1"/>
  <c r="AF87" i="7"/>
  <c r="V103" i="7"/>
  <c r="V132" i="5"/>
  <c r="V5" i="5"/>
  <c r="V13" i="5" s="1"/>
  <c r="AT5" i="5"/>
  <c r="AT132" i="5"/>
  <c r="Z5" i="5"/>
  <c r="Z132" i="5"/>
  <c r="U132" i="5"/>
  <c r="U5" i="5"/>
  <c r="U13" i="5" s="1"/>
  <c r="J2" i="9"/>
  <c r="M2" i="9" s="1"/>
  <c r="S13" i="9"/>
  <c r="P169" i="9"/>
  <c r="P157" i="9"/>
  <c r="U14" i="8"/>
  <c r="V4" i="8"/>
  <c r="V7" i="8" s="1"/>
  <c r="V12" i="8" s="1"/>
  <c r="V14" i="8"/>
  <c r="T134" i="6"/>
  <c r="W105" i="7"/>
  <c r="AG89" i="7"/>
  <c r="X34" i="7"/>
  <c r="X5" i="7"/>
  <c r="M15" i="6"/>
  <c r="M7" i="6"/>
  <c r="M10" i="6" s="1"/>
  <c r="M8" i="6" s="1"/>
  <c r="Y44" i="7"/>
  <c r="AO132" i="5"/>
  <c r="AO5" i="5"/>
  <c r="S121" i="9"/>
  <c r="R122" i="9"/>
  <c r="J149" i="9"/>
  <c r="M149" i="9" s="1"/>
  <c r="S111" i="8"/>
  <c r="U79" i="8"/>
  <c r="U95" i="8" s="1"/>
  <c r="U111" i="8" s="1"/>
  <c r="J105" i="9"/>
  <c r="M105" i="9" s="1"/>
  <c r="Q38" i="9"/>
  <c r="X7" i="6"/>
  <c r="O15" i="6"/>
  <c r="L7" i="8"/>
  <c r="U161" i="5"/>
  <c r="U56" i="6"/>
  <c r="U68" i="6" s="1"/>
  <c r="U8" i="6" s="1"/>
  <c r="U7" i="6"/>
  <c r="D17" i="5"/>
  <c r="L161" i="5"/>
  <c r="H19" i="5"/>
  <c r="N160" i="9"/>
  <c r="S109" i="8"/>
  <c r="AC92" i="7"/>
  <c r="S108" i="7"/>
  <c r="U73" i="7"/>
  <c r="U89" i="7" s="1"/>
  <c r="X129" i="7"/>
  <c r="X69" i="7"/>
  <c r="U71" i="8"/>
  <c r="U87" i="8" s="1"/>
  <c r="U103" i="8" s="1"/>
  <c r="X129" i="8"/>
  <c r="Y132" i="5"/>
  <c r="Y5" i="5"/>
  <c r="Z39" i="8"/>
  <c r="AL33" i="7"/>
  <c r="N158" i="9"/>
  <c r="P73" i="9"/>
  <c r="Z41" i="8"/>
  <c r="AA41" i="8" s="1"/>
  <c r="Y47" i="8"/>
  <c r="W106" i="7"/>
  <c r="AG90" i="7"/>
  <c r="W109" i="7"/>
  <c r="AG93" i="7"/>
  <c r="U6" i="6"/>
  <c r="U18" i="6" s="1"/>
  <c r="X68" i="6"/>
  <c r="X8" i="6" s="1"/>
  <c r="O148" i="6"/>
  <c r="W110" i="7"/>
  <c r="AG94" i="7"/>
  <c r="U176" i="5"/>
  <c r="V18" i="6"/>
  <c r="AC90" i="7"/>
  <c r="S106" i="7"/>
  <c r="R12" i="8"/>
  <c r="AV132" i="5"/>
  <c r="AV5" i="5"/>
  <c r="AS132" i="5"/>
  <c r="AS5" i="5"/>
  <c r="AK33" i="8"/>
  <c r="O56" i="6"/>
  <c r="O68" i="6" s="1"/>
  <c r="O7" i="6"/>
  <c r="O10" i="6" s="1"/>
  <c r="O8" i="6" s="1"/>
  <c r="Q12" i="7"/>
  <c r="S85" i="7"/>
  <c r="S81" i="7"/>
  <c r="H169" i="9"/>
  <c r="K169" i="9" s="1"/>
  <c r="G169" i="9"/>
  <c r="J169" i="9" s="1"/>
  <c r="M169" i="9" s="1"/>
  <c r="S176" i="5"/>
  <c r="AF88" i="7"/>
  <c r="V104" i="7"/>
  <c r="Z40" i="7"/>
  <c r="U107" i="7"/>
  <c r="AE91" i="7"/>
  <c r="T56" i="6"/>
  <c r="T68" i="6" s="1"/>
  <c r="T8" i="6" s="1"/>
  <c r="T7" i="6"/>
  <c r="J16" i="5"/>
  <c r="U129" i="8"/>
  <c r="U11" i="8" s="1"/>
  <c r="U69" i="8"/>
  <c r="Z38" i="8"/>
  <c r="W7" i="7"/>
  <c r="W12" i="7" s="1"/>
  <c r="H16" i="5"/>
  <c r="J134" i="9"/>
  <c r="M134" i="9" s="1"/>
  <c r="S145" i="9"/>
  <c r="R26" i="9"/>
  <c r="X73" i="8"/>
  <c r="X89" i="8" s="1"/>
  <c r="X105" i="8" s="1"/>
  <c r="AN105" i="8" s="1"/>
  <c r="P97" i="9"/>
  <c r="T69" i="7"/>
  <c r="S133" i="9"/>
  <c r="J73" i="9"/>
  <c r="M73" i="9" s="1"/>
  <c r="Q86" i="9"/>
  <c r="Z42" i="8"/>
  <c r="Y45" i="8"/>
  <c r="S14" i="7"/>
  <c r="T4" i="7"/>
  <c r="T7" i="7" s="1"/>
  <c r="T12" i="7" s="1"/>
  <c r="T8" i="7" s="1"/>
  <c r="V79" i="7"/>
  <c r="V95" i="7" s="1"/>
  <c r="Y42" i="7"/>
  <c r="X161" i="5"/>
  <c r="G19" i="5"/>
  <c r="R129" i="7"/>
  <c r="R11" i="7" s="1"/>
  <c r="AE132" i="5"/>
  <c r="AE5" i="5"/>
  <c r="P12" i="8"/>
  <c r="P132" i="5"/>
  <c r="P5" i="5"/>
  <c r="V106" i="7"/>
  <c r="AF90" i="7"/>
  <c r="AB38" i="7"/>
  <c r="S18" i="6"/>
  <c r="F19" i="5"/>
  <c r="S85" i="9"/>
  <c r="J74" i="9"/>
  <c r="M74" i="9" s="1"/>
  <c r="Y43" i="8"/>
  <c r="Q169" i="9"/>
  <c r="Y47" i="7"/>
  <c r="Q68" i="6"/>
  <c r="Q8" i="6" s="1"/>
  <c r="X176" i="5"/>
  <c r="AJ132" i="5"/>
  <c r="AJ5" i="5"/>
  <c r="M19" i="5"/>
  <c r="R56" i="6"/>
  <c r="R68" i="6" s="1"/>
  <c r="R8" i="6" s="1"/>
  <c r="R7" i="6"/>
  <c r="AX132" i="5"/>
  <c r="AX5" i="5"/>
  <c r="N19" i="5"/>
  <c r="U133" i="6"/>
  <c r="U134" i="6" s="1"/>
  <c r="AH132" i="5"/>
  <c r="AH5" i="5"/>
  <c r="V107" i="7"/>
  <c r="AF91" i="7"/>
  <c r="Q132" i="5"/>
  <c r="Q5" i="5"/>
  <c r="R169" i="9"/>
  <c r="J158" i="9"/>
  <c r="M158" i="9" s="1"/>
  <c r="W81" i="7"/>
  <c r="W85" i="7"/>
  <c r="R15" i="6"/>
  <c r="H168" i="9"/>
  <c r="K168" i="9" s="1"/>
  <c r="G168" i="9"/>
  <c r="J168" i="9" s="1"/>
  <c r="M168" i="9" s="1"/>
  <c r="R5" i="5"/>
  <c r="R132" i="5"/>
  <c r="AP132" i="5"/>
  <c r="AP5" i="5"/>
  <c r="AB132" i="5"/>
  <c r="AB5" i="5"/>
  <c r="AK132" i="5"/>
  <c r="AK5" i="5"/>
  <c r="D19" i="5"/>
  <c r="R148" i="6"/>
  <c r="AR132" i="5"/>
  <c r="AR5" i="5"/>
  <c r="Y46" i="7"/>
  <c r="U19" i="5"/>
  <c r="G7" i="5"/>
  <c r="G11" i="5" s="1"/>
  <c r="G8" i="5" s="1"/>
  <c r="G17" i="5" s="1"/>
  <c r="H165" i="9"/>
  <c r="K165" i="9" s="1"/>
  <c r="G165" i="9"/>
  <c r="J165" i="9" s="1"/>
  <c r="M165" i="9" s="1"/>
  <c r="T15" i="6"/>
  <c r="C7" i="5"/>
  <c r="C11" i="5" s="1"/>
  <c r="C8" i="5" s="1"/>
  <c r="C17" i="5" s="1"/>
  <c r="AD94" i="7"/>
  <c r="T110" i="7"/>
  <c r="O176" i="5"/>
  <c r="V133" i="6"/>
  <c r="V19" i="5"/>
  <c r="AC96" i="7"/>
  <c r="S112" i="7"/>
  <c r="Q15" i="6"/>
  <c r="S132" i="5"/>
  <c r="S5" i="5"/>
  <c r="Y43" i="7"/>
  <c r="U77" i="7"/>
  <c r="U93" i="7" s="1"/>
  <c r="T132" i="5"/>
  <c r="T5" i="5"/>
  <c r="T7" i="5" s="1"/>
  <c r="AG96" i="7"/>
  <c r="W112" i="7"/>
  <c r="O161" i="5"/>
  <c r="X133" i="6"/>
  <c r="U103" i="7"/>
  <c r="AE87" i="7"/>
  <c r="AG88" i="7"/>
  <c r="W104" i="7"/>
  <c r="AD90" i="7"/>
  <c r="T106" i="7"/>
  <c r="AU132" i="5"/>
  <c r="AU5" i="5"/>
  <c r="S97" i="9"/>
  <c r="U73" i="8"/>
  <c r="U89" i="8" s="1"/>
  <c r="U105" i="8" s="1"/>
  <c r="W15" i="6"/>
  <c r="J69" i="9"/>
  <c r="M69" i="9" s="1"/>
  <c r="AD91" i="7"/>
  <c r="T107" i="7"/>
  <c r="Q19" i="5"/>
  <c r="E7" i="5"/>
  <c r="E11" i="5" s="1"/>
  <c r="E8" i="5" s="1"/>
  <c r="E17" i="5" s="1"/>
  <c r="O5" i="5"/>
  <c r="O132" i="5"/>
  <c r="AY5" i="5"/>
  <c r="AY132" i="5"/>
  <c r="X85" i="5"/>
  <c r="T19" i="5"/>
  <c r="R19" i="5"/>
  <c r="J19" i="5"/>
  <c r="X7" i="5"/>
  <c r="V15" i="6"/>
  <c r="W111" i="7"/>
  <c r="AG95" i="7"/>
  <c r="AF96" i="7"/>
  <c r="V112" i="7"/>
  <c r="S49" i="9"/>
  <c r="J39" i="9"/>
  <c r="M39" i="9" s="1"/>
  <c r="T111" i="7"/>
  <c r="AD95" i="7"/>
  <c r="V85" i="8"/>
  <c r="V81" i="8"/>
  <c r="T102" i="7"/>
  <c r="AD86" i="7"/>
  <c r="J95" i="9"/>
  <c r="M95" i="9" s="1"/>
  <c r="S25" i="9"/>
  <c r="J14" i="9"/>
  <c r="M14" i="9" s="1"/>
  <c r="R98" i="9"/>
  <c r="J26" i="9"/>
  <c r="M26" i="9" s="1"/>
  <c r="S37" i="9"/>
  <c r="AA37" i="8"/>
  <c r="AB37" i="7"/>
  <c r="W107" i="7"/>
  <c r="AG91" i="7"/>
  <c r="U70" i="7"/>
  <c r="U86" i="7" s="1"/>
  <c r="AE148" i="6"/>
  <c r="J52" i="9"/>
  <c r="M52" i="9" s="1"/>
  <c r="S61" i="9"/>
  <c r="S85" i="8"/>
  <c r="S81" i="8"/>
  <c r="S109" i="7"/>
  <c r="AC93" i="7"/>
  <c r="P7" i="8"/>
  <c r="J85" i="9"/>
  <c r="M85" i="9" s="1"/>
  <c r="X69" i="8"/>
  <c r="AF89" i="7"/>
  <c r="V105" i="7"/>
  <c r="AD92" i="7"/>
  <c r="T108" i="7"/>
  <c r="AC38" i="7"/>
  <c r="U76" i="7"/>
  <c r="U92" i="7" s="1"/>
  <c r="Y148" i="6"/>
  <c r="V78" i="7"/>
  <c r="V94" i="7" s="1"/>
  <c r="N132" i="5"/>
  <c r="N5" i="5"/>
  <c r="AG92" i="7"/>
  <c r="W108" i="7"/>
  <c r="AD132" i="5"/>
  <c r="AD5" i="5"/>
  <c r="R7" i="5"/>
  <c r="V7" i="6"/>
  <c r="V129" i="7"/>
  <c r="V11" i="7" s="1"/>
  <c r="N15" i="6"/>
  <c r="AL103" i="8"/>
  <c r="AK103" i="8"/>
  <c r="AM103" i="8"/>
  <c r="S157" i="9"/>
  <c r="J146" i="9"/>
  <c r="M146" i="9" s="1"/>
  <c r="J155" i="9"/>
  <c r="M155" i="9" s="1"/>
  <c r="T7" i="8"/>
  <c r="T12" i="8" s="1"/>
  <c r="T8" i="8" s="1"/>
  <c r="X148" i="6"/>
  <c r="Q134" i="9"/>
  <c r="Y44" i="8"/>
  <c r="T109" i="7"/>
  <c r="AD93" i="7"/>
  <c r="AM33" i="8"/>
  <c r="W7" i="6"/>
  <c r="W56" i="6"/>
  <c r="W68" i="6" s="1"/>
  <c r="W8" i="6" s="1"/>
  <c r="S129" i="7"/>
  <c r="S11" i="7" s="1"/>
  <c r="S8" i="7" s="1"/>
  <c r="Q98" i="9"/>
  <c r="Y46" i="8"/>
  <c r="U106" i="7"/>
  <c r="AE90" i="7"/>
  <c r="Y40" i="8"/>
  <c r="V4" i="7"/>
  <c r="V7" i="7" s="1"/>
  <c r="V12" i="7" s="1"/>
  <c r="V14" i="7"/>
  <c r="U14" i="7"/>
  <c r="Q133" i="6"/>
  <c r="R134" i="6" s="1"/>
  <c r="T15" i="7"/>
  <c r="T14" i="7"/>
  <c r="U4" i="7"/>
  <c r="U7" i="7" s="1"/>
  <c r="U12" i="7" s="1"/>
  <c r="P176" i="5"/>
  <c r="S68" i="6"/>
  <c r="S8" i="6" s="1"/>
  <c r="Q18" i="6"/>
  <c r="N7" i="6"/>
  <c r="N10" i="6" s="1"/>
  <c r="N8" i="6" s="1"/>
  <c r="AD89" i="7"/>
  <c r="T105" i="7"/>
  <c r="S129" i="8"/>
  <c r="S11" i="8" s="1"/>
  <c r="K7" i="5"/>
  <c r="K11" i="5" s="1"/>
  <c r="K8" i="5" s="1"/>
  <c r="N161" i="5"/>
  <c r="AC5" i="5"/>
  <c r="AC132" i="5"/>
  <c r="P129" i="7"/>
  <c r="P11" i="7" s="1"/>
  <c r="V129" i="8"/>
  <c r="V11" i="8" s="1"/>
  <c r="P158" i="9" l="1"/>
  <c r="Y13" i="5"/>
  <c r="W134" i="6"/>
  <c r="V134" i="6"/>
  <c r="X134" i="6"/>
  <c r="AB41" i="8"/>
  <c r="AC41" i="8"/>
  <c r="T11" i="5"/>
  <c r="T8" i="5" s="1"/>
  <c r="T21" i="5"/>
  <c r="T22" i="5" s="1"/>
  <c r="S10" i="7"/>
  <c r="S15" i="7"/>
  <c r="AM111" i="8"/>
  <c r="AK111" i="8"/>
  <c r="AL111" i="8"/>
  <c r="S10" i="6"/>
  <c r="S16" i="6"/>
  <c r="S13" i="6"/>
  <c r="AA42" i="7"/>
  <c r="AB42" i="7"/>
  <c r="AC42" i="7"/>
  <c r="Z42" i="7"/>
  <c r="AD42" i="7" s="1"/>
  <c r="O16" i="6"/>
  <c r="O13" i="6"/>
  <c r="U8" i="7"/>
  <c r="V111" i="7"/>
  <c r="AM111" i="7" s="1"/>
  <c r="AF95" i="7"/>
  <c r="X17" i="8"/>
  <c r="Y5" i="8"/>
  <c r="X7" i="8"/>
  <c r="Y121" i="8"/>
  <c r="Y124" i="8"/>
  <c r="X11" i="8"/>
  <c r="Y125" i="8"/>
  <c r="Y123" i="8"/>
  <c r="Y127" i="8"/>
  <c r="Y126" i="8"/>
  <c r="Y120" i="8"/>
  <c r="Y122" i="8"/>
  <c r="S11" i="5"/>
  <c r="S8" i="5" s="1"/>
  <c r="J17" i="5"/>
  <c r="AU16" i="5"/>
  <c r="AT16" i="5"/>
  <c r="U16" i="6"/>
  <c r="U10" i="6"/>
  <c r="U13" i="6"/>
  <c r="U97" i="7"/>
  <c r="U9" i="7" s="1"/>
  <c r="AE85" i="7"/>
  <c r="U101" i="7"/>
  <c r="N16" i="5"/>
  <c r="AY16" i="5"/>
  <c r="AK112" i="7"/>
  <c r="AL112" i="7"/>
  <c r="AM112" i="7"/>
  <c r="AB16" i="5"/>
  <c r="BD5" i="5"/>
  <c r="AH16" i="5"/>
  <c r="BB5" i="5"/>
  <c r="BC5" i="5"/>
  <c r="Z117" i="8"/>
  <c r="Y5" i="7"/>
  <c r="X17" i="7"/>
  <c r="V16" i="5"/>
  <c r="V7" i="5"/>
  <c r="U81" i="7"/>
  <c r="U109" i="7"/>
  <c r="AE93" i="7"/>
  <c r="AK109" i="8"/>
  <c r="AM109" i="8"/>
  <c r="AL109" i="8"/>
  <c r="AM106" i="7"/>
  <c r="AL106" i="7"/>
  <c r="AK106" i="7"/>
  <c r="S169" i="9"/>
  <c r="T169" i="9" s="1"/>
  <c r="Z44" i="8"/>
  <c r="Z48" i="8" s="1"/>
  <c r="AI16" i="5"/>
  <c r="AL109" i="7"/>
  <c r="AK109" i="7"/>
  <c r="AM109" i="7"/>
  <c r="AB37" i="8"/>
  <c r="U85" i="8"/>
  <c r="U81" i="8"/>
  <c r="V81" i="7"/>
  <c r="AA45" i="7"/>
  <c r="K17" i="5"/>
  <c r="K14" i="5"/>
  <c r="W85" i="8"/>
  <c r="W81" i="8"/>
  <c r="AE16" i="5"/>
  <c r="AA39" i="8"/>
  <c r="Z46" i="7"/>
  <c r="R12" i="7"/>
  <c r="AR16" i="5"/>
  <c r="S97" i="7"/>
  <c r="S9" i="7" s="1"/>
  <c r="AC85" i="7"/>
  <c r="S101" i="7"/>
  <c r="Z16" i="5"/>
  <c r="BA5" i="5"/>
  <c r="Q16" i="5"/>
  <c r="Q7" i="5"/>
  <c r="Q11" i="5" s="1"/>
  <c r="Q8" i="5" s="1"/>
  <c r="H17" i="5"/>
  <c r="V97" i="7"/>
  <c r="V9" i="7" s="1"/>
  <c r="AF85" i="7"/>
  <c r="V101" i="7"/>
  <c r="V113" i="7" s="1"/>
  <c r="M16" i="5"/>
  <c r="M7" i="5"/>
  <c r="M11" i="5" s="1"/>
  <c r="M8" i="5" s="1"/>
  <c r="AA41" i="7"/>
  <c r="Z41" i="7"/>
  <c r="Z48" i="7" s="1"/>
  <c r="Y48" i="7"/>
  <c r="S74" i="9"/>
  <c r="T73" i="9"/>
  <c r="AK110" i="7"/>
  <c r="AJ16" i="5"/>
  <c r="N14" i="5"/>
  <c r="Z118" i="8"/>
  <c r="AA118" i="8" s="1"/>
  <c r="W10" i="6"/>
  <c r="W16" i="6"/>
  <c r="W13" i="6"/>
  <c r="Q10" i="6"/>
  <c r="Q16" i="6"/>
  <c r="Q13" i="6"/>
  <c r="Y8" i="6"/>
  <c r="Y16" i="5"/>
  <c r="Y10" i="5"/>
  <c r="Y69" i="5" s="1"/>
  <c r="AE94" i="7"/>
  <c r="U110" i="7"/>
  <c r="AM110" i="7" s="1"/>
  <c r="Z118" i="7"/>
  <c r="AA118" i="7" s="1"/>
  <c r="P14" i="5"/>
  <c r="S97" i="8"/>
  <c r="S101" i="8"/>
  <c r="V97" i="8"/>
  <c r="V9" i="8" s="1"/>
  <c r="V101" i="8"/>
  <c r="V113" i="8" s="1"/>
  <c r="O16" i="5"/>
  <c r="O7" i="5"/>
  <c r="O11" i="5" s="1"/>
  <c r="O8" i="5" s="1"/>
  <c r="P17" i="5" s="1"/>
  <c r="AP16" i="5"/>
  <c r="L16" i="5"/>
  <c r="L7" i="5"/>
  <c r="L11" i="5" s="1"/>
  <c r="L8" i="5" s="1"/>
  <c r="AL16" i="5"/>
  <c r="AL105" i="7"/>
  <c r="AM105" i="7"/>
  <c r="AK105" i="7"/>
  <c r="Z46" i="8"/>
  <c r="AA46" i="8" s="1"/>
  <c r="W101" i="7"/>
  <c r="W113" i="7" s="1"/>
  <c r="W97" i="7"/>
  <c r="W9" i="7" s="1"/>
  <c r="AG85" i="7"/>
  <c r="U16" i="5"/>
  <c r="U7" i="5"/>
  <c r="N16" i="6"/>
  <c r="N13" i="6"/>
  <c r="S98" i="9"/>
  <c r="T97" i="9"/>
  <c r="X16" i="5"/>
  <c r="Z44" i="7"/>
  <c r="AA44" i="7" s="1"/>
  <c r="Z120" i="7"/>
  <c r="AA120" i="7" s="1"/>
  <c r="X100" i="6"/>
  <c r="X10" i="6"/>
  <c r="X13" i="6"/>
  <c r="V8" i="7"/>
  <c r="AF94" i="7"/>
  <c r="V110" i="7"/>
  <c r="AL110" i="7" s="1"/>
  <c r="S62" i="9"/>
  <c r="T61" i="9"/>
  <c r="Z45" i="8"/>
  <c r="Z119" i="8"/>
  <c r="AA119" i="8" s="1"/>
  <c r="AW16" i="5"/>
  <c r="P16" i="6"/>
  <c r="P10" i="6"/>
  <c r="P13" i="6"/>
  <c r="S8" i="8"/>
  <c r="Z43" i="7"/>
  <c r="Z43" i="8"/>
  <c r="S26" i="9"/>
  <c r="T25" i="9"/>
  <c r="T15" i="8"/>
  <c r="AX16" i="5"/>
  <c r="AA42" i="8"/>
  <c r="AS16" i="5"/>
  <c r="X81" i="7"/>
  <c r="X85" i="7"/>
  <c r="W8" i="8"/>
  <c r="AN16" i="5"/>
  <c r="AK102" i="8"/>
  <c r="AC37" i="7"/>
  <c r="AB38" i="8"/>
  <c r="AA38" i="8"/>
  <c r="AC38" i="8" s="1"/>
  <c r="Z40" i="8"/>
  <c r="Y48" i="8"/>
  <c r="R16" i="5"/>
  <c r="P16" i="5"/>
  <c r="T16" i="6"/>
  <c r="T10" i="6"/>
  <c r="T13" i="6"/>
  <c r="Y123" i="7"/>
  <c r="X11" i="7"/>
  <c r="Y124" i="7"/>
  <c r="Y127" i="7"/>
  <c r="Y126" i="7"/>
  <c r="Y125" i="7"/>
  <c r="Y121" i="7"/>
  <c r="Y122" i="7"/>
  <c r="V8" i="8"/>
  <c r="T85" i="8"/>
  <c r="T81" i="8"/>
  <c r="AL102" i="8"/>
  <c r="S38" i="9"/>
  <c r="T37" i="9"/>
  <c r="S122" i="9"/>
  <c r="T121" i="9"/>
  <c r="W8" i="7"/>
  <c r="AK16" i="5"/>
  <c r="S110" i="9"/>
  <c r="T109" i="9"/>
  <c r="T85" i="9"/>
  <c r="S86" i="9"/>
  <c r="P12" i="7"/>
  <c r="AB42" i="8"/>
  <c r="AE86" i="7"/>
  <c r="U102" i="7"/>
  <c r="AV16" i="5"/>
  <c r="AE89" i="7"/>
  <c r="U105" i="7"/>
  <c r="X7" i="7"/>
  <c r="X12" i="7" s="1"/>
  <c r="AG16" i="5"/>
  <c r="AM103" i="7"/>
  <c r="AL103" i="7"/>
  <c r="AK103" i="7"/>
  <c r="S14" i="9"/>
  <c r="T13" i="9"/>
  <c r="X81" i="8"/>
  <c r="X85" i="8"/>
  <c r="T145" i="9"/>
  <c r="S146" i="9"/>
  <c r="AQ16" i="5"/>
  <c r="X11" i="5"/>
  <c r="X8" i="5" s="1"/>
  <c r="X21" i="5"/>
  <c r="Z119" i="7"/>
  <c r="AA119" i="7" s="1"/>
  <c r="R11" i="5"/>
  <c r="R8" i="5" s="1"/>
  <c r="AA39" i="7"/>
  <c r="AB39" i="7"/>
  <c r="AA16" i="5"/>
  <c r="P160" i="9"/>
  <c r="T49" i="9"/>
  <c r="S50" i="9"/>
  <c r="R16" i="6"/>
  <c r="R13" i="6"/>
  <c r="R10" i="6"/>
  <c r="S134" i="9"/>
  <c r="T133" i="9"/>
  <c r="Z47" i="8"/>
  <c r="AM107" i="7"/>
  <c r="AL107" i="7"/>
  <c r="AK107" i="7"/>
  <c r="W16" i="5"/>
  <c r="W7" i="5"/>
  <c r="T16" i="5"/>
  <c r="AK108" i="7"/>
  <c r="AM108" i="7"/>
  <c r="AL108" i="7"/>
  <c r="AF16" i="5"/>
  <c r="AA47" i="7"/>
  <c r="Z47" i="7"/>
  <c r="AO16" i="5"/>
  <c r="AK102" i="7"/>
  <c r="AM102" i="7"/>
  <c r="AL102" i="7"/>
  <c r="AD16" i="5"/>
  <c r="S16" i="5"/>
  <c r="M16" i="6"/>
  <c r="M13" i="6"/>
  <c r="AC16" i="5"/>
  <c r="T157" i="9"/>
  <c r="S158" i="9"/>
  <c r="AE92" i="7"/>
  <c r="U108" i="7"/>
  <c r="AA11" i="8"/>
  <c r="AA129" i="8" s="1"/>
  <c r="T85" i="7"/>
  <c r="T81" i="7"/>
  <c r="AA40" i="7"/>
  <c r="AB40" i="7"/>
  <c r="AD38" i="7"/>
  <c r="AE38" i="7" s="1"/>
  <c r="AM104" i="7"/>
  <c r="AL104" i="7"/>
  <c r="AK104" i="7"/>
  <c r="U8" i="8"/>
  <c r="Z10" i="5" l="1"/>
  <c r="AA10" i="5" s="1"/>
  <c r="Z8" i="6"/>
  <c r="Z68" i="6" s="1"/>
  <c r="AD46" i="8"/>
  <c r="AF46" i="8" s="1"/>
  <c r="AD39" i="7"/>
  <c r="AE39" i="7" s="1"/>
  <c r="AF38" i="7"/>
  <c r="AG38" i="7" s="1"/>
  <c r="AH38" i="7" s="1"/>
  <c r="AE37" i="7"/>
  <c r="M17" i="5"/>
  <c r="M14" i="5"/>
  <c r="Q17" i="5"/>
  <c r="Q14" i="5"/>
  <c r="AA44" i="8"/>
  <c r="Y33" i="8"/>
  <c r="Y17" i="8"/>
  <c r="Z5" i="8"/>
  <c r="AA124" i="7"/>
  <c r="Z124" i="7"/>
  <c r="S9" i="8"/>
  <c r="AB45" i="7"/>
  <c r="W97" i="8"/>
  <c r="W9" i="8" s="1"/>
  <c r="W10" i="8" s="1"/>
  <c r="W101" i="8"/>
  <c r="W113" i="8" s="1"/>
  <c r="AA123" i="7"/>
  <c r="Z123" i="7"/>
  <c r="S113" i="8"/>
  <c r="AB44" i="7"/>
  <c r="AC44" i="7" s="1"/>
  <c r="U10" i="7"/>
  <c r="U15" i="7"/>
  <c r="AC40" i="7"/>
  <c r="AD40" i="7" s="1"/>
  <c r="N17" i="5"/>
  <c r="AB39" i="8"/>
  <c r="T97" i="7"/>
  <c r="T9" i="7" s="1"/>
  <c r="T10" i="7" s="1"/>
  <c r="AD85" i="7"/>
  <c r="T101" i="7"/>
  <c r="T113" i="7" s="1"/>
  <c r="R21" i="5"/>
  <c r="R22" i="5" s="1"/>
  <c r="AA43" i="8"/>
  <c r="AB118" i="8"/>
  <c r="AB119" i="8"/>
  <c r="R17" i="5"/>
  <c r="R14" i="5"/>
  <c r="Y33" i="7"/>
  <c r="Z5" i="7"/>
  <c r="Y17" i="7"/>
  <c r="Y7" i="7"/>
  <c r="S21" i="5"/>
  <c r="S22" i="5" s="1"/>
  <c r="AE42" i="7"/>
  <c r="W18" i="7"/>
  <c r="W10" i="7"/>
  <c r="W15" i="7"/>
  <c r="W15" i="8"/>
  <c r="AC46" i="8"/>
  <c r="V11" i="5"/>
  <c r="V8" i="5" s="1"/>
  <c r="V21" i="5"/>
  <c r="V22" i="5" s="1"/>
  <c r="AC39" i="7"/>
  <c r="AK111" i="7"/>
  <c r="Y128" i="8"/>
  <c r="Z120" i="8"/>
  <c r="AM101" i="7"/>
  <c r="AM113" i="7" s="1"/>
  <c r="AL101" i="7"/>
  <c r="AL113" i="7" s="1"/>
  <c r="S113" i="7"/>
  <c r="AK101" i="7"/>
  <c r="AK113" i="7" s="1"/>
  <c r="AB11" i="8"/>
  <c r="AA43" i="7"/>
  <c r="Y68" i="6"/>
  <c r="Y100" i="6"/>
  <c r="Y10" i="6"/>
  <c r="W11" i="5"/>
  <c r="W8" i="5" s="1"/>
  <c r="T97" i="8"/>
  <c r="T9" i="8" s="1"/>
  <c r="T10" i="8" s="1"/>
  <c r="T101" i="8"/>
  <c r="T113" i="8" s="1"/>
  <c r="U11" i="5"/>
  <c r="U8" i="5" s="1"/>
  <c r="U21" i="5"/>
  <c r="U22" i="5" s="1"/>
  <c r="AL111" i="7"/>
  <c r="Z126" i="8"/>
  <c r="AA126" i="8" s="1"/>
  <c r="AB126" i="8" s="1"/>
  <c r="S17" i="5"/>
  <c r="S14" i="5"/>
  <c r="AC37" i="8"/>
  <c r="Z127" i="8"/>
  <c r="U97" i="8"/>
  <c r="U9" i="8" s="1"/>
  <c r="U10" i="8" s="1"/>
  <c r="U101" i="8"/>
  <c r="U113" i="8" s="1"/>
  <c r="AA40" i="8"/>
  <c r="AB40" i="8" s="1"/>
  <c r="U15" i="8"/>
  <c r="V10" i="8"/>
  <c r="V15" i="8"/>
  <c r="Z123" i="8"/>
  <c r="AA123" i="8" s="1"/>
  <c r="T17" i="5"/>
  <c r="T14" i="5"/>
  <c r="S10" i="8"/>
  <c r="S15" i="8"/>
  <c r="AD41" i="7"/>
  <c r="Z125" i="8"/>
  <c r="AB125" i="8" s="1"/>
  <c r="AA125" i="8"/>
  <c r="X101" i="7"/>
  <c r="X97" i="7"/>
  <c r="X9" i="7" s="1"/>
  <c r="AA45" i="8"/>
  <c r="X101" i="8"/>
  <c r="Z121" i="7"/>
  <c r="Z128" i="7" s="1"/>
  <c r="Y128" i="7"/>
  <c r="AC42" i="8"/>
  <c r="AC41" i="7"/>
  <c r="AD37" i="7"/>
  <c r="AA11" i="7"/>
  <c r="AA129" i="7" s="1"/>
  <c r="AB47" i="7"/>
  <c r="AC47" i="7" s="1"/>
  <c r="O17" i="5"/>
  <c r="O14" i="5"/>
  <c r="Z124" i="8"/>
  <c r="AB124" i="8" s="1"/>
  <c r="AA124" i="8"/>
  <c r="Y67" i="5"/>
  <c r="Y64" i="5"/>
  <c r="Y66" i="5"/>
  <c r="Y65" i="5"/>
  <c r="X86" i="5"/>
  <c r="X14" i="5"/>
  <c r="L17" i="5"/>
  <c r="L14" i="5"/>
  <c r="Z122" i="7"/>
  <c r="AA122" i="7"/>
  <c r="AA47" i="8"/>
  <c r="X8" i="7"/>
  <c r="Z126" i="7"/>
  <c r="AA126" i="7" s="1"/>
  <c r="Z121" i="8"/>
  <c r="AA121" i="8" s="1"/>
  <c r="AB121" i="8" s="1"/>
  <c r="AD41" i="8"/>
  <c r="AE41" i="8" s="1"/>
  <c r="Z122" i="8"/>
  <c r="Z125" i="7"/>
  <c r="AA125" i="7" s="1"/>
  <c r="V18" i="7"/>
  <c r="V10" i="7"/>
  <c r="V15" i="7"/>
  <c r="Z127" i="7"/>
  <c r="AA127" i="7"/>
  <c r="AD38" i="8"/>
  <c r="AE38" i="8" s="1"/>
  <c r="AF38" i="8" s="1"/>
  <c r="AB46" i="8"/>
  <c r="AE46" i="8" s="1"/>
  <c r="AB41" i="7"/>
  <c r="AA46" i="7"/>
  <c r="AB44" i="8"/>
  <c r="AA117" i="8"/>
  <c r="U113" i="7"/>
  <c r="X13" i="8"/>
  <c r="W21" i="5" l="1"/>
  <c r="W22" i="5" s="1"/>
  <c r="AA69" i="5"/>
  <c r="AB10" i="5"/>
  <c r="Z10" i="6"/>
  <c r="Z69" i="5"/>
  <c r="Z64" i="5" s="1"/>
  <c r="AA64" i="5" s="1"/>
  <c r="Z100" i="6"/>
  <c r="Z88" i="6" s="1"/>
  <c r="X17" i="5"/>
  <c r="AA8" i="6"/>
  <c r="AF47" i="7"/>
  <c r="AG47" i="7" s="1"/>
  <c r="AB48" i="8"/>
  <c r="AB46" i="7"/>
  <c r="AC46" i="7"/>
  <c r="Y8" i="7"/>
  <c r="Y13" i="7"/>
  <c r="AL101" i="8"/>
  <c r="AL113" i="8" s="1"/>
  <c r="AD47" i="7"/>
  <c r="AB127" i="7"/>
  <c r="AB126" i="7"/>
  <c r="AB125" i="7"/>
  <c r="AB124" i="7"/>
  <c r="AB123" i="7"/>
  <c r="AB122" i="7"/>
  <c r="AB121" i="7"/>
  <c r="AB120" i="7"/>
  <c r="AB119" i="7"/>
  <c r="AB118" i="7"/>
  <c r="AB117" i="7"/>
  <c r="AB45" i="8"/>
  <c r="AD44" i="7"/>
  <c r="AB47" i="8"/>
  <c r="AN101" i="8"/>
  <c r="AK101" i="8"/>
  <c r="AK113" i="8" s="1"/>
  <c r="AA127" i="8"/>
  <c r="AB127" i="8" s="1"/>
  <c r="AF44" i="7"/>
  <c r="AG44" i="7" s="1"/>
  <c r="AB11" i="7"/>
  <c r="AB43" i="8"/>
  <c r="X94" i="8"/>
  <c r="X110" i="8" s="1"/>
  <c r="AN110" i="8" s="1"/>
  <c r="AH38" i="8"/>
  <c r="X18" i="7"/>
  <c r="X10" i="7"/>
  <c r="X15" i="7"/>
  <c r="AB129" i="8"/>
  <c r="AC11" i="8"/>
  <c r="Z17" i="7"/>
  <c r="AA5" i="7"/>
  <c r="Z33" i="7"/>
  <c r="X95" i="8"/>
  <c r="X111" i="8" s="1"/>
  <c r="AN111" i="8" s="1"/>
  <c r="AA120" i="8"/>
  <c r="AA128" i="8" s="1"/>
  <c r="X92" i="8"/>
  <c r="X108" i="8" s="1"/>
  <c r="AN108" i="8" s="1"/>
  <c r="AB43" i="7"/>
  <c r="AE40" i="7"/>
  <c r="AH40" i="7" s="1"/>
  <c r="AD40" i="8"/>
  <c r="AE40" i="8" s="1"/>
  <c r="AD37" i="8"/>
  <c r="X91" i="8"/>
  <c r="Y29" i="7"/>
  <c r="Y30" i="7"/>
  <c r="Y26" i="7"/>
  <c r="Y32" i="7" s="1"/>
  <c r="Y28" i="7"/>
  <c r="Y27" i="7"/>
  <c r="Y25" i="7"/>
  <c r="Y34" i="7"/>
  <c r="Y31" i="7"/>
  <c r="Y68" i="5"/>
  <c r="AE47" i="7"/>
  <c r="AB123" i="8"/>
  <c r="X93" i="8"/>
  <c r="X109" i="8" s="1"/>
  <c r="AN109" i="8" s="1"/>
  <c r="AG40" i="7"/>
  <c r="V17" i="5"/>
  <c r="V14" i="5"/>
  <c r="AA48" i="7"/>
  <c r="AM101" i="8"/>
  <c r="AM113" i="8" s="1"/>
  <c r="X113" i="7"/>
  <c r="AN101" i="7"/>
  <c r="AN113" i="7" s="1"/>
  <c r="Z33" i="8"/>
  <c r="AA5" i="8"/>
  <c r="Z17" i="8"/>
  <c r="Y66" i="6"/>
  <c r="Z66" i="6" s="1"/>
  <c r="Y65" i="6"/>
  <c r="Y64" i="6"/>
  <c r="Z64" i="6" s="1"/>
  <c r="Y63" i="6"/>
  <c r="Z63" i="6" s="1"/>
  <c r="Y61" i="6"/>
  <c r="Z61" i="6" s="1"/>
  <c r="Y60" i="6"/>
  <c r="Y62" i="6"/>
  <c r="Z62" i="6" s="1"/>
  <c r="U17" i="5"/>
  <c r="U14" i="5"/>
  <c r="AF39" i="7"/>
  <c r="AG39" i="7" s="1"/>
  <c r="AH46" i="8"/>
  <c r="AD11" i="8"/>
  <c r="AD129" i="8" s="1"/>
  <c r="AC11" i="7"/>
  <c r="AC129" i="7" s="1"/>
  <c r="AE44" i="7"/>
  <c r="AB117" i="8"/>
  <c r="Y29" i="8"/>
  <c r="Y34" i="8"/>
  <c r="Y25" i="8"/>
  <c r="Y30" i="8"/>
  <c r="Y31" i="8"/>
  <c r="Y26" i="8"/>
  <c r="Y24" i="8"/>
  <c r="Y32" i="8" s="1"/>
  <c r="Y27" i="8"/>
  <c r="Y28" i="8"/>
  <c r="X14" i="8"/>
  <c r="Y4" i="8"/>
  <c r="Y7" i="8" s="1"/>
  <c r="Y8" i="5"/>
  <c r="AF40" i="7"/>
  <c r="AE37" i="8"/>
  <c r="AE41" i="7"/>
  <c r="AF41" i="7" s="1"/>
  <c r="AD42" i="8"/>
  <c r="AG38" i="8"/>
  <c r="W17" i="5"/>
  <c r="W14" i="5"/>
  <c r="Z128" i="8"/>
  <c r="AC45" i="7"/>
  <c r="AD45" i="7" s="1"/>
  <c r="AG46" i="8"/>
  <c r="AA122" i="8"/>
  <c r="AB122" i="8" s="1"/>
  <c r="AA48" i="8"/>
  <c r="Z57" i="6"/>
  <c r="Z58" i="6"/>
  <c r="Z59" i="6"/>
  <c r="Z56" i="6"/>
  <c r="AC44" i="8"/>
  <c r="AC40" i="8"/>
  <c r="AC39" i="8"/>
  <c r="AF42" i="7"/>
  <c r="AG42" i="7" s="1"/>
  <c r="AF37" i="7"/>
  <c r="AG37" i="7" s="1"/>
  <c r="AF41" i="8"/>
  <c r="AG41" i="8" s="1"/>
  <c r="AH41" i="8" s="1"/>
  <c r="X12" i="8"/>
  <c r="X8" i="8" s="1"/>
  <c r="X15" i="8" s="1"/>
  <c r="AC43" i="7"/>
  <c r="AC48" i="7" s="1"/>
  <c r="AA121" i="7"/>
  <c r="AA128" i="7" s="1"/>
  <c r="Y98" i="6"/>
  <c r="Y97" i="6"/>
  <c r="Y96" i="6"/>
  <c r="Y93" i="6"/>
  <c r="Y94" i="6"/>
  <c r="Y92" i="6"/>
  <c r="Y95" i="6"/>
  <c r="Z91" i="6" l="1"/>
  <c r="Z90" i="6"/>
  <c r="Z66" i="5"/>
  <c r="AA66" i="5" s="1"/>
  <c r="Z95" i="6"/>
  <c r="AB69" i="5"/>
  <c r="Z67" i="5"/>
  <c r="Z92" i="6"/>
  <c r="AA92" i="6" s="1"/>
  <c r="Z94" i="6"/>
  <c r="Z65" i="5"/>
  <c r="Z8" i="5"/>
  <c r="Z98" i="6"/>
  <c r="Z96" i="6"/>
  <c r="Z97" i="6"/>
  <c r="Z93" i="6"/>
  <c r="Z62" i="5"/>
  <c r="Z63" i="5"/>
  <c r="AA63" i="5" s="1"/>
  <c r="Z58" i="5"/>
  <c r="Z59" i="5"/>
  <c r="Z60" i="5"/>
  <c r="Z57" i="5"/>
  <c r="AA57" i="5" s="1"/>
  <c r="Z61" i="5"/>
  <c r="AA61" i="5" s="1"/>
  <c r="Z89" i="6"/>
  <c r="AC10" i="5"/>
  <c r="AA100" i="6"/>
  <c r="AA88" i="6" s="1"/>
  <c r="AA10" i="6"/>
  <c r="AA68" i="6"/>
  <c r="AA61" i="6" s="1"/>
  <c r="AA90" i="6"/>
  <c r="Y99" i="6"/>
  <c r="AB8" i="6"/>
  <c r="Z65" i="6"/>
  <c r="AE45" i="7"/>
  <c r="AF45" i="7" s="1"/>
  <c r="AH44" i="7"/>
  <c r="AH41" i="7"/>
  <c r="AB120" i="8"/>
  <c r="Y18" i="7"/>
  <c r="Y81" i="7"/>
  <c r="Y10" i="7"/>
  <c r="Y12" i="7"/>
  <c r="AH37" i="7"/>
  <c r="AH39" i="7"/>
  <c r="AB129" i="7"/>
  <c r="AD11" i="7"/>
  <c r="AD129" i="7" s="1"/>
  <c r="AD39" i="8"/>
  <c r="Y17" i="5"/>
  <c r="Y11" i="5"/>
  <c r="Y85" i="5"/>
  <c r="AD46" i="7"/>
  <c r="AD44" i="8"/>
  <c r="AB48" i="7"/>
  <c r="AG41" i="7"/>
  <c r="Y15" i="7"/>
  <c r="Z4" i="7"/>
  <c r="Z7" i="7" s="1"/>
  <c r="Y14" i="7"/>
  <c r="AC47" i="8"/>
  <c r="AB5" i="8"/>
  <c r="AA33" i="8"/>
  <c r="AA17" i="8"/>
  <c r="AF40" i="8"/>
  <c r="AC43" i="8"/>
  <c r="Z29" i="8"/>
  <c r="Z22" i="8"/>
  <c r="Z34" i="8"/>
  <c r="Z28" i="8"/>
  <c r="Z27" i="8"/>
  <c r="Z21" i="8"/>
  <c r="Z32" i="8" s="1"/>
  <c r="Z31" i="8"/>
  <c r="Z30" i="8"/>
  <c r="Z26" i="8"/>
  <c r="Z25" i="8"/>
  <c r="Z24" i="8"/>
  <c r="Z23" i="8"/>
  <c r="AC129" i="8"/>
  <c r="AF11" i="8"/>
  <c r="AF129" i="8" s="1"/>
  <c r="AH42" i="7"/>
  <c r="AH47" i="7"/>
  <c r="AA95" i="6"/>
  <c r="AC120" i="8"/>
  <c r="AC122" i="8"/>
  <c r="AC124" i="8"/>
  <c r="AC118" i="8"/>
  <c r="AC125" i="8"/>
  <c r="AC123" i="8"/>
  <c r="AC121" i="8"/>
  <c r="AC117" i="8"/>
  <c r="AC126" i="8"/>
  <c r="AC127" i="8"/>
  <c r="AC119" i="8"/>
  <c r="Z60" i="6"/>
  <c r="Y13" i="8"/>
  <c r="Y8" i="8"/>
  <c r="AE42" i="8"/>
  <c r="AF42" i="8" s="1"/>
  <c r="AC45" i="8"/>
  <c r="X107" i="8"/>
  <c r="X96" i="8"/>
  <c r="X112" i="8" s="1"/>
  <c r="AN112" i="8" s="1"/>
  <c r="Z29" i="7"/>
  <c r="Z34" i="7"/>
  <c r="Z22" i="7"/>
  <c r="Z28" i="7"/>
  <c r="Z27" i="7"/>
  <c r="Z30" i="7"/>
  <c r="Z26" i="7"/>
  <c r="Z24" i="7"/>
  <c r="Z21" i="7"/>
  <c r="Z32" i="7" s="1"/>
  <c r="Z23" i="7"/>
  <c r="Z31" i="7"/>
  <c r="Z25" i="7"/>
  <c r="X10" i="8"/>
  <c r="X18" i="8"/>
  <c r="AD43" i="7"/>
  <c r="AA17" i="7"/>
  <c r="AB5" i="7"/>
  <c r="AA33" i="7"/>
  <c r="Y67" i="6"/>
  <c r="AF37" i="8"/>
  <c r="AE11" i="8"/>
  <c r="AA98" i="6" l="1"/>
  <c r="Z99" i="6"/>
  <c r="AA94" i="6"/>
  <c r="AA96" i="6"/>
  <c r="AA91" i="6"/>
  <c r="AA57" i="6"/>
  <c r="AA60" i="6"/>
  <c r="AA65" i="6"/>
  <c r="AA65" i="5"/>
  <c r="AB65" i="5" s="1"/>
  <c r="AA8" i="5"/>
  <c r="Z68" i="5"/>
  <c r="AD10" i="5"/>
  <c r="AE10" i="5" s="1"/>
  <c r="AA67" i="5"/>
  <c r="AB67" i="5" s="1"/>
  <c r="AA60" i="5"/>
  <c r="AB60" i="5" s="1"/>
  <c r="Z85" i="5"/>
  <c r="Z11" i="5"/>
  <c r="BA8" i="5"/>
  <c r="AA59" i="5"/>
  <c r="AB59" i="5" s="1"/>
  <c r="AA58" i="5"/>
  <c r="AB63" i="5"/>
  <c r="AB61" i="5"/>
  <c r="AB66" i="5"/>
  <c r="AB64" i="5"/>
  <c r="AB57" i="5"/>
  <c r="AC69" i="5"/>
  <c r="AA58" i="6"/>
  <c r="Z17" i="5"/>
  <c r="AA62" i="5"/>
  <c r="AB62" i="5" s="1"/>
  <c r="AA66" i="6"/>
  <c r="AA62" i="6"/>
  <c r="AA89" i="6"/>
  <c r="AA93" i="6"/>
  <c r="AA97" i="6"/>
  <c r="AB100" i="6"/>
  <c r="AB68" i="6"/>
  <c r="AB10" i="6"/>
  <c r="AC8" i="6"/>
  <c r="AD8" i="6" s="1"/>
  <c r="AA63" i="6"/>
  <c r="AA64" i="6"/>
  <c r="AA56" i="6"/>
  <c r="Z67" i="6"/>
  <c r="AA59" i="6"/>
  <c r="AB59" i="6" s="1"/>
  <c r="AE127" i="8"/>
  <c r="AH40" i="8"/>
  <c r="AE124" i="8"/>
  <c r="AG45" i="7"/>
  <c r="AH45" i="7" s="1"/>
  <c r="AF46" i="7"/>
  <c r="AG46" i="7" s="1"/>
  <c r="AF43" i="8"/>
  <c r="AE129" i="8"/>
  <c r="AG11" i="8"/>
  <c r="AG129" i="8" s="1"/>
  <c r="AG40" i="8"/>
  <c r="AD121" i="8"/>
  <c r="AE121" i="8" s="1"/>
  <c r="AD122" i="8"/>
  <c r="AE122" i="8" s="1"/>
  <c r="AD119" i="8"/>
  <c r="AE119" i="8" s="1"/>
  <c r="AD125" i="8"/>
  <c r="AE125" i="8" s="1"/>
  <c r="AD118" i="8"/>
  <c r="AE118" i="8" s="1"/>
  <c r="AC128" i="8"/>
  <c r="AD123" i="8"/>
  <c r="AE123" i="8" s="1"/>
  <c r="AD117" i="8"/>
  <c r="AD126" i="8"/>
  <c r="AE126" i="8" s="1"/>
  <c r="AD127" i="8"/>
  <c r="AD124" i="8"/>
  <c r="AD120" i="8"/>
  <c r="AE120" i="8" s="1"/>
  <c r="AB17" i="7"/>
  <c r="AB33" i="7"/>
  <c r="AC5" i="7"/>
  <c r="AD45" i="8"/>
  <c r="AE45" i="8" s="1"/>
  <c r="AE46" i="7"/>
  <c r="AC5" i="8"/>
  <c r="AB17" i="8"/>
  <c r="AB33" i="8"/>
  <c r="AA29" i="7"/>
  <c r="AA25" i="7"/>
  <c r="AA21" i="7"/>
  <c r="AA30" i="7"/>
  <c r="AA23" i="7"/>
  <c r="AA22" i="7"/>
  <c r="AA32" i="7" s="1"/>
  <c r="AA24" i="7"/>
  <c r="AA27" i="7"/>
  <c r="AA26" i="7"/>
  <c r="AA28" i="7"/>
  <c r="AA31" i="7"/>
  <c r="AD47" i="8"/>
  <c r="AE47" i="8" s="1"/>
  <c r="AC48" i="8"/>
  <c r="AE44" i="8"/>
  <c r="AF43" i="7"/>
  <c r="AE11" i="7"/>
  <c r="AE39" i="8"/>
  <c r="AN107" i="8"/>
  <c r="AN113" i="8" s="1"/>
  <c r="X113" i="8"/>
  <c r="Z13" i="7"/>
  <c r="Z8" i="7"/>
  <c r="Y18" i="8"/>
  <c r="Y12" i="8"/>
  <c r="Y10" i="8"/>
  <c r="Y81" i="8"/>
  <c r="AB128" i="8"/>
  <c r="AG47" i="8"/>
  <c r="AE125" i="7"/>
  <c r="AE119" i="7"/>
  <c r="AE127" i="7"/>
  <c r="AE122" i="7"/>
  <c r="AE118" i="7"/>
  <c r="AH42" i="8"/>
  <c r="AC127" i="7"/>
  <c r="AD127" i="7" s="1"/>
  <c r="AC126" i="7"/>
  <c r="AD126" i="7" s="1"/>
  <c r="AC125" i="7"/>
  <c r="AD125" i="7" s="1"/>
  <c r="AC124" i="7"/>
  <c r="AD124" i="7" s="1"/>
  <c r="AC123" i="7"/>
  <c r="AD123" i="7" s="1"/>
  <c r="AC122" i="7"/>
  <c r="AD122" i="7" s="1"/>
  <c r="AC121" i="7"/>
  <c r="AD121" i="7" s="1"/>
  <c r="AC120" i="7"/>
  <c r="AD120" i="7" s="1"/>
  <c r="AC119" i="7"/>
  <c r="AD119" i="7" s="1"/>
  <c r="AC118" i="7"/>
  <c r="AD118" i="7" s="1"/>
  <c r="AC117" i="7"/>
  <c r="AB128" i="7"/>
  <c r="Z4" i="8"/>
  <c r="Z7" i="8" s="1"/>
  <c r="Y14" i="8"/>
  <c r="Y15" i="8"/>
  <c r="AA23" i="8"/>
  <c r="AA29" i="8"/>
  <c r="AA22" i="8"/>
  <c r="AA21" i="8"/>
  <c r="AA31" i="8"/>
  <c r="AA26" i="8"/>
  <c r="AA30" i="8"/>
  <c r="AA28" i="8"/>
  <c r="AA25" i="8"/>
  <c r="AA24" i="8"/>
  <c r="AA32" i="8" s="1"/>
  <c r="AA27" i="8"/>
  <c r="AG42" i="8"/>
  <c r="AE43" i="7"/>
  <c r="AD48" i="7"/>
  <c r="AG37" i="8"/>
  <c r="AH37" i="8"/>
  <c r="AF47" i="8"/>
  <c r="AD43" i="8"/>
  <c r="AE43" i="8" s="1"/>
  <c r="Y73" i="7"/>
  <c r="Y75" i="7"/>
  <c r="Y77" i="7"/>
  <c r="Y78" i="7"/>
  <c r="Y79" i="7"/>
  <c r="Y80" i="7"/>
  <c r="Y74" i="7"/>
  <c r="Y76" i="7"/>
  <c r="Y81" i="5"/>
  <c r="Y75" i="5"/>
  <c r="Y79" i="5"/>
  <c r="Y83" i="5"/>
  <c r="Y74" i="5"/>
  <c r="Y77" i="5"/>
  <c r="Y80" i="5"/>
  <c r="Y78" i="5"/>
  <c r="Y82" i="5"/>
  <c r="Y76" i="5"/>
  <c r="Y73" i="5"/>
  <c r="AA99" i="6" l="1"/>
  <c r="AA68" i="5"/>
  <c r="AB8" i="5"/>
  <c r="AC8" i="5" s="1"/>
  <c r="AB58" i="5"/>
  <c r="AC58" i="5" s="1"/>
  <c r="AB89" i="6"/>
  <c r="AD69" i="5"/>
  <c r="AE69" i="5"/>
  <c r="AB11" i="5"/>
  <c r="BA11" i="5" s="1"/>
  <c r="AB85" i="5"/>
  <c r="AB17" i="5"/>
  <c r="AF10" i="5"/>
  <c r="AB68" i="5"/>
  <c r="AA17" i="5"/>
  <c r="AA11" i="5"/>
  <c r="AA85" i="5"/>
  <c r="AC57" i="5"/>
  <c r="AC66" i="5"/>
  <c r="AC62" i="5"/>
  <c r="AC59" i="5"/>
  <c r="AC63" i="5"/>
  <c r="AC60" i="5"/>
  <c r="AC64" i="5"/>
  <c r="AC67" i="5"/>
  <c r="AC61" i="5"/>
  <c r="AC65" i="5"/>
  <c r="AA67" i="6"/>
  <c r="AD100" i="6"/>
  <c r="AD68" i="6"/>
  <c r="AD10" i="6"/>
  <c r="AE8" i="6"/>
  <c r="AF8" i="6" s="1"/>
  <c r="AB92" i="6"/>
  <c r="AB93" i="6"/>
  <c r="AB88" i="6"/>
  <c r="AB96" i="6"/>
  <c r="AB97" i="6"/>
  <c r="AB90" i="6"/>
  <c r="AB64" i="6"/>
  <c r="AB56" i="6"/>
  <c r="AB60" i="6"/>
  <c r="AB63" i="6"/>
  <c r="AB58" i="6"/>
  <c r="AB62" i="6"/>
  <c r="AB57" i="6"/>
  <c r="AB95" i="6"/>
  <c r="AC10" i="6"/>
  <c r="AC100" i="6"/>
  <c r="AC68" i="6"/>
  <c r="AB66" i="6"/>
  <c r="AB65" i="6"/>
  <c r="AB91" i="6"/>
  <c r="AB94" i="6"/>
  <c r="AB61" i="6"/>
  <c r="AB98" i="6"/>
  <c r="AF39" i="8"/>
  <c r="AG39" i="8" s="1"/>
  <c r="AH46" i="7"/>
  <c r="AB24" i="8"/>
  <c r="AB26" i="8"/>
  <c r="AB28" i="8"/>
  <c r="AB22" i="8"/>
  <c r="AB31" i="8"/>
  <c r="AB29" i="8"/>
  <c r="AB25" i="8"/>
  <c r="AB30" i="8"/>
  <c r="AB21" i="8"/>
  <c r="AB32" i="8" s="1"/>
  <c r="AB27" i="8"/>
  <c r="AB23" i="8"/>
  <c r="AD5" i="7"/>
  <c r="AC33" i="7"/>
  <c r="AC17" i="7"/>
  <c r="AF48" i="8"/>
  <c r="AH48" i="8" s="1"/>
  <c r="AG48" i="8"/>
  <c r="AH43" i="8"/>
  <c r="AB25" i="7"/>
  <c r="AB27" i="7"/>
  <c r="AB26" i="7"/>
  <c r="AB31" i="7"/>
  <c r="AB21" i="7"/>
  <c r="AB32" i="7" s="1"/>
  <c r="AB29" i="7"/>
  <c r="AB24" i="7"/>
  <c r="AB23" i="7"/>
  <c r="AB22" i="7"/>
  <c r="AB28" i="7"/>
  <c r="AB30" i="7"/>
  <c r="AD48" i="8"/>
  <c r="AD5" i="8"/>
  <c r="AC17" i="8"/>
  <c r="AC33" i="8"/>
  <c r="Y107" i="7"/>
  <c r="Y91" i="7"/>
  <c r="Y89" i="7"/>
  <c r="Y97" i="7" s="1"/>
  <c r="Y105" i="7"/>
  <c r="Y137" i="7"/>
  <c r="Y138" i="7" s="1"/>
  <c r="Y139" i="7" s="1"/>
  <c r="Y140" i="7" s="1"/>
  <c r="Y141" i="7" s="1"/>
  <c r="Y142" i="7" s="1"/>
  <c r="Y143" i="7" s="1"/>
  <c r="Y144" i="7" s="1"/>
  <c r="AE129" i="7"/>
  <c r="AF11" i="7"/>
  <c r="AF129" i="7" s="1"/>
  <c r="Z79" i="5"/>
  <c r="Y84" i="5"/>
  <c r="Z18" i="7"/>
  <c r="Z81" i="7"/>
  <c r="Z10" i="7"/>
  <c r="Z12" i="7" s="1"/>
  <c r="Z78" i="5"/>
  <c r="AA4" i="7"/>
  <c r="AA7" i="7" s="1"/>
  <c r="Z14" i="7"/>
  <c r="Z15" i="7"/>
  <c r="Y90" i="7"/>
  <c r="Y106" i="7"/>
  <c r="Y112" i="7"/>
  <c r="Y96" i="7"/>
  <c r="AE123" i="7"/>
  <c r="Z73" i="5"/>
  <c r="Z76" i="5"/>
  <c r="AD117" i="7"/>
  <c r="AC128" i="7"/>
  <c r="AH123" i="8"/>
  <c r="AH124" i="8"/>
  <c r="AH125" i="8"/>
  <c r="AH126" i="8"/>
  <c r="AG43" i="8"/>
  <c r="Z75" i="5"/>
  <c r="AF44" i="8"/>
  <c r="AG44" i="8" s="1"/>
  <c r="Z13" i="8"/>
  <c r="Z8" i="8"/>
  <c r="Y93" i="5"/>
  <c r="Y94" i="5" s="1"/>
  <c r="Y95" i="5" s="1"/>
  <c r="Z77" i="5"/>
  <c r="Y111" i="7"/>
  <c r="Y95" i="7"/>
  <c r="Z74" i="5"/>
  <c r="Y94" i="7"/>
  <c r="Y110" i="7"/>
  <c r="AE48" i="7"/>
  <c r="AG43" i="7"/>
  <c r="AH43" i="7" s="1"/>
  <c r="AE124" i="7"/>
  <c r="AE117" i="8"/>
  <c r="AE128" i="8" s="1"/>
  <c r="AD128" i="8"/>
  <c r="AH11" i="8"/>
  <c r="Z81" i="5"/>
  <c r="AE48" i="8"/>
  <c r="Y73" i="8"/>
  <c r="Y105" i="8" s="1"/>
  <c r="Y78" i="8"/>
  <c r="Y110" i="8" s="1"/>
  <c r="Y76" i="8"/>
  <c r="Y108" i="8" s="1"/>
  <c r="Y77" i="8"/>
  <c r="Y109" i="8" s="1"/>
  <c r="Y70" i="8"/>
  <c r="Y102" i="8" s="1"/>
  <c r="Y74" i="8"/>
  <c r="Y106" i="8" s="1"/>
  <c r="Y80" i="8"/>
  <c r="Y112" i="8" s="1"/>
  <c r="Y79" i="8"/>
  <c r="Y111" i="8" s="1"/>
  <c r="Y75" i="8"/>
  <c r="Y107" i="8" s="1"/>
  <c r="Y71" i="8"/>
  <c r="Y103" i="8" s="1"/>
  <c r="Y72" i="8"/>
  <c r="Z82" i="5"/>
  <c r="Y108" i="7"/>
  <c r="Y92" i="7"/>
  <c r="AE126" i="7"/>
  <c r="AF45" i="8"/>
  <c r="Z80" i="5"/>
  <c r="AE121" i="7"/>
  <c r="Z83" i="5"/>
  <c r="Y109" i="7"/>
  <c r="Y93" i="7"/>
  <c r="AE120" i="7"/>
  <c r="AH47" i="8"/>
  <c r="AF122" i="8"/>
  <c r="AG122" i="8" s="1"/>
  <c r="AH122" i="8" s="1"/>
  <c r="AF123" i="8"/>
  <c r="AG123" i="8" s="1"/>
  <c r="AF124" i="8"/>
  <c r="AG124" i="8" s="1"/>
  <c r="AF119" i="8"/>
  <c r="AF125" i="8"/>
  <c r="AG125" i="8" s="1"/>
  <c r="AF121" i="8"/>
  <c r="AG121" i="8" s="1"/>
  <c r="AH121" i="8" s="1"/>
  <c r="AF126" i="8"/>
  <c r="AG126" i="8" s="1"/>
  <c r="AF118" i="8"/>
  <c r="AF120" i="8"/>
  <c r="AG120" i="8" s="1"/>
  <c r="AF127" i="8"/>
  <c r="AG127" i="8" s="1"/>
  <c r="AC60" i="6" l="1"/>
  <c r="AC61" i="6"/>
  <c r="AA74" i="5"/>
  <c r="AC11" i="5"/>
  <c r="AD8" i="5"/>
  <c r="AD85" i="5" s="1"/>
  <c r="AC17" i="5"/>
  <c r="AC85" i="5"/>
  <c r="AB74" i="5"/>
  <c r="AA73" i="5"/>
  <c r="AB73" i="5" s="1"/>
  <c r="AF69" i="5"/>
  <c r="AE8" i="5"/>
  <c r="AC68" i="5"/>
  <c r="AD58" i="5"/>
  <c r="AE58" i="5" s="1"/>
  <c r="AD67" i="5"/>
  <c r="AE67" i="5" s="1"/>
  <c r="AD60" i="5"/>
  <c r="AE60" i="5" s="1"/>
  <c r="AD64" i="5"/>
  <c r="AE64" i="5" s="1"/>
  <c r="AD59" i="5"/>
  <c r="AE59" i="5" s="1"/>
  <c r="AD66" i="5"/>
  <c r="AE66" i="5" s="1"/>
  <c r="AD62" i="5"/>
  <c r="AE62" i="5" s="1"/>
  <c r="AD61" i="5"/>
  <c r="AE61" i="5" s="1"/>
  <c r="AD65" i="5"/>
  <c r="AE65" i="5" s="1"/>
  <c r="AD57" i="5"/>
  <c r="AE57" i="5" s="1"/>
  <c r="AD63" i="5"/>
  <c r="AG10" i="5"/>
  <c r="AF68" i="6"/>
  <c r="AF100" i="6"/>
  <c r="AG8" i="6"/>
  <c r="AG68" i="6" s="1"/>
  <c r="AF10" i="6"/>
  <c r="AB99" i="6"/>
  <c r="AA76" i="5"/>
  <c r="AA82" i="5"/>
  <c r="AB82" i="5" s="1"/>
  <c r="AC94" i="6"/>
  <c r="AD94" i="6" s="1"/>
  <c r="AC96" i="6"/>
  <c r="AD96" i="6" s="1"/>
  <c r="AC92" i="6"/>
  <c r="AD92" i="6" s="1"/>
  <c r="AC97" i="6"/>
  <c r="AD97" i="6" s="1"/>
  <c r="AC89" i="6"/>
  <c r="AC88" i="6"/>
  <c r="AD88" i="6" s="1"/>
  <c r="AC95" i="6"/>
  <c r="AD95" i="6" s="1"/>
  <c r="AC93" i="6"/>
  <c r="AD93" i="6" s="1"/>
  <c r="AC91" i="6"/>
  <c r="AD91" i="6" s="1"/>
  <c r="AC98" i="6"/>
  <c r="AD98" i="6" s="1"/>
  <c r="AA79" i="5"/>
  <c r="AB79" i="5" s="1"/>
  <c r="AB67" i="6"/>
  <c r="AA77" i="5"/>
  <c r="AB77" i="5" s="1"/>
  <c r="AE10" i="6"/>
  <c r="AE100" i="6"/>
  <c r="AE68" i="6"/>
  <c r="AA83" i="5"/>
  <c r="AC90" i="6"/>
  <c r="AD90" i="6" s="1"/>
  <c r="AD61" i="6"/>
  <c r="AD60" i="6"/>
  <c r="AC59" i="6"/>
  <c r="AC65" i="6"/>
  <c r="AC56" i="6"/>
  <c r="AD56" i="6" s="1"/>
  <c r="AC58" i="6"/>
  <c r="AD58" i="6" s="1"/>
  <c r="AC62" i="6"/>
  <c r="AC63" i="6"/>
  <c r="AD63" i="6" s="1"/>
  <c r="AC64" i="6"/>
  <c r="AD64" i="6" s="1"/>
  <c r="AC66" i="6"/>
  <c r="AD66" i="6" s="1"/>
  <c r="AC57" i="6"/>
  <c r="Y113" i="7"/>
  <c r="AA81" i="5"/>
  <c r="AB81" i="5" s="1"/>
  <c r="AG45" i="8"/>
  <c r="AH45" i="8" s="1"/>
  <c r="Z18" i="8"/>
  <c r="Z10" i="8"/>
  <c r="Z12" i="8" s="1"/>
  <c r="Z81" i="8"/>
  <c r="AA80" i="5"/>
  <c r="AB80" i="5" s="1"/>
  <c r="AC27" i="8"/>
  <c r="AC28" i="8"/>
  <c r="AC21" i="8"/>
  <c r="AC32" i="8" s="1"/>
  <c r="AC30" i="8"/>
  <c r="AC25" i="8"/>
  <c r="AC26" i="8"/>
  <c r="AC24" i="8"/>
  <c r="AC31" i="8"/>
  <c r="AC22" i="8"/>
  <c r="AC29" i="8"/>
  <c r="AC23" i="8"/>
  <c r="AD128" i="7"/>
  <c r="AE117" i="7"/>
  <c r="AE128" i="7" s="1"/>
  <c r="AG48" i="7"/>
  <c r="AA75" i="5"/>
  <c r="AE5" i="7"/>
  <c r="AD17" i="7"/>
  <c r="AD33" i="7"/>
  <c r="AF117" i="8"/>
  <c r="AF128" i="8" s="1"/>
  <c r="Z84" i="5"/>
  <c r="AA78" i="5"/>
  <c r="AH127" i="8"/>
  <c r="AH120" i="8"/>
  <c r="AG118" i="7"/>
  <c r="AG126" i="7"/>
  <c r="AG117" i="7"/>
  <c r="AG123" i="7"/>
  <c r="AG120" i="7"/>
  <c r="AH44" i="8"/>
  <c r="AG118" i="8"/>
  <c r="AH118" i="8" s="1"/>
  <c r="Y113" i="8"/>
  <c r="Y104" i="8"/>
  <c r="Y136" i="8"/>
  <c r="Y137" i="8" s="1"/>
  <c r="Y138" i="8" s="1"/>
  <c r="Y139" i="8" s="1"/>
  <c r="Y140" i="8" s="1"/>
  <c r="Y141" i="8" s="1"/>
  <c r="Y142" i="8" s="1"/>
  <c r="Y143" i="8" s="1"/>
  <c r="Y144" i="8" s="1"/>
  <c r="AF48" i="7"/>
  <c r="AH48" i="7" s="1"/>
  <c r="AG119" i="8"/>
  <c r="AH119" i="8" s="1"/>
  <c r="Z71" i="7"/>
  <c r="Z70" i="7"/>
  <c r="Z69" i="7"/>
  <c r="Z133" i="7" s="1"/>
  <c r="Z134" i="7" s="1"/>
  <c r="Z135" i="7" s="1"/>
  <c r="Z136" i="7" s="1"/>
  <c r="Z137" i="7" s="1"/>
  <c r="Z138" i="7" s="1"/>
  <c r="Z139" i="7" s="1"/>
  <c r="Z140" i="7" s="1"/>
  <c r="Z141" i="7" s="1"/>
  <c r="Z142" i="7" s="1"/>
  <c r="Z143" i="7" s="1"/>
  <c r="Z144" i="7" s="1"/>
  <c r="Z74" i="7"/>
  <c r="Z77" i="7"/>
  <c r="Z78" i="7"/>
  <c r="Z79" i="7"/>
  <c r="Z72" i="7"/>
  <c r="Z80" i="7"/>
  <c r="Z73" i="7"/>
  <c r="Z75" i="7"/>
  <c r="Z76" i="7"/>
  <c r="AG11" i="7"/>
  <c r="AH39" i="8"/>
  <c r="AD33" i="8"/>
  <c r="AE5" i="8"/>
  <c r="AD17" i="8"/>
  <c r="AF117" i="7"/>
  <c r="AF128" i="7" s="1"/>
  <c r="AF124" i="7"/>
  <c r="AG124" i="7" s="1"/>
  <c r="AF125" i="7"/>
  <c r="AG125" i="7" s="1"/>
  <c r="AF122" i="7"/>
  <c r="AG122" i="7" s="1"/>
  <c r="AF127" i="7"/>
  <c r="AG127" i="7" s="1"/>
  <c r="AF120" i="7"/>
  <c r="AF126" i="7"/>
  <c r="AF123" i="7"/>
  <c r="AF119" i="7"/>
  <c r="AG119" i="7" s="1"/>
  <c r="AF118" i="7"/>
  <c r="AF121" i="7"/>
  <c r="AG121" i="7" s="1"/>
  <c r="AI11" i="8"/>
  <c r="AJ11" i="8"/>
  <c r="AH129" i="8"/>
  <c r="Z15" i="8"/>
  <c r="Z14" i="8"/>
  <c r="AA4" i="8"/>
  <c r="AA7" i="8" s="1"/>
  <c r="AA8" i="7"/>
  <c r="AA13" i="7"/>
  <c r="AC25" i="7"/>
  <c r="AC21" i="7"/>
  <c r="AC32" i="7" s="1"/>
  <c r="AC29" i="7"/>
  <c r="AC28" i="7"/>
  <c r="AC23" i="7"/>
  <c r="AC26" i="7"/>
  <c r="AC24" i="7"/>
  <c r="AC22" i="7"/>
  <c r="AC27" i="7"/>
  <c r="AC31" i="7"/>
  <c r="AC30" i="7"/>
  <c r="AC74" i="5" l="1"/>
  <c r="AH8" i="6"/>
  <c r="AH100" i="6" s="1"/>
  <c r="AG10" i="6"/>
  <c r="AD11" i="5"/>
  <c r="AD74" i="5"/>
  <c r="AG100" i="6"/>
  <c r="AC73" i="5"/>
  <c r="AD73" i="5" s="1"/>
  <c r="AC77" i="5"/>
  <c r="AD17" i="5"/>
  <c r="AC82" i="5"/>
  <c r="AD82" i="5" s="1"/>
  <c r="AD77" i="5"/>
  <c r="AA84" i="5"/>
  <c r="AC80" i="5"/>
  <c r="AD80" i="5" s="1"/>
  <c r="AC79" i="5"/>
  <c r="AD79" i="5" s="1"/>
  <c r="AF57" i="5"/>
  <c r="AF64" i="5"/>
  <c r="AF66" i="5"/>
  <c r="AF62" i="5"/>
  <c r="AF61" i="5"/>
  <c r="AF60" i="5"/>
  <c r="AF65" i="5"/>
  <c r="AF59" i="5"/>
  <c r="AF58" i="5"/>
  <c r="AF67" i="5"/>
  <c r="AB76" i="5"/>
  <c r="AB78" i="5"/>
  <c r="AC78" i="5" s="1"/>
  <c r="AB83" i="5"/>
  <c r="AG69" i="5"/>
  <c r="AH10" i="5"/>
  <c r="AB75" i="5"/>
  <c r="AE63" i="5"/>
  <c r="AE68" i="5" s="1"/>
  <c r="AE17" i="5"/>
  <c r="AE85" i="5"/>
  <c r="AE11" i="5"/>
  <c r="AF8" i="5"/>
  <c r="AD68" i="5"/>
  <c r="AC81" i="5"/>
  <c r="AD81" i="5" s="1"/>
  <c r="AD59" i="6"/>
  <c r="AD89" i="6"/>
  <c r="AE89" i="6" s="1"/>
  <c r="AC99" i="6"/>
  <c r="AD65" i="6"/>
  <c r="AE65" i="6" s="1"/>
  <c r="AC67" i="6"/>
  <c r="AD62" i="6"/>
  <c r="AE60" i="6"/>
  <c r="AF60" i="6" s="1"/>
  <c r="AE61" i="6"/>
  <c r="AF61" i="6" s="1"/>
  <c r="AG61" i="6" s="1"/>
  <c r="AE56" i="6"/>
  <c r="AF56" i="6" s="1"/>
  <c r="AE64" i="6"/>
  <c r="AF64" i="6" s="1"/>
  <c r="AE58" i="6"/>
  <c r="AE63" i="6"/>
  <c r="AF63" i="6" s="1"/>
  <c r="AE66" i="6"/>
  <c r="AD57" i="6"/>
  <c r="AE88" i="6"/>
  <c r="AE97" i="6"/>
  <c r="AF97" i="6" s="1"/>
  <c r="AE92" i="6"/>
  <c r="AF92" i="6" s="1"/>
  <c r="AE94" i="6"/>
  <c r="AF94" i="6" s="1"/>
  <c r="AE90" i="6"/>
  <c r="AF90" i="6" s="1"/>
  <c r="AG90" i="6" s="1"/>
  <c r="AE96" i="6"/>
  <c r="AF96" i="6" s="1"/>
  <c r="AE95" i="6"/>
  <c r="AE98" i="6"/>
  <c r="AF98" i="6" s="1"/>
  <c r="AG98" i="6" s="1"/>
  <c r="AE91" i="6"/>
  <c r="AF91" i="6" s="1"/>
  <c r="AG91" i="6" s="1"/>
  <c r="AE93" i="6"/>
  <c r="AF93" i="6" s="1"/>
  <c r="AG93" i="6" s="1"/>
  <c r="AD21" i="7"/>
  <c r="AD32" i="7" s="1"/>
  <c r="AD29" i="7"/>
  <c r="AD28" i="7"/>
  <c r="AD23" i="7"/>
  <c r="AD22" i="7"/>
  <c r="AD31" i="7"/>
  <c r="AD26" i="7"/>
  <c r="AD25" i="7"/>
  <c r="AD24" i="7"/>
  <c r="AD27" i="7"/>
  <c r="AD30" i="7"/>
  <c r="AE17" i="8"/>
  <c r="AE33" i="8"/>
  <c r="AF5" i="8"/>
  <c r="AF5" i="7"/>
  <c r="AE33" i="7"/>
  <c r="AE17" i="7"/>
  <c r="Z72" i="8"/>
  <c r="Z80" i="8"/>
  <c r="Z79" i="8"/>
  <c r="Z78" i="8"/>
  <c r="Z73" i="8"/>
  <c r="Z74" i="8"/>
  <c r="Z70" i="8"/>
  <c r="Z77" i="8"/>
  <c r="Z71" i="8"/>
  <c r="Z69" i="8"/>
  <c r="Z133" i="8" s="1"/>
  <c r="Z134" i="8" s="1"/>
  <c r="Z135" i="8" s="1"/>
  <c r="Z136" i="8" s="1"/>
  <c r="Z137" i="8" s="1"/>
  <c r="Z138" i="8" s="1"/>
  <c r="Z139" i="8" s="1"/>
  <c r="Z140" i="8" s="1"/>
  <c r="Z141" i="8" s="1"/>
  <c r="Z142" i="8" s="1"/>
  <c r="Z143" i="8" s="1"/>
  <c r="Z144" i="8" s="1"/>
  <c r="Z75" i="8"/>
  <c r="Z76" i="8"/>
  <c r="AD28" i="8"/>
  <c r="AD21" i="8"/>
  <c r="AD27" i="8"/>
  <c r="AD26" i="8"/>
  <c r="AD29" i="8"/>
  <c r="AD32" i="8"/>
  <c r="AD25" i="8"/>
  <c r="AD24" i="8"/>
  <c r="AD23" i="8"/>
  <c r="AD31" i="8"/>
  <c r="AD22" i="8"/>
  <c r="AD30" i="8"/>
  <c r="AA8" i="8"/>
  <c r="AA13" i="8"/>
  <c r="AG129" i="7"/>
  <c r="AH11" i="7"/>
  <c r="AH10" i="6"/>
  <c r="AH68" i="6"/>
  <c r="AB4" i="7"/>
  <c r="AB7" i="7" s="1"/>
  <c r="AA14" i="7"/>
  <c r="AA15" i="7"/>
  <c r="AA10" i="7"/>
  <c r="AA18" i="7"/>
  <c r="AA81" i="7"/>
  <c r="AA12" i="7"/>
  <c r="AG117" i="8"/>
  <c r="AF63" i="5" l="1"/>
  <c r="AG63" i="5" s="1"/>
  <c r="AE79" i="5"/>
  <c r="AE81" i="5"/>
  <c r="AE80" i="5"/>
  <c r="AE82" i="5"/>
  <c r="AE77" i="5"/>
  <c r="AE73" i="5"/>
  <c r="AE74" i="5"/>
  <c r="AG64" i="5"/>
  <c r="AG66" i="5"/>
  <c r="AG57" i="5"/>
  <c r="AG61" i="5"/>
  <c r="AG65" i="5"/>
  <c r="AG62" i="5"/>
  <c r="AG58" i="5"/>
  <c r="AG67" i="5"/>
  <c r="AG59" i="5"/>
  <c r="AG60" i="5"/>
  <c r="AF85" i="5"/>
  <c r="AF11" i="5"/>
  <c r="AF17" i="5"/>
  <c r="AG8" i="5"/>
  <c r="AC75" i="5"/>
  <c r="AD75" i="5" s="1"/>
  <c r="AH69" i="5"/>
  <c r="AI10" i="5"/>
  <c r="AC83" i="5"/>
  <c r="AC76" i="5"/>
  <c r="AD78" i="5"/>
  <c r="AB84" i="5"/>
  <c r="AF58" i="6"/>
  <c r="AG58" i="6" s="1"/>
  <c r="AH58" i="6" s="1"/>
  <c r="AE99" i="6"/>
  <c r="AF89" i="6"/>
  <c r="AG89" i="6" s="1"/>
  <c r="AG97" i="6"/>
  <c r="AH97" i="6" s="1"/>
  <c r="AG96" i="6"/>
  <c r="AH96" i="6" s="1"/>
  <c r="AG63" i="6"/>
  <c r="AH63" i="6" s="1"/>
  <c r="AG64" i="6"/>
  <c r="AH64" i="6" s="1"/>
  <c r="AF95" i="6"/>
  <c r="AG95" i="6" s="1"/>
  <c r="AH95" i="6" s="1"/>
  <c r="AG94" i="6"/>
  <c r="AH94" i="6" s="1"/>
  <c r="AF66" i="6"/>
  <c r="AG66" i="6" s="1"/>
  <c r="AF65" i="6"/>
  <c r="AG65" i="6" s="1"/>
  <c r="AG56" i="6"/>
  <c r="AE62" i="6"/>
  <c r="AF62" i="6" s="1"/>
  <c r="AE57" i="6"/>
  <c r="AF57" i="6" s="1"/>
  <c r="AG57" i="6" s="1"/>
  <c r="AH57" i="6" s="1"/>
  <c r="AF88" i="6"/>
  <c r="AG88" i="6" s="1"/>
  <c r="AD99" i="6"/>
  <c r="AE59" i="6"/>
  <c r="AF59" i="6" s="1"/>
  <c r="AG60" i="6"/>
  <c r="AH60" i="6" s="1"/>
  <c r="AG92" i="6"/>
  <c r="AH92" i="6" s="1"/>
  <c r="AD67" i="6"/>
  <c r="AE21" i="7"/>
  <c r="AE32" i="7" s="1"/>
  <c r="AE28" i="7"/>
  <c r="AE29" i="7"/>
  <c r="AE23" i="7"/>
  <c r="AE25" i="7"/>
  <c r="AE24" i="7"/>
  <c r="AE26" i="7"/>
  <c r="AE22" i="7"/>
  <c r="AE31" i="7"/>
  <c r="AE30" i="7"/>
  <c r="AE27" i="7"/>
  <c r="AB8" i="7"/>
  <c r="AB13" i="7"/>
  <c r="AF17" i="8"/>
  <c r="AG5" i="8"/>
  <c r="AF33" i="8"/>
  <c r="AH93" i="6"/>
  <c r="AH91" i="6"/>
  <c r="AH98" i="6"/>
  <c r="AH90" i="6"/>
  <c r="AF17" i="7"/>
  <c r="AF33" i="7"/>
  <c r="AG5" i="7"/>
  <c r="AH61" i="6"/>
  <c r="AB4" i="8"/>
  <c r="AB7" i="8" s="1"/>
  <c r="AA14" i="8"/>
  <c r="AA15" i="8"/>
  <c r="AA70" i="7"/>
  <c r="AA69" i="7"/>
  <c r="AA133" i="7" s="1"/>
  <c r="AA134" i="7" s="1"/>
  <c r="AA71" i="7"/>
  <c r="AA74" i="7"/>
  <c r="AA75" i="7"/>
  <c r="AA72" i="7"/>
  <c r="AA78" i="7"/>
  <c r="AA79" i="7"/>
  <c r="AA80" i="7"/>
  <c r="AA77" i="7"/>
  <c r="AA73" i="7"/>
  <c r="AA76" i="7"/>
  <c r="AA81" i="8"/>
  <c r="AA18" i="8"/>
  <c r="AA10" i="8"/>
  <c r="AA12" i="8" s="1"/>
  <c r="AE31" i="8"/>
  <c r="AE21" i="8"/>
  <c r="AE29" i="8"/>
  <c r="AE28" i="8"/>
  <c r="AE24" i="8"/>
  <c r="AE26" i="8"/>
  <c r="AE23" i="8"/>
  <c r="AE22" i="8"/>
  <c r="AE32" i="8" s="1"/>
  <c r="AE30" i="8"/>
  <c r="AE27" i="8"/>
  <c r="AE25" i="8"/>
  <c r="AJ11" i="7"/>
  <c r="AI11" i="7"/>
  <c r="AH129" i="7"/>
  <c r="AH124" i="7"/>
  <c r="AH118" i="7"/>
  <c r="AH120" i="7"/>
  <c r="AH119" i="7"/>
  <c r="AH123" i="7"/>
  <c r="AH122" i="7"/>
  <c r="AH117" i="7"/>
  <c r="AH125" i="7"/>
  <c r="AH126" i="7"/>
  <c r="AG128" i="7"/>
  <c r="AH121" i="7"/>
  <c r="AH127" i="7"/>
  <c r="AG128" i="8"/>
  <c r="AH117" i="8"/>
  <c r="AH128" i="8" s="1"/>
  <c r="AF74" i="5" l="1"/>
  <c r="AF73" i="5"/>
  <c r="AF79" i="5"/>
  <c r="AF82" i="5"/>
  <c r="AF81" i="5"/>
  <c r="AF77" i="5"/>
  <c r="AF80" i="5"/>
  <c r="AG17" i="5"/>
  <c r="AG85" i="5"/>
  <c r="AG11" i="5"/>
  <c r="AH8" i="5"/>
  <c r="AC84" i="5"/>
  <c r="AD76" i="5"/>
  <c r="AE76" i="5" s="1"/>
  <c r="AI69" i="5"/>
  <c r="AJ10" i="5"/>
  <c r="AH57" i="5"/>
  <c r="AH59" i="5"/>
  <c r="AH58" i="5"/>
  <c r="AH62" i="5"/>
  <c r="AH67" i="5"/>
  <c r="AH61" i="5"/>
  <c r="AH60" i="5"/>
  <c r="AH63" i="5"/>
  <c r="AH65" i="5"/>
  <c r="AH64" i="5"/>
  <c r="AH66" i="5"/>
  <c r="AG99" i="6"/>
  <c r="AD83" i="5"/>
  <c r="AE75" i="5"/>
  <c r="AF75" i="5" s="1"/>
  <c r="AG68" i="5"/>
  <c r="AF68" i="5"/>
  <c r="AE78" i="5"/>
  <c r="AF78" i="5" s="1"/>
  <c r="AG59" i="6"/>
  <c r="AH59" i="6" s="1"/>
  <c r="AH88" i="6"/>
  <c r="AE67" i="6"/>
  <c r="AH89" i="6"/>
  <c r="AF67" i="6"/>
  <c r="AG62" i="6"/>
  <c r="AH62" i="6" s="1"/>
  <c r="AH66" i="6"/>
  <c r="AH65" i="6"/>
  <c r="AH56" i="6"/>
  <c r="AF99" i="6"/>
  <c r="AB10" i="7"/>
  <c r="AB18" i="7"/>
  <c r="AB81" i="7"/>
  <c r="AB12" i="7"/>
  <c r="AB13" i="8"/>
  <c r="AB8" i="8"/>
  <c r="AB14" i="7"/>
  <c r="AC4" i="7"/>
  <c r="AC7" i="7" s="1"/>
  <c r="AB15" i="7"/>
  <c r="AF28" i="7"/>
  <c r="AF31" i="7"/>
  <c r="AF29" i="7"/>
  <c r="AF25" i="7"/>
  <c r="AF23" i="7"/>
  <c r="AF24" i="7"/>
  <c r="AF30" i="7"/>
  <c r="AF22" i="7"/>
  <c r="AF21" i="7"/>
  <c r="AF32" i="7" s="1"/>
  <c r="AF26" i="7"/>
  <c r="AF27" i="7"/>
  <c r="AH128" i="7"/>
  <c r="AA135" i="7"/>
  <c r="AA136" i="7" s="1"/>
  <c r="AA137" i="7" s="1"/>
  <c r="AA138" i="7" s="1"/>
  <c r="AA139" i="7" s="1"/>
  <c r="AA140" i="7" s="1"/>
  <c r="AA141" i="7" s="1"/>
  <c r="AA142" i="7" s="1"/>
  <c r="AA143" i="7" s="1"/>
  <c r="AA144" i="7" s="1"/>
  <c r="AF22" i="8"/>
  <c r="AF28" i="8"/>
  <c r="AF31" i="8"/>
  <c r="AF27" i="8"/>
  <c r="AF24" i="8"/>
  <c r="AF25" i="8"/>
  <c r="AF26" i="8"/>
  <c r="AF23" i="8"/>
  <c r="AF21" i="8"/>
  <c r="AF32" i="8" s="1"/>
  <c r="AF29" i="8"/>
  <c r="AF30" i="8"/>
  <c r="AG17" i="7"/>
  <c r="AH5" i="7"/>
  <c r="AG33" i="7"/>
  <c r="AA71" i="8"/>
  <c r="AA77" i="8"/>
  <c r="AA69" i="8"/>
  <c r="AA133" i="8" s="1"/>
  <c r="AA78" i="8"/>
  <c r="AA73" i="8"/>
  <c r="AA79" i="8"/>
  <c r="AA75" i="8"/>
  <c r="AA70" i="8"/>
  <c r="AA80" i="8"/>
  <c r="AA72" i="8"/>
  <c r="AA76" i="8"/>
  <c r="AA74" i="8"/>
  <c r="AG17" i="8"/>
  <c r="AG33" i="8"/>
  <c r="AH5" i="8"/>
  <c r="AH99" i="6" l="1"/>
  <c r="AH68" i="5"/>
  <c r="AD84" i="5"/>
  <c r="AG74" i="5"/>
  <c r="AG77" i="5"/>
  <c r="AG79" i="5"/>
  <c r="AG82" i="5"/>
  <c r="AG80" i="5"/>
  <c r="AG73" i="5"/>
  <c r="AG81" i="5"/>
  <c r="AG75" i="5"/>
  <c r="AG78" i="5"/>
  <c r="AE83" i="5"/>
  <c r="AH11" i="5"/>
  <c r="BB8" i="5"/>
  <c r="AH85" i="5"/>
  <c r="BC8" i="5"/>
  <c r="BD8" i="5"/>
  <c r="AH17" i="5"/>
  <c r="AI8" i="5"/>
  <c r="AF76" i="5"/>
  <c r="AG76" i="5" s="1"/>
  <c r="AI58" i="5"/>
  <c r="AI66" i="5"/>
  <c r="AI67" i="5"/>
  <c r="AI62" i="5"/>
  <c r="AI60" i="5"/>
  <c r="AI65" i="5"/>
  <c r="AI59" i="5"/>
  <c r="AI57" i="5"/>
  <c r="AI68" i="5" s="1"/>
  <c r="AI63" i="5"/>
  <c r="AI64" i="5"/>
  <c r="AI61" i="5"/>
  <c r="AH67" i="6"/>
  <c r="AG67" i="6"/>
  <c r="AJ69" i="5"/>
  <c r="AK10" i="5"/>
  <c r="AC8" i="7"/>
  <c r="AC13" i="7"/>
  <c r="AA134" i="8"/>
  <c r="AA135" i="8" s="1"/>
  <c r="AA136" i="8" s="1"/>
  <c r="AA137" i="8" s="1"/>
  <c r="AA138" i="8" s="1"/>
  <c r="AA139" i="8" s="1"/>
  <c r="AA140" i="8" s="1"/>
  <c r="AA141" i="8" s="1"/>
  <c r="AA142" i="8" s="1"/>
  <c r="AA143" i="8" s="1"/>
  <c r="AA144" i="8" s="1"/>
  <c r="AC4" i="8"/>
  <c r="AC7" i="8" s="1"/>
  <c r="AB14" i="8"/>
  <c r="AB15" i="8"/>
  <c r="AB18" i="8"/>
  <c r="AB12" i="8"/>
  <c r="AB10" i="8"/>
  <c r="AB81" i="8"/>
  <c r="AG28" i="7"/>
  <c r="AG24" i="7"/>
  <c r="AG27" i="7"/>
  <c r="AG31" i="7"/>
  <c r="AG23" i="7"/>
  <c r="AG22" i="7"/>
  <c r="AG21" i="7"/>
  <c r="AG32" i="7" s="1"/>
  <c r="AG25" i="7"/>
  <c r="AG30" i="7"/>
  <c r="AG29" i="7"/>
  <c r="AG26" i="7"/>
  <c r="AG23" i="8"/>
  <c r="AG31" i="8"/>
  <c r="AG25" i="8"/>
  <c r="AG27" i="8"/>
  <c r="AG26" i="8"/>
  <c r="AG22" i="8"/>
  <c r="AG21" i="8"/>
  <c r="AG32" i="8" s="1"/>
  <c r="AG24" i="8"/>
  <c r="AG28" i="8"/>
  <c r="AG30" i="8"/>
  <c r="AG29" i="8"/>
  <c r="AB69" i="7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71" i="7"/>
  <c r="AB72" i="7"/>
  <c r="AB74" i="7"/>
  <c r="AB75" i="7"/>
  <c r="AB77" i="7"/>
  <c r="AB78" i="7"/>
  <c r="AB79" i="7"/>
  <c r="AB80" i="7"/>
  <c r="AB73" i="7"/>
  <c r="AB70" i="7"/>
  <c r="AB76" i="7"/>
  <c r="AH17" i="8"/>
  <c r="AI5" i="8"/>
  <c r="AH33" i="8"/>
  <c r="AH33" i="7"/>
  <c r="AH17" i="7"/>
  <c r="AI5" i="7"/>
  <c r="BD11" i="5" l="1"/>
  <c r="BB11" i="5"/>
  <c r="AJ57" i="5"/>
  <c r="AJ66" i="5"/>
  <c r="AJ63" i="5"/>
  <c r="AJ59" i="5"/>
  <c r="AJ58" i="5"/>
  <c r="AJ67" i="5"/>
  <c r="AJ64" i="5"/>
  <c r="AJ62" i="5"/>
  <c r="AJ60" i="5"/>
  <c r="AJ65" i="5"/>
  <c r="AJ61" i="5"/>
  <c r="AK69" i="5"/>
  <c r="AL10" i="5"/>
  <c r="AF83" i="5"/>
  <c r="AE84" i="5"/>
  <c r="AH73" i="5"/>
  <c r="AH80" i="5"/>
  <c r="AH77" i="5"/>
  <c r="AH82" i="5"/>
  <c r="AH74" i="5"/>
  <c r="AH79" i="5"/>
  <c r="AH78" i="5"/>
  <c r="AH81" i="5"/>
  <c r="AH76" i="5"/>
  <c r="AH75" i="5"/>
  <c r="AI85" i="5"/>
  <c r="AI11" i="5"/>
  <c r="AI17" i="5"/>
  <c r="AJ8" i="5"/>
  <c r="AH24" i="7"/>
  <c r="AH28" i="7"/>
  <c r="AH27" i="7"/>
  <c r="AH31" i="7"/>
  <c r="AH26" i="7"/>
  <c r="AH25" i="7"/>
  <c r="AH30" i="7"/>
  <c r="AH23" i="7"/>
  <c r="AH22" i="7"/>
  <c r="AH21" i="7"/>
  <c r="AH32" i="7" s="1"/>
  <c r="AH29" i="7"/>
  <c r="AB70" i="8"/>
  <c r="AB77" i="8"/>
  <c r="AB78" i="8"/>
  <c r="AB73" i="8"/>
  <c r="AB74" i="8"/>
  <c r="AB69" i="8"/>
  <c r="AB80" i="8"/>
  <c r="AB71" i="8"/>
  <c r="AB72" i="8"/>
  <c r="AB79" i="8"/>
  <c r="AB75" i="8"/>
  <c r="AB76" i="8"/>
  <c r="AC13" i="8"/>
  <c r="AC8" i="8"/>
  <c r="AB133" i="8"/>
  <c r="AH26" i="8"/>
  <c r="AH27" i="8"/>
  <c r="AH25" i="8"/>
  <c r="AH29" i="8"/>
  <c r="AH24" i="8"/>
  <c r="AH23" i="8"/>
  <c r="AH22" i="8"/>
  <c r="AH21" i="8"/>
  <c r="AH32" i="8" s="1"/>
  <c r="AH31" i="8"/>
  <c r="AH28" i="8"/>
  <c r="AH30" i="8"/>
  <c r="AC14" i="7"/>
  <c r="AD4" i="7"/>
  <c r="AD7" i="7" s="1"/>
  <c r="AC15" i="7"/>
  <c r="AC18" i="7"/>
  <c r="AC81" i="7"/>
  <c r="AC10" i="7"/>
  <c r="AC12" i="7" s="1"/>
  <c r="AJ11" i="5" l="1"/>
  <c r="AJ85" i="5"/>
  <c r="AJ17" i="5"/>
  <c r="AK8" i="5"/>
  <c r="AI74" i="5"/>
  <c r="AI73" i="5"/>
  <c r="AI77" i="5"/>
  <c r="AI80" i="5"/>
  <c r="AI82" i="5"/>
  <c r="AI79" i="5"/>
  <c r="AI81" i="5"/>
  <c r="AI78" i="5"/>
  <c r="AI75" i="5"/>
  <c r="AI76" i="5"/>
  <c r="AL69" i="5"/>
  <c r="AM10" i="5"/>
  <c r="AK57" i="5"/>
  <c r="AK68" i="5" s="1"/>
  <c r="AK59" i="5"/>
  <c r="AK60" i="5"/>
  <c r="AK64" i="5"/>
  <c r="AK62" i="5"/>
  <c r="AK66" i="5"/>
  <c r="AK58" i="5"/>
  <c r="AK61" i="5"/>
  <c r="AK67" i="5"/>
  <c r="AK65" i="5"/>
  <c r="AK63" i="5"/>
  <c r="AF84" i="5"/>
  <c r="AG83" i="5"/>
  <c r="AJ68" i="5"/>
  <c r="AC10" i="8"/>
  <c r="AC12" i="8"/>
  <c r="AC81" i="8"/>
  <c r="AC18" i="8"/>
  <c r="AB134" i="8"/>
  <c r="AB135" i="8" s="1"/>
  <c r="AB136" i="8" s="1"/>
  <c r="AB137" i="8" s="1"/>
  <c r="AB138" i="8" s="1"/>
  <c r="AB139" i="8" s="1"/>
  <c r="AB140" i="8" s="1"/>
  <c r="AB141" i="8" s="1"/>
  <c r="AB142" i="8" s="1"/>
  <c r="AB143" i="8" s="1"/>
  <c r="AB144" i="8" s="1"/>
  <c r="AC72" i="7"/>
  <c r="AC75" i="7"/>
  <c r="AC70" i="7"/>
  <c r="AC76" i="7"/>
  <c r="AC69" i="7"/>
  <c r="AC133" i="7" s="1"/>
  <c r="AC134" i="7" s="1"/>
  <c r="AC77" i="7"/>
  <c r="AC74" i="7"/>
  <c r="AC79" i="7"/>
  <c r="AC80" i="7"/>
  <c r="AC73" i="7"/>
  <c r="AC71" i="7"/>
  <c r="AC78" i="7"/>
  <c r="AD4" i="8"/>
  <c r="AD7" i="8" s="1"/>
  <c r="AC15" i="8"/>
  <c r="AC14" i="8"/>
  <c r="AD8" i="7"/>
  <c r="AD13" i="7"/>
  <c r="AM69" i="5" l="1"/>
  <c r="AN10" i="5"/>
  <c r="AL57" i="5"/>
  <c r="AL68" i="5" s="1"/>
  <c r="AL62" i="5"/>
  <c r="AL59" i="5"/>
  <c r="AL66" i="5"/>
  <c r="AL61" i="5"/>
  <c r="AL58" i="5"/>
  <c r="AL60" i="5"/>
  <c r="AL65" i="5"/>
  <c r="AL64" i="5"/>
  <c r="AL67" i="5"/>
  <c r="AL63" i="5"/>
  <c r="AK85" i="5"/>
  <c r="AK17" i="5"/>
  <c r="AK11" i="5"/>
  <c r="AL8" i="5"/>
  <c r="AL17" i="5" s="1"/>
  <c r="AJ73" i="5"/>
  <c r="AJ80" i="5"/>
  <c r="AJ79" i="5"/>
  <c r="AJ74" i="5"/>
  <c r="AJ77" i="5"/>
  <c r="AJ81" i="5"/>
  <c r="AJ82" i="5"/>
  <c r="AJ75" i="5"/>
  <c r="AJ78" i="5"/>
  <c r="AJ76" i="5"/>
  <c r="AG84" i="5"/>
  <c r="AH83" i="5"/>
  <c r="AI83" i="5"/>
  <c r="AD18" i="7"/>
  <c r="AD81" i="7"/>
  <c r="AD10" i="7"/>
  <c r="AD12" i="7" s="1"/>
  <c r="AC135" i="7"/>
  <c r="AC136" i="7" s="1"/>
  <c r="AC137" i="7" s="1"/>
  <c r="AC138" i="7" s="1"/>
  <c r="AC139" i="7" s="1"/>
  <c r="AC140" i="7" s="1"/>
  <c r="AC141" i="7" s="1"/>
  <c r="AC142" i="7" s="1"/>
  <c r="AC143" i="7" s="1"/>
  <c r="AC144" i="7" s="1"/>
  <c r="AC69" i="8"/>
  <c r="AC79" i="8"/>
  <c r="AC78" i="8"/>
  <c r="AC74" i="8"/>
  <c r="AC80" i="8"/>
  <c r="AC77" i="8"/>
  <c r="AC71" i="8"/>
  <c r="AC75" i="8"/>
  <c r="AC73" i="8"/>
  <c r="AC76" i="8"/>
  <c r="AC70" i="8"/>
  <c r="AC72" i="8"/>
  <c r="AD14" i="7"/>
  <c r="AE4" i="7"/>
  <c r="AE7" i="7" s="1"/>
  <c r="AD15" i="7"/>
  <c r="AC133" i="8"/>
  <c r="AC134" i="8" s="1"/>
  <c r="AC135" i="8" s="1"/>
  <c r="AC136" i="8" s="1"/>
  <c r="AC137" i="8" s="1"/>
  <c r="AC138" i="8" s="1"/>
  <c r="AC139" i="8" s="1"/>
  <c r="AC140" i="8" s="1"/>
  <c r="AC141" i="8" s="1"/>
  <c r="AC142" i="8" s="1"/>
  <c r="AC143" i="8" s="1"/>
  <c r="AC144" i="8" s="1"/>
  <c r="AD13" i="8"/>
  <c r="AD8" i="8"/>
  <c r="AK73" i="5" l="1"/>
  <c r="AK80" i="5"/>
  <c r="AK82" i="5"/>
  <c r="AK79" i="5"/>
  <c r="AK75" i="5"/>
  <c r="AK81" i="5"/>
  <c r="AK74" i="5"/>
  <c r="AK78" i="5"/>
  <c r="AK77" i="5"/>
  <c r="AK76" i="5"/>
  <c r="AN69" i="5"/>
  <c r="AO10" i="5"/>
  <c r="AH84" i="5"/>
  <c r="AM63" i="5"/>
  <c r="AM66" i="5"/>
  <c r="AM62" i="5"/>
  <c r="AM61" i="5"/>
  <c r="AM60" i="5"/>
  <c r="AM67" i="5"/>
  <c r="AM64" i="5"/>
  <c r="AM65" i="5"/>
  <c r="AM58" i="5"/>
  <c r="AM59" i="5"/>
  <c r="AM57" i="5"/>
  <c r="AM68" i="5" s="1"/>
  <c r="AI84" i="5"/>
  <c r="AL11" i="5"/>
  <c r="AL85" i="5"/>
  <c r="AM8" i="5"/>
  <c r="AJ83" i="5"/>
  <c r="AE4" i="8"/>
  <c r="AE7" i="8" s="1"/>
  <c r="AD14" i="8"/>
  <c r="AD15" i="8"/>
  <c r="AD18" i="8"/>
  <c r="AD10" i="8"/>
  <c r="AD12" i="8" s="1"/>
  <c r="AD81" i="8"/>
  <c r="AD72" i="7"/>
  <c r="AD73" i="7"/>
  <c r="AD80" i="7"/>
  <c r="AD70" i="7"/>
  <c r="AD75" i="7"/>
  <c r="AD74" i="7"/>
  <c r="AD69" i="7"/>
  <c r="AD133" i="7" s="1"/>
  <c r="AD134" i="7" s="1"/>
  <c r="AD135" i="7" s="1"/>
  <c r="AD136" i="7" s="1"/>
  <c r="AD137" i="7" s="1"/>
  <c r="AD138" i="7" s="1"/>
  <c r="AD139" i="7" s="1"/>
  <c r="AD140" i="7" s="1"/>
  <c r="AD141" i="7" s="1"/>
  <c r="AD142" i="7" s="1"/>
  <c r="AD143" i="7" s="1"/>
  <c r="AD144" i="7" s="1"/>
  <c r="AD78" i="7"/>
  <c r="AD79" i="7"/>
  <c r="AD77" i="7"/>
  <c r="AD71" i="7"/>
  <c r="AD76" i="7"/>
  <c r="AE13" i="7"/>
  <c r="AE8" i="7"/>
  <c r="AO69" i="5" l="1"/>
  <c r="AP10" i="5"/>
  <c r="AM85" i="5"/>
  <c r="AM17" i="5"/>
  <c r="AM11" i="5"/>
  <c r="AN8" i="5"/>
  <c r="AN17" i="5" s="1"/>
  <c r="AN57" i="5"/>
  <c r="AN68" i="5" s="1"/>
  <c r="AN65" i="5"/>
  <c r="AN61" i="5"/>
  <c r="AN58" i="5"/>
  <c r="AN63" i="5"/>
  <c r="AN60" i="5"/>
  <c r="AN64" i="5"/>
  <c r="AN62" i="5"/>
  <c r="AN67" i="5"/>
  <c r="AN66" i="5"/>
  <c r="AN59" i="5"/>
  <c r="AJ84" i="5"/>
  <c r="AL73" i="5"/>
  <c r="AL76" i="5"/>
  <c r="AL79" i="5"/>
  <c r="AL81" i="5"/>
  <c r="AL77" i="5"/>
  <c r="AL74" i="5"/>
  <c r="AL80" i="5"/>
  <c r="AL82" i="5"/>
  <c r="AL78" i="5"/>
  <c r="AL75" i="5"/>
  <c r="AK83" i="5"/>
  <c r="AD78" i="8"/>
  <c r="AD69" i="8"/>
  <c r="AD133" i="8" s="1"/>
  <c r="AD70" i="8"/>
  <c r="AD74" i="8"/>
  <c r="AD75" i="8"/>
  <c r="AD71" i="8"/>
  <c r="AD77" i="8"/>
  <c r="AD79" i="8"/>
  <c r="AD76" i="8"/>
  <c r="AD73" i="8"/>
  <c r="AD80" i="8"/>
  <c r="AD72" i="8"/>
  <c r="AE10" i="7"/>
  <c r="AE12" i="7" s="1"/>
  <c r="AE18" i="7"/>
  <c r="AE81" i="7"/>
  <c r="AF4" i="7"/>
  <c r="AF7" i="7" s="1"/>
  <c r="AE14" i="7"/>
  <c r="AE15" i="7"/>
  <c r="AE8" i="8"/>
  <c r="AE13" i="8"/>
  <c r="AP69" i="5" l="1"/>
  <c r="AQ10" i="5"/>
  <c r="AK84" i="5"/>
  <c r="AO61" i="5"/>
  <c r="AO66" i="5"/>
  <c r="AO59" i="5"/>
  <c r="AO67" i="5"/>
  <c r="AO63" i="5"/>
  <c r="AO62" i="5"/>
  <c r="AO64" i="5"/>
  <c r="AO65" i="5"/>
  <c r="AO58" i="5"/>
  <c r="AO57" i="5"/>
  <c r="AO68" i="5" s="1"/>
  <c r="AO60" i="5"/>
  <c r="AL83" i="5"/>
  <c r="AN85" i="5"/>
  <c r="AN11" i="5"/>
  <c r="AO8" i="5"/>
  <c r="AQ8" i="5" s="1"/>
  <c r="AM73" i="5"/>
  <c r="AM75" i="5"/>
  <c r="AM80" i="5"/>
  <c r="AM76" i="5"/>
  <c r="AM81" i="5"/>
  <c r="AM78" i="5"/>
  <c r="AM74" i="5"/>
  <c r="AM82" i="5"/>
  <c r="AM79" i="5"/>
  <c r="AM77" i="5"/>
  <c r="AF8" i="7"/>
  <c r="AF13" i="7"/>
  <c r="AE73" i="7"/>
  <c r="AE79" i="7"/>
  <c r="AE76" i="7"/>
  <c r="AE71" i="7"/>
  <c r="AE75" i="7"/>
  <c r="AE69" i="7"/>
  <c r="AE133" i="7" s="1"/>
  <c r="AE78" i="7"/>
  <c r="AE80" i="7"/>
  <c r="AE72" i="7"/>
  <c r="AE77" i="7"/>
  <c r="AE70" i="7"/>
  <c r="AE74" i="7"/>
  <c r="AE81" i="8"/>
  <c r="AE18" i="8"/>
  <c r="AE10" i="8"/>
  <c r="AE12" i="8" s="1"/>
  <c r="AD134" i="8"/>
  <c r="AD135" i="8" s="1"/>
  <c r="AD136" i="8" s="1"/>
  <c r="AD137" i="8" s="1"/>
  <c r="AD138" i="8" s="1"/>
  <c r="AD139" i="8" s="1"/>
  <c r="AD140" i="8" s="1"/>
  <c r="AD141" i="8" s="1"/>
  <c r="AD142" i="8" s="1"/>
  <c r="AD143" i="8" s="1"/>
  <c r="AD144" i="8" s="1"/>
  <c r="AF4" i="8"/>
  <c r="AF7" i="8" s="1"/>
  <c r="AE14" i="8"/>
  <c r="AE15" i="8"/>
  <c r="AT8" i="5" l="1"/>
  <c r="AT11" i="5" s="1"/>
  <c r="AQ85" i="5"/>
  <c r="AQ11" i="5"/>
  <c r="AR8" i="5"/>
  <c r="AL84" i="5"/>
  <c r="AP64" i="5"/>
  <c r="AP60" i="5"/>
  <c r="AP66" i="5"/>
  <c r="AP62" i="5"/>
  <c r="AP59" i="5"/>
  <c r="AP67" i="5"/>
  <c r="AP58" i="5"/>
  <c r="AP65" i="5"/>
  <c r="AP63" i="5"/>
  <c r="AP61" i="5"/>
  <c r="AP57" i="5"/>
  <c r="AP68" i="5" s="1"/>
  <c r="AY8" i="5"/>
  <c r="AO11" i="5"/>
  <c r="AO17" i="5"/>
  <c r="AO85" i="5"/>
  <c r="AP8" i="5"/>
  <c r="AQ17" i="5" s="1"/>
  <c r="AU8" i="5"/>
  <c r="AS8" i="5"/>
  <c r="AW8" i="5"/>
  <c r="AM83" i="5"/>
  <c r="AM84" i="5" s="1"/>
  <c r="AN73" i="5"/>
  <c r="AN74" i="5"/>
  <c r="AN76" i="5"/>
  <c r="AN75" i="5"/>
  <c r="AN81" i="5"/>
  <c r="AN80" i="5"/>
  <c r="AN78" i="5"/>
  <c r="AN82" i="5"/>
  <c r="AN79" i="5"/>
  <c r="AN77" i="5"/>
  <c r="AN83" i="5"/>
  <c r="AX8" i="5"/>
  <c r="AQ69" i="5"/>
  <c r="AR10" i="5"/>
  <c r="AV8" i="5"/>
  <c r="AE78" i="8"/>
  <c r="AE79" i="8"/>
  <c r="AE80" i="8"/>
  <c r="AE77" i="8"/>
  <c r="AE74" i="8"/>
  <c r="AE73" i="8"/>
  <c r="AE69" i="8"/>
  <c r="AE133" i="8" s="1"/>
  <c r="AE134" i="8" s="1"/>
  <c r="AE135" i="8" s="1"/>
  <c r="AE136" i="8" s="1"/>
  <c r="AE137" i="8" s="1"/>
  <c r="AE138" i="8" s="1"/>
  <c r="AE139" i="8" s="1"/>
  <c r="AE140" i="8" s="1"/>
  <c r="AE141" i="8" s="1"/>
  <c r="AE142" i="8" s="1"/>
  <c r="AE143" i="8" s="1"/>
  <c r="AE144" i="8" s="1"/>
  <c r="AE75" i="8"/>
  <c r="AE71" i="8"/>
  <c r="AE76" i="8"/>
  <c r="AE70" i="8"/>
  <c r="AE72" i="8"/>
  <c r="AE134" i="7"/>
  <c r="AE135" i="7" s="1"/>
  <c r="AE136" i="7" s="1"/>
  <c r="AE137" i="7" s="1"/>
  <c r="AE138" i="7" s="1"/>
  <c r="AE139" i="7" s="1"/>
  <c r="AE140" i="7" s="1"/>
  <c r="AE141" i="7" s="1"/>
  <c r="AE142" i="7" s="1"/>
  <c r="AE143" i="7" s="1"/>
  <c r="AE144" i="7" s="1"/>
  <c r="AF8" i="8"/>
  <c r="AF13" i="8"/>
  <c r="AG4" i="7"/>
  <c r="AG7" i="7" s="1"/>
  <c r="AF14" i="7"/>
  <c r="AF15" i="7"/>
  <c r="AF10" i="7"/>
  <c r="AF81" i="7"/>
  <c r="AF12" i="7"/>
  <c r="AF18" i="7"/>
  <c r="AT85" i="5" l="1"/>
  <c r="AN84" i="5"/>
  <c r="AS85" i="5"/>
  <c r="AS17" i="5"/>
  <c r="AS11" i="5"/>
  <c r="AO73" i="5"/>
  <c r="AT73" i="5" s="1"/>
  <c r="AT84" i="5" s="1"/>
  <c r="AO79" i="5"/>
  <c r="AT79" i="5" s="1"/>
  <c r="AO76" i="5"/>
  <c r="AT76" i="5" s="1"/>
  <c r="AO78" i="5"/>
  <c r="AT78" i="5" s="1"/>
  <c r="AO82" i="5"/>
  <c r="AT82" i="5" s="1"/>
  <c r="AO74" i="5"/>
  <c r="AT74" i="5" s="1"/>
  <c r="AO81" i="5"/>
  <c r="AT81" i="5" s="1"/>
  <c r="AO80" i="5"/>
  <c r="AT80" i="5" s="1"/>
  <c r="AO75" i="5"/>
  <c r="AT75" i="5" s="1"/>
  <c r="AO77" i="5"/>
  <c r="AT77" i="5" s="1"/>
  <c r="AO83" i="5"/>
  <c r="AT83" i="5" s="1"/>
  <c r="AR11" i="5"/>
  <c r="AR17" i="5"/>
  <c r="AR85" i="5"/>
  <c r="AQ62" i="5"/>
  <c r="AQ63" i="5"/>
  <c r="AQ60" i="5"/>
  <c r="AQ57" i="5"/>
  <c r="AQ68" i="5" s="1"/>
  <c r="AQ61" i="5"/>
  <c r="AQ66" i="5"/>
  <c r="AQ64" i="5"/>
  <c r="AQ65" i="5"/>
  <c r="AQ67" i="5"/>
  <c r="AQ58" i="5"/>
  <c r="AQ59" i="5"/>
  <c r="AU11" i="5"/>
  <c r="AU85" i="5"/>
  <c r="AU17" i="5"/>
  <c r="AQ73" i="5"/>
  <c r="AQ84" i="5" s="1"/>
  <c r="AQ78" i="5"/>
  <c r="AV78" i="5" s="1"/>
  <c r="AQ82" i="5"/>
  <c r="AV82" i="5" s="1"/>
  <c r="AQ76" i="5"/>
  <c r="AV76" i="5" s="1"/>
  <c r="AQ81" i="5"/>
  <c r="AV81" i="5" s="1"/>
  <c r="AQ79" i="5"/>
  <c r="AV79" i="5" s="1"/>
  <c r="AP85" i="5"/>
  <c r="AP11" i="5"/>
  <c r="AP17" i="5"/>
  <c r="AX85" i="5"/>
  <c r="AX11" i="5"/>
  <c r="AY11" i="5"/>
  <c r="AY17" i="5"/>
  <c r="AY85" i="5"/>
  <c r="AV85" i="5"/>
  <c r="AV11" i="5"/>
  <c r="AV17" i="5"/>
  <c r="AR69" i="5"/>
  <c r="AS10" i="5"/>
  <c r="AT17" i="5"/>
  <c r="AX17" i="5"/>
  <c r="AW11" i="5"/>
  <c r="AW85" i="5"/>
  <c r="AW17" i="5"/>
  <c r="AF15" i="8"/>
  <c r="AG4" i="8"/>
  <c r="AG7" i="8" s="1"/>
  <c r="AF14" i="8"/>
  <c r="AF73" i="7"/>
  <c r="AF74" i="7"/>
  <c r="AF78" i="7"/>
  <c r="AF77" i="7"/>
  <c r="AF72" i="7"/>
  <c r="AF76" i="7"/>
  <c r="AF79" i="7"/>
  <c r="AF71" i="7"/>
  <c r="AF69" i="7"/>
  <c r="AF133" i="7" s="1"/>
  <c r="AF134" i="7" s="1"/>
  <c r="AF135" i="7" s="1"/>
  <c r="AF136" i="7" s="1"/>
  <c r="AF137" i="7" s="1"/>
  <c r="AF138" i="7" s="1"/>
  <c r="AF139" i="7" s="1"/>
  <c r="AF140" i="7" s="1"/>
  <c r="AF141" i="7" s="1"/>
  <c r="AF142" i="7" s="1"/>
  <c r="AF143" i="7" s="1"/>
  <c r="AF144" i="7" s="1"/>
  <c r="AF75" i="7"/>
  <c r="AF70" i="7"/>
  <c r="AF80" i="7"/>
  <c r="AG8" i="7"/>
  <c r="AG13" i="7"/>
  <c r="AF18" i="8"/>
  <c r="AF10" i="8"/>
  <c r="AF81" i="8"/>
  <c r="AF12" i="8"/>
  <c r="AS80" i="5" l="1"/>
  <c r="AX80" i="5" s="1"/>
  <c r="AQ80" i="5"/>
  <c r="AV80" i="5" s="1"/>
  <c r="AO84" i="5"/>
  <c r="AS78" i="5"/>
  <c r="AS76" i="5"/>
  <c r="AX76" i="5"/>
  <c r="AX78" i="5"/>
  <c r="AR73" i="5"/>
  <c r="AR84" i="5" s="1"/>
  <c r="AR82" i="5"/>
  <c r="AW82" i="5" s="1"/>
  <c r="AR79" i="5"/>
  <c r="AW79" i="5" s="1"/>
  <c r="AR78" i="5"/>
  <c r="AW78" i="5" s="1"/>
  <c r="AR74" i="5"/>
  <c r="AW74" i="5" s="1"/>
  <c r="AR76" i="5"/>
  <c r="AW76" i="5" s="1"/>
  <c r="AR77" i="5"/>
  <c r="AW77" i="5" s="1"/>
  <c r="AR80" i="5"/>
  <c r="AW80" i="5" s="1"/>
  <c r="AR81" i="5"/>
  <c r="AW81" i="5" s="1"/>
  <c r="AR75" i="5"/>
  <c r="AW75" i="5" s="1"/>
  <c r="AS69" i="5"/>
  <c r="AT10" i="5"/>
  <c r="AS81" i="5"/>
  <c r="AX81" i="5" s="1"/>
  <c r="AP73" i="5"/>
  <c r="AU73" i="5" s="1"/>
  <c r="AU84" i="5" s="1"/>
  <c r="AP77" i="5"/>
  <c r="AU77" i="5" s="1"/>
  <c r="AP78" i="5"/>
  <c r="AU78" i="5" s="1"/>
  <c r="AP82" i="5"/>
  <c r="AU82" i="5" s="1"/>
  <c r="AP76" i="5"/>
  <c r="AU76" i="5" s="1"/>
  <c r="AP74" i="5"/>
  <c r="AU74" i="5" s="1"/>
  <c r="AP75" i="5"/>
  <c r="AU75" i="5" s="1"/>
  <c r="AP81" i="5"/>
  <c r="AU81" i="5" s="1"/>
  <c r="AP79" i="5"/>
  <c r="AU79" i="5" s="1"/>
  <c r="AP80" i="5"/>
  <c r="AU80" i="5" s="1"/>
  <c r="AP83" i="5"/>
  <c r="AU83" i="5" s="1"/>
  <c r="AS77" i="5"/>
  <c r="AX77" i="5" s="1"/>
  <c r="AW73" i="5"/>
  <c r="AW84" i="5" s="1"/>
  <c r="AR83" i="5"/>
  <c r="AW83" i="5" s="1"/>
  <c r="AS82" i="5"/>
  <c r="AX82" i="5" s="1"/>
  <c r="AV73" i="5"/>
  <c r="AV84" i="5" s="1"/>
  <c r="AS79" i="5"/>
  <c r="AX79" i="5" s="1"/>
  <c r="AS75" i="5"/>
  <c r="AX75" i="5" s="1"/>
  <c r="AQ77" i="5"/>
  <c r="AV77" i="5" s="1"/>
  <c r="AQ74" i="5"/>
  <c r="AV74" i="5" s="1"/>
  <c r="AS74" i="5"/>
  <c r="AX74" i="5" s="1"/>
  <c r="AS73" i="5"/>
  <c r="AX73" i="5" s="1"/>
  <c r="AX84" i="5" s="1"/>
  <c r="AR64" i="5"/>
  <c r="AR59" i="5"/>
  <c r="AR66" i="5"/>
  <c r="AR58" i="5"/>
  <c r="AR65" i="5"/>
  <c r="AR60" i="5"/>
  <c r="AR61" i="5"/>
  <c r="AR67" i="5"/>
  <c r="AR57" i="5"/>
  <c r="AR62" i="5"/>
  <c r="AR63" i="5"/>
  <c r="AS83" i="5"/>
  <c r="AX83" i="5" s="1"/>
  <c r="AY77" i="5"/>
  <c r="AY80" i="5"/>
  <c r="AY78" i="5"/>
  <c r="AY75" i="5"/>
  <c r="AY79" i="5"/>
  <c r="AY83" i="5"/>
  <c r="AY81" i="5"/>
  <c r="AY82" i="5"/>
  <c r="AY74" i="5"/>
  <c r="AY76" i="5"/>
  <c r="AY73" i="5"/>
  <c r="AY84" i="5" s="1"/>
  <c r="AQ83" i="5"/>
  <c r="AV83" i="5" s="1"/>
  <c r="AQ75" i="5"/>
  <c r="AV75" i="5" s="1"/>
  <c r="AG10" i="7"/>
  <c r="AG12" i="7" s="1"/>
  <c r="AG18" i="7"/>
  <c r="AG81" i="7"/>
  <c r="AG8" i="8"/>
  <c r="AG13" i="8"/>
  <c r="AF69" i="8"/>
  <c r="AF133" i="8" s="1"/>
  <c r="AF70" i="8"/>
  <c r="AF71" i="8"/>
  <c r="AF75" i="8"/>
  <c r="AF79" i="8"/>
  <c r="AF76" i="8"/>
  <c r="AF77" i="8"/>
  <c r="AF74" i="8"/>
  <c r="AF80" i="8"/>
  <c r="AF73" i="8"/>
  <c r="AF72" i="8"/>
  <c r="AF78" i="8"/>
  <c r="AG14" i="7"/>
  <c r="AH4" i="7"/>
  <c r="AH7" i="7" s="1"/>
  <c r="AG15" i="7"/>
  <c r="AP84" i="5" l="1"/>
  <c r="AS84" i="5"/>
  <c r="AT69" i="5"/>
  <c r="AU10" i="5"/>
  <c r="AS65" i="5"/>
  <c r="AS58" i="5"/>
  <c r="AS57" i="5"/>
  <c r="AS62" i="5"/>
  <c r="AS63" i="5"/>
  <c r="AS64" i="5"/>
  <c r="AS59" i="5"/>
  <c r="AS61" i="5"/>
  <c r="AS66" i="5"/>
  <c r="AS67" i="5"/>
  <c r="AS60" i="5"/>
  <c r="AR68" i="5"/>
  <c r="AG15" i="8"/>
  <c r="AG14" i="8"/>
  <c r="AH4" i="8"/>
  <c r="AH7" i="8" s="1"/>
  <c r="AG10" i="8"/>
  <c r="AG12" i="8" s="1"/>
  <c r="AG81" i="8"/>
  <c r="AG18" i="8"/>
  <c r="AF134" i="8"/>
  <c r="AF135" i="8" s="1"/>
  <c r="AF136" i="8" s="1"/>
  <c r="AF137" i="8" s="1"/>
  <c r="AF138" i="8" s="1"/>
  <c r="AF139" i="8" s="1"/>
  <c r="AF140" i="8" s="1"/>
  <c r="AF141" i="8" s="1"/>
  <c r="AF142" i="8" s="1"/>
  <c r="AF143" i="8" s="1"/>
  <c r="AF144" i="8" s="1"/>
  <c r="AG74" i="7"/>
  <c r="AG75" i="7"/>
  <c r="AG72" i="7"/>
  <c r="AG69" i="7"/>
  <c r="AG133" i="7" s="1"/>
  <c r="AG77" i="7"/>
  <c r="AG79" i="7"/>
  <c r="AG80" i="7"/>
  <c r="AG73" i="7"/>
  <c r="AG71" i="7"/>
  <c r="AG78" i="7"/>
  <c r="AG70" i="7"/>
  <c r="AG76" i="7"/>
  <c r="AH8" i="7"/>
  <c r="AI7" i="7"/>
  <c r="AH13" i="7"/>
  <c r="AS68" i="5" l="1"/>
  <c r="AU69" i="5"/>
  <c r="AV10" i="5"/>
  <c r="AT57" i="5"/>
  <c r="AT68" i="5" s="1"/>
  <c r="AT58" i="5"/>
  <c r="AT66" i="5"/>
  <c r="AT65" i="5"/>
  <c r="AT67" i="5"/>
  <c r="AT61" i="5"/>
  <c r="AT62" i="5"/>
  <c r="AT60" i="5"/>
  <c r="AT63" i="5"/>
  <c r="AT64" i="5"/>
  <c r="AT59" i="5"/>
  <c r="AG134" i="7"/>
  <c r="AG135" i="7" s="1"/>
  <c r="AG136" i="7" s="1"/>
  <c r="AG137" i="7" s="1"/>
  <c r="AG138" i="7" s="1"/>
  <c r="AG139" i="7" s="1"/>
  <c r="AG140" i="7" s="1"/>
  <c r="AG141" i="7" s="1"/>
  <c r="AG142" i="7" s="1"/>
  <c r="AG143" i="7" s="1"/>
  <c r="AG144" i="7" s="1"/>
  <c r="AG69" i="8"/>
  <c r="AG133" i="8" s="1"/>
  <c r="AG134" i="8" s="1"/>
  <c r="AG135" i="8" s="1"/>
  <c r="AG136" i="8" s="1"/>
  <c r="AG137" i="8" s="1"/>
  <c r="AG138" i="8" s="1"/>
  <c r="AG139" i="8" s="1"/>
  <c r="AG140" i="8" s="1"/>
  <c r="AG141" i="8" s="1"/>
  <c r="AG142" i="8" s="1"/>
  <c r="AG143" i="8" s="1"/>
  <c r="AG144" i="8" s="1"/>
  <c r="AG79" i="8"/>
  <c r="AG80" i="8"/>
  <c r="AG75" i="8"/>
  <c r="AG70" i="8"/>
  <c r="AG77" i="8"/>
  <c r="AG74" i="8"/>
  <c r="AG71" i="8"/>
  <c r="AG76" i="8"/>
  <c r="AG73" i="8"/>
  <c r="AG78" i="8"/>
  <c r="AG72" i="8"/>
  <c r="AI7" i="8"/>
  <c r="AH8" i="8"/>
  <c r="AH13" i="8"/>
  <c r="AI8" i="7"/>
  <c r="AH18" i="7"/>
  <c r="AH81" i="7"/>
  <c r="AH10" i="7"/>
  <c r="AH12" i="7" s="1"/>
  <c r="AI12" i="7" s="1"/>
  <c r="AI13" i="7"/>
  <c r="AH14" i="7"/>
  <c r="AH15" i="7"/>
  <c r="AV69" i="5" l="1"/>
  <c r="AW10" i="5"/>
  <c r="AU57" i="5"/>
  <c r="AU68" i="5" s="1"/>
  <c r="AU67" i="5"/>
  <c r="AU63" i="5"/>
  <c r="AU58" i="5"/>
  <c r="AU62" i="5"/>
  <c r="AU64" i="5"/>
  <c r="AU66" i="5"/>
  <c r="AU59" i="5"/>
  <c r="AU61" i="5"/>
  <c r="AU65" i="5"/>
  <c r="AU60" i="5"/>
  <c r="AH81" i="8"/>
  <c r="AI8" i="8"/>
  <c r="AH18" i="8"/>
  <c r="AH10" i="8"/>
  <c r="AH12" i="8" s="1"/>
  <c r="AI12" i="8" s="1"/>
  <c r="AH74" i="7"/>
  <c r="AH75" i="7"/>
  <c r="AH71" i="7"/>
  <c r="AH76" i="7"/>
  <c r="AH72" i="7"/>
  <c r="AH69" i="7"/>
  <c r="AH133" i="7" s="1"/>
  <c r="AH134" i="7" s="1"/>
  <c r="AH135" i="7" s="1"/>
  <c r="AH136" i="7" s="1"/>
  <c r="AH137" i="7" s="1"/>
  <c r="AH138" i="7" s="1"/>
  <c r="AH139" i="7" s="1"/>
  <c r="AH140" i="7" s="1"/>
  <c r="AH141" i="7" s="1"/>
  <c r="AH142" i="7" s="1"/>
  <c r="AH143" i="7" s="1"/>
  <c r="AH144" i="7" s="1"/>
  <c r="AH80" i="7"/>
  <c r="AH79" i="7"/>
  <c r="AH78" i="7"/>
  <c r="AH73" i="7"/>
  <c r="AH70" i="7"/>
  <c r="AH77" i="7"/>
  <c r="AH14" i="8"/>
  <c r="AI13" i="8"/>
  <c r="AH15" i="8"/>
  <c r="AW69" i="5" l="1"/>
  <c r="AX10" i="5"/>
  <c r="AV57" i="5"/>
  <c r="AV68" i="5" s="1"/>
  <c r="AV59" i="5"/>
  <c r="AV62" i="5"/>
  <c r="AV60" i="5"/>
  <c r="AV63" i="5"/>
  <c r="AV67" i="5"/>
  <c r="AV61" i="5"/>
  <c r="AV65" i="5"/>
  <c r="AV64" i="5"/>
  <c r="AV58" i="5"/>
  <c r="AV66" i="5"/>
  <c r="AH79" i="8"/>
  <c r="AH70" i="8"/>
  <c r="AH71" i="8"/>
  <c r="AH72" i="8"/>
  <c r="AH75" i="8"/>
  <c r="AH69" i="8"/>
  <c r="AH133" i="8" s="1"/>
  <c r="AH134" i="8" s="1"/>
  <c r="AH135" i="8" s="1"/>
  <c r="AH136" i="8" s="1"/>
  <c r="AH137" i="8" s="1"/>
  <c r="AH80" i="8"/>
  <c r="AH73" i="8"/>
  <c r="AH77" i="8"/>
  <c r="AH76" i="8"/>
  <c r="AH74" i="8"/>
  <c r="AH78" i="8"/>
  <c r="AX69" i="5" l="1"/>
  <c r="AY10" i="5"/>
  <c r="AY69" i="5" s="1"/>
  <c r="AW62" i="5"/>
  <c r="AW59" i="5"/>
  <c r="AW60" i="5"/>
  <c r="AW63" i="5"/>
  <c r="AW67" i="5"/>
  <c r="AW61" i="5"/>
  <c r="AW66" i="5"/>
  <c r="AW58" i="5"/>
  <c r="AW65" i="5"/>
  <c r="AW64" i="5"/>
  <c r="AW57" i="5"/>
  <c r="AW68" i="5" s="1"/>
  <c r="AH138" i="8"/>
  <c r="AH139" i="8" s="1"/>
  <c r="AH140" i="8" s="1"/>
  <c r="AH141" i="8" s="1"/>
  <c r="AH142" i="8" s="1"/>
  <c r="AH143" i="8" s="1"/>
  <c r="AH144" i="8" s="1"/>
  <c r="AY60" i="5" l="1"/>
  <c r="AY63" i="5"/>
  <c r="AY59" i="5"/>
  <c r="AY62" i="5"/>
  <c r="AY58" i="5"/>
  <c r="AY65" i="5"/>
  <c r="AY66" i="5"/>
  <c r="AY64" i="5"/>
  <c r="AY67" i="5"/>
  <c r="AY61" i="5"/>
  <c r="AY57" i="5"/>
  <c r="AY68" i="5" s="1"/>
  <c r="AX62" i="5"/>
  <c r="AX64" i="5"/>
  <c r="AX66" i="5"/>
  <c r="AX57" i="5"/>
  <c r="AX68" i="5" s="1"/>
  <c r="AX63" i="5"/>
  <c r="AX59" i="5"/>
  <c r="AX61" i="5"/>
  <c r="AX67" i="5"/>
  <c r="AX58" i="5"/>
  <c r="AX65" i="5"/>
  <c r="AX60" i="5"/>
  <c r="Z6" i="6" l="1"/>
  <c r="Z52" i="6" s="1"/>
  <c r="AB6" i="6"/>
  <c r="AB52" i="6" s="1"/>
  <c r="AC6" i="6"/>
  <c r="AC52" i="6" s="1"/>
  <c r="AF6" i="6"/>
  <c r="AF52" i="6" s="1"/>
  <c r="AE6" i="6"/>
  <c r="AE52" i="6" s="1"/>
  <c r="AG6" i="6"/>
  <c r="AG52" i="6" s="1"/>
  <c r="AH6" i="6"/>
  <c r="AH52" i="6" s="1"/>
  <c r="AD6" i="6"/>
  <c r="AD52" i="6" s="1"/>
  <c r="Y6" i="6"/>
  <c r="AA6" i="6"/>
  <c r="AA52" i="6" s="1"/>
  <c r="Y52" i="6" l="1"/>
  <c r="Z41" i="6" s="1"/>
  <c r="Y7" i="6"/>
  <c r="Y11" i="6" s="1"/>
  <c r="AF6" i="5"/>
  <c r="AF53" i="5" s="1"/>
  <c r="AB6" i="5"/>
  <c r="AB53" i="5" s="1"/>
  <c r="AI6" i="5"/>
  <c r="AI53" i="5" s="1"/>
  <c r="AM6" i="5"/>
  <c r="AM53" i="5" s="1"/>
  <c r="AJ6" i="5"/>
  <c r="AJ53" i="5" s="1"/>
  <c r="Z6" i="5"/>
  <c r="AA6" i="5"/>
  <c r="AA53" i="5" s="1"/>
  <c r="AD6" i="5"/>
  <c r="AD53" i="5" s="1"/>
  <c r="AC6" i="5"/>
  <c r="AC53" i="5" s="1"/>
  <c r="AG6" i="5"/>
  <c r="AG53" i="5" s="1"/>
  <c r="Y6" i="5"/>
  <c r="AO6" i="5"/>
  <c r="AO53" i="5" s="1"/>
  <c r="AK6" i="5"/>
  <c r="AK53" i="5" s="1"/>
  <c r="AH6" i="5"/>
  <c r="AL6" i="5"/>
  <c r="AL53" i="5" s="1"/>
  <c r="AE6" i="5"/>
  <c r="AE53" i="5" s="1"/>
  <c r="AN6" i="5"/>
  <c r="AN53" i="5" s="1"/>
  <c r="AA41" i="6" l="1"/>
  <c r="AB41" i="6" s="1"/>
  <c r="Z43" i="6"/>
  <c r="Z40" i="6"/>
  <c r="Y46" i="6"/>
  <c r="Y48" i="6"/>
  <c r="Y49" i="6"/>
  <c r="Y44" i="6"/>
  <c r="Y47" i="6"/>
  <c r="Y50" i="6"/>
  <c r="Y45" i="6"/>
  <c r="Y53" i="5"/>
  <c r="Y7" i="5"/>
  <c r="Y12" i="5" s="1"/>
  <c r="Z42" i="6"/>
  <c r="Y13" i="6"/>
  <c r="Z4" i="6"/>
  <c r="Z7" i="6" s="1"/>
  <c r="Z11" i="6" s="1"/>
  <c r="AH53" i="5"/>
  <c r="BB6" i="5"/>
  <c r="BD6" i="5"/>
  <c r="Z53" i="5"/>
  <c r="BA6" i="5"/>
  <c r="Y51" i="6" l="1"/>
  <c r="Z45" i="6"/>
  <c r="Z48" i="6"/>
  <c r="Y49" i="5"/>
  <c r="Z49" i="5" s="1"/>
  <c r="Y51" i="5"/>
  <c r="Z51" i="5" s="1"/>
  <c r="Y48" i="5"/>
  <c r="Y50" i="5"/>
  <c r="Z50" i="5" s="1"/>
  <c r="Z49" i="6"/>
  <c r="AA49" i="6"/>
  <c r="AB49" i="6"/>
  <c r="AA42" i="6"/>
  <c r="AB42" i="6" s="1"/>
  <c r="Z46" i="6"/>
  <c r="AA46" i="6" s="1"/>
  <c r="AA43" i="6"/>
  <c r="AB43" i="6"/>
  <c r="Z41" i="5"/>
  <c r="Z47" i="5"/>
  <c r="Z45" i="5"/>
  <c r="Z42" i="5"/>
  <c r="Z43" i="5"/>
  <c r="Z46" i="5"/>
  <c r="Z44" i="5"/>
  <c r="Z13" i="6"/>
  <c r="AA4" i="6"/>
  <c r="AA7" i="6" s="1"/>
  <c r="AA11" i="6" s="1"/>
  <c r="Y77" i="6"/>
  <c r="Y78" i="6" s="1"/>
  <c r="Y79" i="6" s="1"/>
  <c r="Y80" i="6" s="1"/>
  <c r="Y81" i="6" s="1"/>
  <c r="Y82" i="6" s="1"/>
  <c r="Y83" i="6" s="1"/>
  <c r="Y84" i="6" s="1"/>
  <c r="Z73" i="6" s="1"/>
  <c r="Z74" i="6" s="1"/>
  <c r="Z75" i="6" s="1"/>
  <c r="Z76" i="6" s="1"/>
  <c r="Z44" i="6"/>
  <c r="AC41" i="6"/>
  <c r="AD41" i="6" s="1"/>
  <c r="Z50" i="6"/>
  <c r="Z47" i="6"/>
  <c r="AA47" i="6"/>
  <c r="AA40" i="6"/>
  <c r="Z4" i="5"/>
  <c r="Z7" i="5" s="1"/>
  <c r="Y18" i="5"/>
  <c r="Y101" i="5"/>
  <c r="Y14" i="5"/>
  <c r="AC42" i="6" l="1"/>
  <c r="AD42" i="6" s="1"/>
  <c r="AE42" i="6" s="1"/>
  <c r="Z77" i="6"/>
  <c r="Z78" i="6" s="1"/>
  <c r="Z79" i="6" s="1"/>
  <c r="Z80" i="6" s="1"/>
  <c r="Z81" i="6" s="1"/>
  <c r="Z82" i="6" s="1"/>
  <c r="Z83" i="6" s="1"/>
  <c r="Y52" i="5"/>
  <c r="Y175" i="5" s="1"/>
  <c r="Z48" i="5"/>
  <c r="Z52" i="5" s="1"/>
  <c r="AB46" i="6"/>
  <c r="AC46" i="6" s="1"/>
  <c r="AD46" i="6" s="1"/>
  <c r="AE46" i="6" s="1"/>
  <c r="AF46" i="6" s="1"/>
  <c r="AG46" i="6" s="1"/>
  <c r="AH46" i="6" s="1"/>
  <c r="AF42" i="6"/>
  <c r="AG42" i="6" s="1"/>
  <c r="AB47" i="6"/>
  <c r="AA44" i="5"/>
  <c r="AA46" i="5"/>
  <c r="AB40" i="6"/>
  <c r="AA43" i="5"/>
  <c r="AB43" i="5" s="1"/>
  <c r="AC43" i="5" s="1"/>
  <c r="AD43" i="5" s="1"/>
  <c r="Y173" i="5"/>
  <c r="AA50" i="5"/>
  <c r="AA42" i="5"/>
  <c r="Y171" i="5"/>
  <c r="Y96" i="5"/>
  <c r="Y97" i="5" s="1"/>
  <c r="Y98" i="5" s="1"/>
  <c r="Y99" i="5" s="1"/>
  <c r="Y100" i="5" s="1"/>
  <c r="Z89" i="5" s="1"/>
  <c r="Z90" i="5" s="1"/>
  <c r="Z91" i="5" s="1"/>
  <c r="Z92" i="5" s="1"/>
  <c r="Z93" i="5" s="1"/>
  <c r="Z94" i="5" s="1"/>
  <c r="Z95" i="5" s="1"/>
  <c r="Z96" i="5" s="1"/>
  <c r="Z97" i="5" s="1"/>
  <c r="Z98" i="5" s="1"/>
  <c r="Z99" i="5" s="1"/>
  <c r="AA48" i="5"/>
  <c r="AB48" i="5" s="1"/>
  <c r="AC48" i="5" s="1"/>
  <c r="AA13" i="6"/>
  <c r="AB4" i="6"/>
  <c r="AB7" i="6" s="1"/>
  <c r="AB11" i="6" s="1"/>
  <c r="AA50" i="6"/>
  <c r="AA45" i="5"/>
  <c r="AB45" i="5"/>
  <c r="Y174" i="5"/>
  <c r="AA51" i="5"/>
  <c r="BA7" i="5"/>
  <c r="Z12" i="5"/>
  <c r="AA47" i="5"/>
  <c r="AB47" i="5" s="1"/>
  <c r="AC47" i="5" s="1"/>
  <c r="Y172" i="5"/>
  <c r="AA49" i="5"/>
  <c r="AB49" i="5" s="1"/>
  <c r="AC49" i="6"/>
  <c r="AD49" i="6" s="1"/>
  <c r="AE49" i="6" s="1"/>
  <c r="AA41" i="5"/>
  <c r="AH42" i="6"/>
  <c r="AE41" i="6"/>
  <c r="AF41" i="6" s="1"/>
  <c r="AA48" i="6"/>
  <c r="Z51" i="6"/>
  <c r="Z84" i="6" s="1"/>
  <c r="AA73" i="6" s="1"/>
  <c r="AA74" i="6" s="1"/>
  <c r="AA75" i="6" s="1"/>
  <c r="AA76" i="6" s="1"/>
  <c r="AA44" i="6"/>
  <c r="AC43" i="6"/>
  <c r="AD43" i="6" s="1"/>
  <c r="AA45" i="6"/>
  <c r="AA77" i="6" l="1"/>
  <c r="AA78" i="6" s="1"/>
  <c r="AA79" i="6" s="1"/>
  <c r="AA80" i="6" s="1"/>
  <c r="AA81" i="6" s="1"/>
  <c r="AA82" i="6" s="1"/>
  <c r="AA83" i="6" s="1"/>
  <c r="Z100" i="5"/>
  <c r="AD48" i="5"/>
  <c r="AB44" i="6"/>
  <c r="AC45" i="5"/>
  <c r="AE43" i="6"/>
  <c r="AB44" i="5"/>
  <c r="AB46" i="5"/>
  <c r="AD47" i="5"/>
  <c r="AA89" i="5"/>
  <c r="AA90" i="5" s="1"/>
  <c r="AA91" i="5" s="1"/>
  <c r="AA92" i="5" s="1"/>
  <c r="AA93" i="5" s="1"/>
  <c r="AA94" i="5" s="1"/>
  <c r="AA95" i="5" s="1"/>
  <c r="AA96" i="5" s="1"/>
  <c r="AA97" i="5" s="1"/>
  <c r="AA98" i="5" s="1"/>
  <c r="AA99" i="5" s="1"/>
  <c r="AB50" i="6"/>
  <c r="AC50" i="6" s="1"/>
  <c r="AD50" i="6" s="1"/>
  <c r="AB41" i="5"/>
  <c r="AA52" i="5"/>
  <c r="AE43" i="5"/>
  <c r="AA51" i="6"/>
  <c r="AA84" i="6" s="1"/>
  <c r="AB73" i="6" s="1"/>
  <c r="AB74" i="6" s="1"/>
  <c r="AB75" i="6" s="1"/>
  <c r="AB76" i="6" s="1"/>
  <c r="AB77" i="6" s="1"/>
  <c r="AB45" i="6"/>
  <c r="AC40" i="6"/>
  <c r="AC49" i="5"/>
  <c r="AB48" i="6"/>
  <c r="AA4" i="5"/>
  <c r="AA7" i="5" s="1"/>
  <c r="AA12" i="5" s="1"/>
  <c r="Z14" i="5"/>
  <c r="Z101" i="5"/>
  <c r="Z18" i="5"/>
  <c r="AB42" i="5"/>
  <c r="AC47" i="6"/>
  <c r="AD47" i="6" s="1"/>
  <c r="AE47" i="6" s="1"/>
  <c r="AB13" i="6"/>
  <c r="AC4" i="6"/>
  <c r="AC7" i="6" s="1"/>
  <c r="AC11" i="6" s="1"/>
  <c r="AF49" i="6"/>
  <c r="AG49" i="6" s="1"/>
  <c r="AH49" i="6" s="1"/>
  <c r="AB51" i="5"/>
  <c r="Y176" i="5"/>
  <c r="AB50" i="5"/>
  <c r="AG41" i="6"/>
  <c r="AH41" i="6" s="1"/>
  <c r="AB78" i="6" l="1"/>
  <c r="AB79" i="6" s="1"/>
  <c r="AB80" i="6" s="1"/>
  <c r="AB81" i="6" s="1"/>
  <c r="AB82" i="6" s="1"/>
  <c r="AB83" i="6" s="1"/>
  <c r="AD49" i="5"/>
  <c r="AE49" i="5" s="1"/>
  <c r="AF49" i="5" s="1"/>
  <c r="AC46" i="5"/>
  <c r="AD46" i="5" s="1"/>
  <c r="AE46" i="5" s="1"/>
  <c r="AF46" i="5" s="1"/>
  <c r="AB51" i="6"/>
  <c r="AB84" i="6" s="1"/>
  <c r="AC73" i="6" s="1"/>
  <c r="AC74" i="6" s="1"/>
  <c r="AC75" i="6" s="1"/>
  <c r="AC76" i="6" s="1"/>
  <c r="AB52" i="5"/>
  <c r="AC42" i="5"/>
  <c r="AD42" i="5" s="1"/>
  <c r="AF43" i="6"/>
  <c r="AD45" i="5"/>
  <c r="AC13" i="6"/>
  <c r="AD4" i="6"/>
  <c r="AD7" i="6" s="1"/>
  <c r="AD11" i="6" s="1"/>
  <c r="AE50" i="6"/>
  <c r="AC48" i="6"/>
  <c r="AC51" i="5"/>
  <c r="AC41" i="5"/>
  <c r="AF47" i="6"/>
  <c r="AG47" i="6" s="1"/>
  <c r="AH47" i="6" s="1"/>
  <c r="AA100" i="5"/>
  <c r="AB89" i="5" s="1"/>
  <c r="AB90" i="5" s="1"/>
  <c r="AB91" i="5" s="1"/>
  <c r="AB92" i="5" s="1"/>
  <c r="AB93" i="5" s="1"/>
  <c r="AB94" i="5" s="1"/>
  <c r="AB95" i="5" s="1"/>
  <c r="AB96" i="5" s="1"/>
  <c r="AB97" i="5" s="1"/>
  <c r="AB98" i="5" s="1"/>
  <c r="AB99" i="5" s="1"/>
  <c r="AC50" i="5"/>
  <c r="AE47" i="5"/>
  <c r="AD40" i="6"/>
  <c r="AE40" i="6" s="1"/>
  <c r="AF43" i="5"/>
  <c r="AA18" i="5"/>
  <c r="AA101" i="5"/>
  <c r="AB4" i="5"/>
  <c r="AB7" i="5" s="1"/>
  <c r="AB12" i="5" s="1"/>
  <c r="AA14" i="5"/>
  <c r="AE48" i="5"/>
  <c r="AC45" i="6"/>
  <c r="AD45" i="6" s="1"/>
  <c r="AE45" i="6" s="1"/>
  <c r="AF45" i="6" s="1"/>
  <c r="AG43" i="6"/>
  <c r="AH43" i="6" s="1"/>
  <c r="AC44" i="6"/>
  <c r="AD44" i="6" s="1"/>
  <c r="AE44" i="6" s="1"/>
  <c r="AF44" i="6" s="1"/>
  <c r="AC44" i="5"/>
  <c r="AD44" i="5" s="1"/>
  <c r="AC51" i="6" l="1"/>
  <c r="AB100" i="5"/>
  <c r="AC89" i="5" s="1"/>
  <c r="AC90" i="5" s="1"/>
  <c r="AC91" i="5" s="1"/>
  <c r="AC92" i="5" s="1"/>
  <c r="AC93" i="5" s="1"/>
  <c r="AC94" i="5" s="1"/>
  <c r="AC95" i="5" s="1"/>
  <c r="AC96" i="5" s="1"/>
  <c r="AC97" i="5" s="1"/>
  <c r="AC98" i="5" s="1"/>
  <c r="AC99" i="5" s="1"/>
  <c r="AG46" i="5"/>
  <c r="AF40" i="6"/>
  <c r="AE51" i="6"/>
  <c r="AG44" i="6"/>
  <c r="AH44" i="6" s="1"/>
  <c r="AD13" i="6"/>
  <c r="AE4" i="6"/>
  <c r="AE7" i="6" s="1"/>
  <c r="AE11" i="6" s="1"/>
  <c r="AG45" i="6"/>
  <c r="AH45" i="6" s="1"/>
  <c r="AF47" i="5"/>
  <c r="AC52" i="5"/>
  <c r="AC100" i="5" s="1"/>
  <c r="AD41" i="5"/>
  <c r="AG40" i="6"/>
  <c r="AF50" i="6"/>
  <c r="AG50" i="6" s="1"/>
  <c r="AH50" i="6" s="1"/>
  <c r="AE44" i="5"/>
  <c r="AF42" i="5"/>
  <c r="AG42" i="5" s="1"/>
  <c r="AF48" i="5"/>
  <c r="AG48" i="5" s="1"/>
  <c r="AC4" i="5"/>
  <c r="AC7" i="5" s="1"/>
  <c r="AC12" i="5" s="1"/>
  <c r="AB14" i="5"/>
  <c r="AB18" i="5"/>
  <c r="AB101" i="5"/>
  <c r="AG49" i="5"/>
  <c r="AH49" i="5" s="1"/>
  <c r="AE42" i="5"/>
  <c r="AD48" i="6"/>
  <c r="AE48" i="6" s="1"/>
  <c r="AD51" i="5"/>
  <c r="AD50" i="5"/>
  <c r="AE45" i="5"/>
  <c r="AG43" i="5"/>
  <c r="AC77" i="6"/>
  <c r="AC78" i="6" s="1"/>
  <c r="AC79" i="6" s="1"/>
  <c r="AC80" i="6" s="1"/>
  <c r="AC81" i="6" s="1"/>
  <c r="AC82" i="6" s="1"/>
  <c r="AC83" i="6" s="1"/>
  <c r="AC84" i="6" s="1"/>
  <c r="AD73" i="6" s="1"/>
  <c r="AD74" i="6" s="1"/>
  <c r="AD75" i="6" s="1"/>
  <c r="AD76" i="6" s="1"/>
  <c r="AD77" i="6" s="1"/>
  <c r="AD78" i="6" s="1"/>
  <c r="AD79" i="6" s="1"/>
  <c r="AD80" i="6" s="1"/>
  <c r="AD81" i="6" s="1"/>
  <c r="AD82" i="6" s="1"/>
  <c r="AD83" i="6" s="1"/>
  <c r="AD89" i="5" l="1"/>
  <c r="AD90" i="5" s="1"/>
  <c r="AD91" i="5" s="1"/>
  <c r="AD92" i="5" s="1"/>
  <c r="AD93" i="5" s="1"/>
  <c r="AD94" i="5" s="1"/>
  <c r="AD95" i="5" s="1"/>
  <c r="AD96" i="5" s="1"/>
  <c r="AD97" i="5" s="1"/>
  <c r="AD98" i="5" s="1"/>
  <c r="AD99" i="5" s="1"/>
  <c r="AH48" i="5"/>
  <c r="AF4" i="6"/>
  <c r="AF7" i="6" s="1"/>
  <c r="AF11" i="6" s="1"/>
  <c r="AE13" i="6"/>
  <c r="AD52" i="5"/>
  <c r="AD100" i="5" s="1"/>
  <c r="AE51" i="5"/>
  <c r="AH43" i="5"/>
  <c r="AI43" i="5" s="1"/>
  <c r="AJ43" i="5" s="1"/>
  <c r="AI49" i="5"/>
  <c r="AH42" i="5"/>
  <c r="AI42" i="5" s="1"/>
  <c r="AF44" i="5"/>
  <c r="AE41" i="5"/>
  <c r="AD51" i="6"/>
  <c r="AD84" i="6" s="1"/>
  <c r="AE73" i="6" s="1"/>
  <c r="AE74" i="6" s="1"/>
  <c r="AE75" i="6" s="1"/>
  <c r="AE76" i="6" s="1"/>
  <c r="AE77" i="6" s="1"/>
  <c r="AE78" i="6" s="1"/>
  <c r="AE79" i="6" s="1"/>
  <c r="AE80" i="6" s="1"/>
  <c r="AE81" i="6" s="1"/>
  <c r="AE82" i="6" s="1"/>
  <c r="AE83" i="6" s="1"/>
  <c r="AE84" i="6" s="1"/>
  <c r="AF73" i="6" s="1"/>
  <c r="AF74" i="6" s="1"/>
  <c r="AF75" i="6" s="1"/>
  <c r="AF76" i="6" s="1"/>
  <c r="AF77" i="6" s="1"/>
  <c r="AF78" i="6" s="1"/>
  <c r="AF79" i="6" s="1"/>
  <c r="AF80" i="6" s="1"/>
  <c r="AH46" i="5"/>
  <c r="AF45" i="5"/>
  <c r="AG45" i="5" s="1"/>
  <c r="AH40" i="6"/>
  <c r="AC101" i="5"/>
  <c r="AD4" i="5"/>
  <c r="AD7" i="5" s="1"/>
  <c r="AD12" i="5" s="1"/>
  <c r="AC18" i="5"/>
  <c r="AC14" i="5"/>
  <c r="AF48" i="6"/>
  <c r="AG47" i="5"/>
  <c r="AE50" i="5"/>
  <c r="AF81" i="6" l="1"/>
  <c r="AF82" i="6" s="1"/>
  <c r="AF83" i="6" s="1"/>
  <c r="AE89" i="5"/>
  <c r="AE90" i="5" s="1"/>
  <c r="AE91" i="5" s="1"/>
  <c r="AE92" i="5" s="1"/>
  <c r="AE93" i="5" s="1"/>
  <c r="AE94" i="5" s="1"/>
  <c r="AE95" i="5" s="1"/>
  <c r="AE96" i="5" s="1"/>
  <c r="AE97" i="5" s="1"/>
  <c r="AE98" i="5" s="1"/>
  <c r="AE99" i="5" s="1"/>
  <c r="AK43" i="5"/>
  <c r="AF51" i="5"/>
  <c r="AL43" i="5"/>
  <c r="AF13" i="6"/>
  <c r="AG4" i="6"/>
  <c r="AG7" i="6" s="1"/>
  <c r="AG11" i="6" s="1"/>
  <c r="AG51" i="5"/>
  <c r="AF50" i="5"/>
  <c r="AH47" i="5"/>
  <c r="AI47" i="5" s="1"/>
  <c r="AJ49" i="5"/>
  <c r="AI46" i="5"/>
  <c r="AF41" i="5"/>
  <c r="AE52" i="5"/>
  <c r="AE100" i="5" s="1"/>
  <c r="AJ42" i="5"/>
  <c r="AH45" i="5"/>
  <c r="AG48" i="6"/>
  <c r="AF51" i="6"/>
  <c r="AF84" i="6" s="1"/>
  <c r="AG73" i="6" s="1"/>
  <c r="AG74" i="6" s="1"/>
  <c r="AG75" i="6" s="1"/>
  <c r="AG76" i="6" s="1"/>
  <c r="AG77" i="6" s="1"/>
  <c r="AG78" i="6" s="1"/>
  <c r="AG79" i="6" s="1"/>
  <c r="AG80" i="6" s="1"/>
  <c r="AG81" i="6" s="1"/>
  <c r="AG82" i="6" s="1"/>
  <c r="AG83" i="6" s="1"/>
  <c r="AG44" i="5"/>
  <c r="AD14" i="5"/>
  <c r="AE4" i="5"/>
  <c r="AE7" i="5" s="1"/>
  <c r="AE12" i="5" s="1"/>
  <c r="AD101" i="5"/>
  <c r="AD18" i="5"/>
  <c r="AI48" i="5"/>
  <c r="AF89" i="5" l="1"/>
  <c r="AF90" i="5" s="1"/>
  <c r="AF91" i="5" s="1"/>
  <c r="AF92" i="5" s="1"/>
  <c r="AF93" i="5" s="1"/>
  <c r="AF94" i="5" s="1"/>
  <c r="AF95" i="5" s="1"/>
  <c r="AF96" i="5" s="1"/>
  <c r="AF97" i="5" s="1"/>
  <c r="AF98" i="5" s="1"/>
  <c r="AF99" i="5" s="1"/>
  <c r="AH51" i="5"/>
  <c r="AI51" i="5" s="1"/>
  <c r="AJ51" i="5" s="1"/>
  <c r="AG50" i="5"/>
  <c r="AH4" i="6"/>
  <c r="AH7" i="6" s="1"/>
  <c r="AH11" i="6" s="1"/>
  <c r="AH13" i="6" s="1"/>
  <c r="AG13" i="6"/>
  <c r="AJ46" i="5"/>
  <c r="AH48" i="6"/>
  <c r="AH51" i="6" s="1"/>
  <c r="AG51" i="6"/>
  <c r="AG84" i="6" s="1"/>
  <c r="AH73" i="6" s="1"/>
  <c r="AH74" i="6" s="1"/>
  <c r="AH75" i="6" s="1"/>
  <c r="AH76" i="6" s="1"/>
  <c r="AH77" i="6" s="1"/>
  <c r="AH78" i="6" s="1"/>
  <c r="AH79" i="6" s="1"/>
  <c r="AH80" i="6" s="1"/>
  <c r="AH81" i="6" s="1"/>
  <c r="AH82" i="6" s="1"/>
  <c r="AH83" i="6" s="1"/>
  <c r="AH84" i="6" s="1"/>
  <c r="AH44" i="5"/>
  <c r="AI44" i="5" s="1"/>
  <c r="AK42" i="5"/>
  <c r="AG41" i="5"/>
  <c r="AG52" i="5" s="1"/>
  <c r="AF52" i="5"/>
  <c r="AF100" i="5" s="1"/>
  <c r="AJ48" i="5"/>
  <c r="AK48" i="5" s="1"/>
  <c r="AH41" i="5"/>
  <c r="AI45" i="5"/>
  <c r="AM43" i="5"/>
  <c r="AN43" i="5" s="1"/>
  <c r="AK47" i="5"/>
  <c r="AK46" i="5"/>
  <c r="AF4" i="5"/>
  <c r="AF7" i="5" s="1"/>
  <c r="AF12" i="5" s="1"/>
  <c r="AE101" i="5"/>
  <c r="AE18" i="5"/>
  <c r="AE14" i="5"/>
  <c r="AJ47" i="5"/>
  <c r="AK49" i="5"/>
  <c r="AG89" i="5" l="1"/>
  <c r="AG90" i="5" s="1"/>
  <c r="AG91" i="5" s="1"/>
  <c r="AG92" i="5" s="1"/>
  <c r="AG93" i="5" s="1"/>
  <c r="AG94" i="5" s="1"/>
  <c r="AG95" i="5" s="1"/>
  <c r="AG96" i="5" s="1"/>
  <c r="AG97" i="5" s="1"/>
  <c r="AG98" i="5" s="1"/>
  <c r="AG99" i="5" s="1"/>
  <c r="AG100" i="5" s="1"/>
  <c r="AH89" i="5" s="1"/>
  <c r="AH90" i="5" s="1"/>
  <c r="AH91" i="5" s="1"/>
  <c r="AH92" i="5" s="1"/>
  <c r="AH93" i="5" s="1"/>
  <c r="AH94" i="5" s="1"/>
  <c r="AH95" i="5" s="1"/>
  <c r="AH96" i="5" s="1"/>
  <c r="AH97" i="5" s="1"/>
  <c r="AO43" i="5"/>
  <c r="AL47" i="5"/>
  <c r="AG4" i="5"/>
  <c r="AG7" i="5" s="1"/>
  <c r="AG12" i="5" s="1"/>
  <c r="AF18" i="5"/>
  <c r="AF14" i="5"/>
  <c r="AF101" i="5"/>
  <c r="AK51" i="5"/>
  <c r="AL48" i="5"/>
  <c r="AM48" i="5" s="1"/>
  <c r="AL42" i="5"/>
  <c r="AJ44" i="5"/>
  <c r="AH50" i="5"/>
  <c r="AL46" i="5"/>
  <c r="AI41" i="5"/>
  <c r="AL49" i="5"/>
  <c r="AM49" i="5" s="1"/>
  <c r="AJ45" i="5"/>
  <c r="AK45" i="5" s="1"/>
  <c r="AN49" i="5" l="1"/>
  <c r="AG101" i="5"/>
  <c r="AG18" i="5"/>
  <c r="AG14" i="5"/>
  <c r="AH4" i="5"/>
  <c r="AH7" i="5" s="1"/>
  <c r="AI50" i="5"/>
  <c r="AI52" i="5" s="1"/>
  <c r="AM47" i="5"/>
  <c r="AO49" i="5"/>
  <c r="AP43" i="5"/>
  <c r="AK44" i="5"/>
  <c r="AM42" i="5"/>
  <c r="AM46" i="5"/>
  <c r="AL45" i="5"/>
  <c r="AL51" i="5"/>
  <c r="AN46" i="5"/>
  <c r="AN48" i="5"/>
  <c r="AJ41" i="5"/>
  <c r="AH52" i="5"/>
  <c r="AH98" i="5"/>
  <c r="AH99" i="5" s="1"/>
  <c r="AH100" i="5" l="1"/>
  <c r="AI89" i="5" s="1"/>
  <c r="AI90" i="5" s="1"/>
  <c r="AI91" i="5" s="1"/>
  <c r="AI92" i="5" s="1"/>
  <c r="AI93" i="5" s="1"/>
  <c r="AI94" i="5" s="1"/>
  <c r="AI95" i="5" s="1"/>
  <c r="AI96" i="5" s="1"/>
  <c r="AI97" i="5" s="1"/>
  <c r="AI98" i="5" s="1"/>
  <c r="AI99" i="5" s="1"/>
  <c r="AO46" i="5"/>
  <c r="AL44" i="5"/>
  <c r="AN47" i="5"/>
  <c r="AK41" i="5"/>
  <c r="AI100" i="5"/>
  <c r="AJ89" i="5" s="1"/>
  <c r="AJ90" i="5" s="1"/>
  <c r="AJ91" i="5" s="1"/>
  <c r="AJ92" i="5" s="1"/>
  <c r="AJ93" i="5" s="1"/>
  <c r="AJ94" i="5" s="1"/>
  <c r="AJ95" i="5" s="1"/>
  <c r="AJ96" i="5" s="1"/>
  <c r="AJ97" i="5" s="1"/>
  <c r="AJ98" i="5" s="1"/>
  <c r="AJ99" i="5" s="1"/>
  <c r="AJ50" i="5"/>
  <c r="AK50" i="5"/>
  <c r="AL50" i="5" s="1"/>
  <c r="AM45" i="5"/>
  <c r="BD7" i="5"/>
  <c r="AH12" i="5"/>
  <c r="BB7" i="5"/>
  <c r="AM51" i="5"/>
  <c r="AQ43" i="5"/>
  <c r="AR43" i="5" s="1"/>
  <c r="AP49" i="5"/>
  <c r="AQ49" i="5" s="1"/>
  <c r="AM44" i="5"/>
  <c r="AN42" i="5"/>
  <c r="AP46" i="5"/>
  <c r="AQ46" i="5" s="1"/>
  <c r="AO48" i="5"/>
  <c r="AP48" i="5" s="1"/>
  <c r="AR46" i="5" l="1"/>
  <c r="AS46" i="5"/>
  <c r="AT46" i="5" s="1"/>
  <c r="AN45" i="5"/>
  <c r="AO45" i="5" s="1"/>
  <c r="AL41" i="5"/>
  <c r="AM41" i="5" s="1"/>
  <c r="AK52" i="5"/>
  <c r="AN44" i="5"/>
  <c r="AO42" i="5"/>
  <c r="AR49" i="5"/>
  <c r="AM50" i="5"/>
  <c r="AN50" i="5" s="1"/>
  <c r="AJ52" i="5"/>
  <c r="AJ100" i="5" s="1"/>
  <c r="AK89" i="5" s="1"/>
  <c r="AK90" i="5" s="1"/>
  <c r="AK91" i="5" s="1"/>
  <c r="AK92" i="5" s="1"/>
  <c r="AK93" i="5" s="1"/>
  <c r="AK94" i="5" s="1"/>
  <c r="AK95" i="5" s="1"/>
  <c r="AK96" i="5" s="1"/>
  <c r="AK97" i="5" s="1"/>
  <c r="AK98" i="5" s="1"/>
  <c r="AK99" i="5" s="1"/>
  <c r="AK100" i="5" s="1"/>
  <c r="AL89" i="5" s="1"/>
  <c r="AL90" i="5" s="1"/>
  <c r="AL91" i="5" s="1"/>
  <c r="AL92" i="5" s="1"/>
  <c r="AL93" i="5" s="1"/>
  <c r="AL94" i="5" s="1"/>
  <c r="AL95" i="5" s="1"/>
  <c r="AL96" i="5" s="1"/>
  <c r="AL97" i="5" s="1"/>
  <c r="AL98" i="5" s="1"/>
  <c r="AL99" i="5" s="1"/>
  <c r="AS43" i="5"/>
  <c r="AT43" i="5" s="1"/>
  <c r="AS49" i="5"/>
  <c r="AN51" i="5"/>
  <c r="AQ48" i="5"/>
  <c r="AO47" i="5"/>
  <c r="AI4" i="5"/>
  <c r="AI7" i="5" s="1"/>
  <c r="AI12" i="5" s="1"/>
  <c r="AH18" i="5"/>
  <c r="AH101" i="5"/>
  <c r="AH14" i="5"/>
  <c r="AU46" i="5" l="1"/>
  <c r="AP45" i="5"/>
  <c r="AO50" i="5"/>
  <c r="AV46" i="5"/>
  <c r="AP50" i="5"/>
  <c r="AQ50" i="5" s="1"/>
  <c r="AR50" i="5" s="1"/>
  <c r="AL52" i="5"/>
  <c r="AO44" i="5"/>
  <c r="AP42" i="5"/>
  <c r="AQ42" i="5" s="1"/>
  <c r="AR48" i="5"/>
  <c r="AS48" i="5" s="1"/>
  <c r="AP47" i="5"/>
  <c r="AN41" i="5"/>
  <c r="AM52" i="5"/>
  <c r="AQ45" i="5"/>
  <c r="AR45" i="5" s="1"/>
  <c r="AL100" i="5"/>
  <c r="AM89" i="5" s="1"/>
  <c r="AM90" i="5" s="1"/>
  <c r="AM91" i="5" s="1"/>
  <c r="AM92" i="5" s="1"/>
  <c r="AM93" i="5" s="1"/>
  <c r="AM94" i="5" s="1"/>
  <c r="AM95" i="5" s="1"/>
  <c r="AM96" i="5" s="1"/>
  <c r="AM97" i="5" s="1"/>
  <c r="AM98" i="5" s="1"/>
  <c r="AM99" i="5" s="1"/>
  <c r="AM100" i="5" s="1"/>
  <c r="AN89" i="5" s="1"/>
  <c r="AN90" i="5" s="1"/>
  <c r="AN91" i="5" s="1"/>
  <c r="AN92" i="5" s="1"/>
  <c r="AN93" i="5" s="1"/>
  <c r="AN94" i="5" s="1"/>
  <c r="AN95" i="5" s="1"/>
  <c r="AN96" i="5" s="1"/>
  <c r="AN97" i="5" s="1"/>
  <c r="AN98" i="5" s="1"/>
  <c r="AN99" i="5" s="1"/>
  <c r="AO51" i="5"/>
  <c r="AT49" i="5"/>
  <c r="AU43" i="5"/>
  <c r="AV43" i="5" s="1"/>
  <c r="AO41" i="5"/>
  <c r="AI14" i="5"/>
  <c r="AI101" i="5"/>
  <c r="AI18" i="5"/>
  <c r="AJ4" i="5"/>
  <c r="AJ7" i="5" s="1"/>
  <c r="AJ12" i="5" s="1"/>
  <c r="AX46" i="5" l="1"/>
  <c r="AY46" i="5"/>
  <c r="AW46" i="5"/>
  <c r="AS45" i="5"/>
  <c r="AT45" i="5"/>
  <c r="AW43" i="5"/>
  <c r="AU49" i="5"/>
  <c r="AX49" i="5" s="1"/>
  <c r="AT48" i="5"/>
  <c r="AU48" i="5" s="1"/>
  <c r="AW48" i="5" s="1"/>
  <c r="AY43" i="5"/>
  <c r="AP44" i="5"/>
  <c r="AK4" i="5"/>
  <c r="AK7" i="5" s="1"/>
  <c r="AK12" i="5" s="1"/>
  <c r="AJ18" i="5"/>
  <c r="AJ14" i="5"/>
  <c r="AJ101" i="5"/>
  <c r="AQ47" i="5"/>
  <c r="AR47" i="5" s="1"/>
  <c r="AO52" i="5"/>
  <c r="AT50" i="5"/>
  <c r="AU45" i="5"/>
  <c r="AX45" i="5" s="1"/>
  <c r="AP51" i="5"/>
  <c r="AX43" i="5"/>
  <c r="AS42" i="5"/>
  <c r="AN52" i="5"/>
  <c r="AN100" i="5" s="1"/>
  <c r="AO89" i="5" s="1"/>
  <c r="AO90" i="5" s="1"/>
  <c r="AO91" i="5" s="1"/>
  <c r="AO92" i="5" s="1"/>
  <c r="AO93" i="5" s="1"/>
  <c r="AO94" i="5" s="1"/>
  <c r="AO95" i="5" s="1"/>
  <c r="AO96" i="5" s="1"/>
  <c r="AO97" i="5" s="1"/>
  <c r="AO98" i="5" s="1"/>
  <c r="AO99" i="5" s="1"/>
  <c r="AP41" i="5"/>
  <c r="AR42" i="5"/>
  <c r="AS50" i="5"/>
  <c r="AO100" i="5" l="1"/>
  <c r="AP89" i="5" s="1"/>
  <c r="AP90" i="5" s="1"/>
  <c r="AP91" i="5" s="1"/>
  <c r="AP92" i="5" s="1"/>
  <c r="AP93" i="5" s="1"/>
  <c r="AP94" i="5" s="1"/>
  <c r="AP95" i="5" s="1"/>
  <c r="AP96" i="5" s="1"/>
  <c r="AP97" i="5" s="1"/>
  <c r="AP98" i="5" s="1"/>
  <c r="AP99" i="5" s="1"/>
  <c r="AV45" i="5"/>
  <c r="AP52" i="5"/>
  <c r="AQ41" i="5"/>
  <c r="AK14" i="5"/>
  <c r="AK101" i="5"/>
  <c r="AL4" i="5"/>
  <c r="AL7" i="5" s="1"/>
  <c r="AL12" i="5" s="1"/>
  <c r="AK18" i="5"/>
  <c r="AT42" i="5"/>
  <c r="AS47" i="5"/>
  <c r="AT47" i="5" s="1"/>
  <c r="AU50" i="5"/>
  <c r="AV50" i="5" s="1"/>
  <c r="AY45" i="5"/>
  <c r="AY49" i="5"/>
  <c r="AV48" i="5"/>
  <c r="AQ44" i="5"/>
  <c r="AR44" i="5" s="1"/>
  <c r="AW45" i="5"/>
  <c r="AV49" i="5"/>
  <c r="AQ51" i="5"/>
  <c r="AR51" i="5" s="1"/>
  <c r="AY48" i="5"/>
  <c r="AX48" i="5"/>
  <c r="AR41" i="5"/>
  <c r="AW49" i="5"/>
  <c r="AP100" i="5" l="1"/>
  <c r="AQ89" i="5"/>
  <c r="AQ90" i="5" s="1"/>
  <c r="AQ91" i="5" s="1"/>
  <c r="AQ92" i="5" s="1"/>
  <c r="AQ93" i="5" s="1"/>
  <c r="AQ94" i="5" s="1"/>
  <c r="AQ95" i="5" s="1"/>
  <c r="AQ96" i="5" s="1"/>
  <c r="AQ97" i="5" s="1"/>
  <c r="AQ98" i="5" s="1"/>
  <c r="AQ99" i="5" s="1"/>
  <c r="AY50" i="5"/>
  <c r="AU47" i="5"/>
  <c r="AW47" i="5" s="1"/>
  <c r="AS44" i="5"/>
  <c r="AL14" i="5"/>
  <c r="AM4" i="5"/>
  <c r="AM7" i="5" s="1"/>
  <c r="AM12" i="5" s="1"/>
  <c r="AL101" i="5"/>
  <c r="AL18" i="5"/>
  <c r="AQ52" i="5"/>
  <c r="AU42" i="5"/>
  <c r="AT44" i="5"/>
  <c r="AS41" i="5"/>
  <c r="AR52" i="5"/>
  <c r="AW50" i="5"/>
  <c r="AS51" i="5"/>
  <c r="AT51" i="5" s="1"/>
  <c r="AX50" i="5"/>
  <c r="AQ100" i="5" l="1"/>
  <c r="AR89" i="5" s="1"/>
  <c r="AR90" i="5" s="1"/>
  <c r="AR91" i="5" s="1"/>
  <c r="AR92" i="5" s="1"/>
  <c r="AR93" i="5" s="1"/>
  <c r="AR94" i="5" s="1"/>
  <c r="AR95" i="5" s="1"/>
  <c r="AR96" i="5" s="1"/>
  <c r="AR97" i="5" s="1"/>
  <c r="AR98" i="5" s="1"/>
  <c r="AR99" i="5" s="1"/>
  <c r="AR100" i="5" s="1"/>
  <c r="AS89" i="5" s="1"/>
  <c r="AS90" i="5" s="1"/>
  <c r="AS91" i="5" s="1"/>
  <c r="AS92" i="5" s="1"/>
  <c r="AS93" i="5" s="1"/>
  <c r="AS94" i="5" s="1"/>
  <c r="AS95" i="5" s="1"/>
  <c r="AS96" i="5" s="1"/>
  <c r="AS97" i="5" s="1"/>
  <c r="AS98" i="5" s="1"/>
  <c r="AS99" i="5" s="1"/>
  <c r="AU51" i="5"/>
  <c r="AX51" i="5" s="1"/>
  <c r="AS52" i="5"/>
  <c r="AM18" i="5"/>
  <c r="AM101" i="5"/>
  <c r="AM14" i="5"/>
  <c r="AN4" i="5"/>
  <c r="AN7" i="5" s="1"/>
  <c r="AN12" i="5" s="1"/>
  <c r="AV42" i="5"/>
  <c r="AW42" i="5"/>
  <c r="AX42" i="5"/>
  <c r="AY51" i="5"/>
  <c r="AW51" i="5"/>
  <c r="AY47" i="5"/>
  <c r="AY42" i="5"/>
  <c r="AU44" i="5"/>
  <c r="AX44" i="5" s="1"/>
  <c r="AT41" i="5"/>
  <c r="AU41" i="5" s="1"/>
  <c r="AU52" i="5" s="1"/>
  <c r="AV51" i="5"/>
  <c r="AX47" i="5"/>
  <c r="AV47" i="5"/>
  <c r="AS100" i="5" l="1"/>
  <c r="AT89" i="5" s="1"/>
  <c r="AT90" i="5" s="1"/>
  <c r="AT91" i="5" s="1"/>
  <c r="AT92" i="5" s="1"/>
  <c r="AT93" i="5" s="1"/>
  <c r="AT94" i="5" s="1"/>
  <c r="AT95" i="5" s="1"/>
  <c r="AT96" i="5" s="1"/>
  <c r="AT97" i="5" s="1"/>
  <c r="AT98" i="5" s="1"/>
  <c r="AT99" i="5" s="1"/>
  <c r="AW44" i="5"/>
  <c r="AY44" i="5"/>
  <c r="AN18" i="5"/>
  <c r="AO4" i="5"/>
  <c r="AO7" i="5" s="1"/>
  <c r="AO12" i="5" s="1"/>
  <c r="AN101" i="5"/>
  <c r="AN14" i="5"/>
  <c r="AX41" i="5"/>
  <c r="AX52" i="5" s="1"/>
  <c r="AV44" i="5"/>
  <c r="AY41" i="5"/>
  <c r="AY52" i="5" s="1"/>
  <c r="AT52" i="5"/>
  <c r="AW41" i="5"/>
  <c r="AW52" i="5" s="1"/>
  <c r="AV41" i="5"/>
  <c r="AV52" i="5" s="1"/>
  <c r="AT100" i="5" l="1"/>
  <c r="AU89" i="5" s="1"/>
  <c r="AU90" i="5" s="1"/>
  <c r="AU91" i="5" s="1"/>
  <c r="AU92" i="5" s="1"/>
  <c r="AU93" i="5" s="1"/>
  <c r="AU94" i="5" s="1"/>
  <c r="AU95" i="5" s="1"/>
  <c r="AU96" i="5" s="1"/>
  <c r="AU97" i="5" s="1"/>
  <c r="AU98" i="5" s="1"/>
  <c r="AU99" i="5" s="1"/>
  <c r="AU100" i="5" s="1"/>
  <c r="AV89" i="5" s="1"/>
  <c r="AV90" i="5" s="1"/>
  <c r="AV91" i="5" s="1"/>
  <c r="AV92" i="5" s="1"/>
  <c r="AV93" i="5" s="1"/>
  <c r="AV94" i="5" s="1"/>
  <c r="AV95" i="5" s="1"/>
  <c r="AV96" i="5" s="1"/>
  <c r="AV97" i="5" s="1"/>
  <c r="AV98" i="5" s="1"/>
  <c r="AV99" i="5" s="1"/>
  <c r="AV100" i="5" s="1"/>
  <c r="AW89" i="5" s="1"/>
  <c r="AW90" i="5" s="1"/>
  <c r="AW91" i="5" s="1"/>
  <c r="AW92" i="5" s="1"/>
  <c r="AW93" i="5" s="1"/>
  <c r="AW94" i="5" s="1"/>
  <c r="AW95" i="5" s="1"/>
  <c r="AW96" i="5" s="1"/>
  <c r="AW97" i="5" s="1"/>
  <c r="AW98" i="5" s="1"/>
  <c r="AW99" i="5" s="1"/>
  <c r="AW100" i="5" s="1"/>
  <c r="AX89" i="5" s="1"/>
  <c r="AX90" i="5" s="1"/>
  <c r="AX91" i="5" s="1"/>
  <c r="AX92" i="5" s="1"/>
  <c r="AX93" i="5" s="1"/>
  <c r="AX94" i="5" s="1"/>
  <c r="AX95" i="5" s="1"/>
  <c r="AX96" i="5" s="1"/>
  <c r="AX97" i="5" s="1"/>
  <c r="AX98" i="5" s="1"/>
  <c r="AX99" i="5" s="1"/>
  <c r="AX100" i="5" s="1"/>
  <c r="AY89" i="5" s="1"/>
  <c r="AY90" i="5" s="1"/>
  <c r="AY91" i="5" s="1"/>
  <c r="AY92" i="5" s="1"/>
  <c r="AY93" i="5" s="1"/>
  <c r="AY94" i="5" s="1"/>
  <c r="AY95" i="5" s="1"/>
  <c r="AY96" i="5" s="1"/>
  <c r="AY97" i="5" s="1"/>
  <c r="AY98" i="5" s="1"/>
  <c r="AY99" i="5" s="1"/>
  <c r="AY100" i="5" s="1"/>
  <c r="AO14" i="5"/>
  <c r="AO18" i="5"/>
  <c r="AO101" i="5"/>
  <c r="AP4" i="5"/>
  <c r="AP7" i="5" s="1"/>
  <c r="AP12" i="5" s="1"/>
  <c r="AP18" i="5" l="1"/>
  <c r="AQ4" i="5"/>
  <c r="AQ7" i="5" s="1"/>
  <c r="AQ12" i="5" s="1"/>
  <c r="AP14" i="5"/>
  <c r="AP101" i="5"/>
  <c r="AQ14" i="5" l="1"/>
  <c r="AQ18" i="5"/>
  <c r="AQ101" i="5"/>
  <c r="AR4" i="5"/>
  <c r="AR7" i="5" s="1"/>
  <c r="AR12" i="5" s="1"/>
  <c r="AR101" i="5" l="1"/>
  <c r="AR18" i="5"/>
  <c r="AS4" i="5"/>
  <c r="AS7" i="5" s="1"/>
  <c r="AS12" i="5" s="1"/>
  <c r="AR14" i="5"/>
  <c r="AS14" i="5" l="1"/>
  <c r="AT4" i="5"/>
  <c r="AT7" i="5" s="1"/>
  <c r="AT12" i="5" s="1"/>
  <c r="AS101" i="5"/>
  <c r="AS18" i="5"/>
  <c r="AT101" i="5" l="1"/>
  <c r="AT14" i="5"/>
  <c r="AU4" i="5"/>
  <c r="AU7" i="5" s="1"/>
  <c r="AU12" i="5" s="1"/>
  <c r="AT18" i="5"/>
  <c r="AU101" i="5" l="1"/>
  <c r="AV4" i="5"/>
  <c r="AV7" i="5" s="1"/>
  <c r="AV12" i="5" s="1"/>
  <c r="AU14" i="5"/>
  <c r="AU18" i="5"/>
  <c r="AV101" i="5" l="1"/>
  <c r="AV18" i="5"/>
  <c r="AW4" i="5"/>
  <c r="AW7" i="5" s="1"/>
  <c r="AW12" i="5" s="1"/>
  <c r="AV14" i="5"/>
  <c r="AW101" i="5" l="1"/>
  <c r="AW18" i="5"/>
  <c r="AX4" i="5"/>
  <c r="AX7" i="5" s="1"/>
  <c r="AX12" i="5" s="1"/>
  <c r="AW14" i="5"/>
  <c r="AX101" i="5" l="1"/>
  <c r="AY4" i="5"/>
  <c r="AY7" i="5" s="1"/>
  <c r="AY12" i="5" s="1"/>
  <c r="AX14" i="5"/>
  <c r="AX18" i="5"/>
  <c r="AY101" i="5" l="1"/>
  <c r="AY14" i="5"/>
  <c r="AY18" i="5"/>
  <c r="AE13" i="5" l="1"/>
  <c r="AG13" i="5"/>
  <c r="AK13" i="5"/>
  <c r="AC13" i="5"/>
  <c r="AB13" i="5"/>
  <c r="AI13" i="5"/>
  <c r="AF13" i="5"/>
  <c r="AA13" i="5"/>
  <c r="AD13" i="5"/>
  <c r="AJ13" i="5"/>
  <c r="AL13" i="5"/>
  <c r="AM13" i="5"/>
  <c r="AH13" i="5"/>
  <c r="Z13" i="5" l="1"/>
  <c r="AN13" i="5" l="1"/>
  <c r="AO13" i="5" l="1"/>
  <c r="AP13" i="5" l="1"/>
  <c r="AQ13" i="5" l="1"/>
  <c r="AR13" i="5" l="1"/>
  <c r="AS13" i="5" l="1"/>
  <c r="AT13" i="5" l="1"/>
  <c r="AU13" i="5" l="1"/>
  <c r="AV13" i="5" l="1"/>
  <c r="AW13" i="5" l="1"/>
  <c r="AX13" i="5" l="1"/>
  <c r="AY13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<sst xmlns="http://schemas.openxmlformats.org/spreadsheetml/2006/main" count="6805" uniqueCount="706">
  <si>
    <t>Data Series and Source</t>
  </si>
  <si>
    <t>Link</t>
  </si>
  <si>
    <t>Web Page</t>
  </si>
  <si>
    <t>EIA - Short-Term Energy Outlook - Biofuel Data</t>
  </si>
  <si>
    <t>Selected Data Table</t>
  </si>
  <si>
    <t>https://www.eia.gov/outlooks/steo/data/browser</t>
  </si>
  <si>
    <t>Where is this data used/input</t>
  </si>
  <si>
    <t>EIA - Monthly Energy Review</t>
  </si>
  <si>
    <t>Production and Consumption by Source</t>
  </si>
  <si>
    <t>https://www.eia.gov/totalenergy/data/monthly/</t>
  </si>
  <si>
    <t xml:space="preserve">Table 10.1 Renewable Energy Production </t>
  </si>
  <si>
    <t>EIA - Stocks</t>
  </si>
  <si>
    <t>Petroleum &amp; Other Liquids Data</t>
  </si>
  <si>
    <t>https://www.eia.gov/dnav/pet/pet_stoc_typ_d_nus_SAE_mbbl_m.htm</t>
  </si>
  <si>
    <t>EIA - Biodiesel Data</t>
  </si>
  <si>
    <t>Biodiesel Overview</t>
  </si>
  <si>
    <t>Table 10.4a Biodiesel Overview</t>
  </si>
  <si>
    <t>EIA - Renewable Diesel Data</t>
  </si>
  <si>
    <t>Renewable Diesel Overview</t>
  </si>
  <si>
    <t>Table 10.4b Renewable Dieserl Fuel Overview</t>
  </si>
  <si>
    <t>EIA - Other Biofuels Data</t>
  </si>
  <si>
    <t>Other Biofuels Overview</t>
  </si>
  <si>
    <t>Table 10.4c Other Biofuels Overview</t>
  </si>
  <si>
    <t>EIA - Residential &amp; Commercial Renewable Energy Consumption</t>
  </si>
  <si>
    <t>Consumption: residential and commercial sectors</t>
  </si>
  <si>
    <t>Table 10.2a Renewable Energy Consumption Residential and Commercial Sectors</t>
  </si>
  <si>
    <t>EIA - Transportation &amp; Electric Power Renewable Energy Consumption</t>
  </si>
  <si>
    <t>Consumption: transportation and electric power sectors</t>
  </si>
  <si>
    <t>Table 10.2c Renewable Energy Consumption Transportation and Electric Power Sectors</t>
  </si>
  <si>
    <t>for Diesel data - See html links in the data entry spreadsheet</t>
  </si>
  <si>
    <t>Jet SAF Prices</t>
  </si>
  <si>
    <t xml:space="preserve">Webpage location for data </t>
  </si>
  <si>
    <t>RIN prices</t>
  </si>
  <si>
    <t>Location for data</t>
  </si>
  <si>
    <t>monthly_data columns CL and CM where does this data come from? These are included in the supply demand for Diesel</t>
  </si>
  <si>
    <t>Notes:</t>
  </si>
  <si>
    <t>Calculated field</t>
  </si>
  <si>
    <t>Table 10.1 Renewable Energy Production and Consumption by Source  - first and last columns highlighted for this file</t>
  </si>
  <si>
    <t>Table 10.4a Biodiesel Overview  - first and last columns highlighted for this file</t>
  </si>
  <si>
    <t>Table 10.4b Renewable Diesel Fuel Overview - first and last columns highlighted for this file</t>
  </si>
  <si>
    <t>Table 10.4c Other Biofuels Overview - first and last columns highlighted for this file</t>
  </si>
  <si>
    <t>Table 10.2a Renewable Energy Consumption Residential and Commercial Sectors - first and last columns highlighted for this file</t>
  </si>
  <si>
    <t>Table 10.2c Renewable Energy Consumption Transportation and Electric Power Sectors - first and last columns highlighted for this file</t>
  </si>
  <si>
    <t>Data being pulled from another workbook</t>
  </si>
  <si>
    <t>Annual Total</t>
  </si>
  <si>
    <t>Biodiesel Feedstock</t>
  </si>
  <si>
    <t>Biodiesel Losses and Co-products</t>
  </si>
  <si>
    <t>Biodiesel Production</t>
  </si>
  <si>
    <t>Biodiesel Imports</t>
  </si>
  <si>
    <t>Biodiesel Exports</t>
  </si>
  <si>
    <t>Biodiesel Net Imports</t>
  </si>
  <si>
    <t>Biodiesel Stocks</t>
  </si>
  <si>
    <t>Biodiesel Stock Change</t>
  </si>
  <si>
    <t>Biodiesel Consumption</t>
  </si>
  <si>
    <t>Wood Energy Production</t>
  </si>
  <si>
    <t>Biofuels Production</t>
  </si>
  <si>
    <t>Total Biomass Energy Production</t>
  </si>
  <si>
    <t>Total Renewable Energy Production</t>
  </si>
  <si>
    <t>Hydroelectric Power Consumption</t>
  </si>
  <si>
    <t>Geothermal Energy Consumption</t>
  </si>
  <si>
    <t>Solar Energy Consumption</t>
  </si>
  <si>
    <t>Wind Energy Consumption</t>
  </si>
  <si>
    <t>Wood Energy Consumption</t>
  </si>
  <si>
    <t>Waste Energy Consumption</t>
  </si>
  <si>
    <t>Biofuels Consumption</t>
  </si>
  <si>
    <t>Total Biomass Energy Consumption</t>
  </si>
  <si>
    <t>Total Renewable Energy Consumption</t>
  </si>
  <si>
    <t>Renewable Diesel Fuel Production</t>
  </si>
  <si>
    <t>Renewable Diesel Fuel Imports</t>
  </si>
  <si>
    <t>Renewable Diesel Fuel Stocks</t>
  </si>
  <si>
    <t>Renewable Diesel Fuel Stock Change</t>
  </si>
  <si>
    <t>Renewable Diesel Fuel Consumption</t>
  </si>
  <si>
    <t>Other Biofuels Feedstock</t>
  </si>
  <si>
    <t>Other Biofuels Losses and Co-products</t>
  </si>
  <si>
    <t>Other Biofuels Production</t>
  </si>
  <si>
    <t>Other Biofuels Imports</t>
  </si>
  <si>
    <t>Other Biofuels Stocks</t>
  </si>
  <si>
    <t>Other Biofuels Stock Change</t>
  </si>
  <si>
    <t>Other Biofuels Consumption</t>
  </si>
  <si>
    <t>Geothermal Energy Consumed by the Residential Sector</t>
  </si>
  <si>
    <t>Solar Energy Consumed by the Residential Sector</t>
  </si>
  <si>
    <t>Wood Energy Consumed by the Residential Sector</t>
  </si>
  <si>
    <t>Total Renewable Energy Consumed by the Residential Sector</t>
  </si>
  <si>
    <t>Hydroelectric Power Consumed by the Commercial Sector</t>
  </si>
  <si>
    <t>Geothermal Energy Consumed by the Commercial Sector</t>
  </si>
  <si>
    <t>Solar Energy Consumed by the Commercial Sector</t>
  </si>
  <si>
    <t>Wind Energy Consumed by the Commercial Sector</t>
  </si>
  <si>
    <t>Wood Energy Consumed by the Commercial Sector</t>
  </si>
  <si>
    <t>Waste Energy Consumed by the Commercial Sector</t>
  </si>
  <si>
    <t>Fuel Ethanol, Excluding Denaturant, Consumed by the Commercial Sector</t>
  </si>
  <si>
    <t>Biomass Energy Consumed by the Commercial Sector</t>
  </si>
  <si>
    <t>Total Renewable Energy Consumed by the Commercial Sector</t>
  </si>
  <si>
    <t>Fuel Ethanol, Excluding Denaturant, Consumed by the Transportation Sector</t>
  </si>
  <si>
    <t>Biodiesel Consumed by the Transportation Sector</t>
  </si>
  <si>
    <t xml:space="preserve">Renewable Diesel Fuel Consumed by the Transportation Sector </t>
  </si>
  <si>
    <t xml:space="preserve">Other Biofuels Consumed by the Transportation Sector </t>
  </si>
  <si>
    <t>Biomass Energy Consumed by the Transportation Sector</t>
  </si>
  <si>
    <t>Conventional Hydroelectric Power Consumed by the Electric Power Sector</t>
  </si>
  <si>
    <t>Geothermal Energy Consumed by the Electric Power Sector</t>
  </si>
  <si>
    <t>Solar Energy Consumed by the Electric Power Sector</t>
  </si>
  <si>
    <t>Wind Energy Consumed by the Electric Power Sector</t>
  </si>
  <si>
    <t>Wood Energy Consumed by the Electric Power Sector</t>
  </si>
  <si>
    <t>Waste Energy Consumed by the Electric Power Sector</t>
  </si>
  <si>
    <t>Biomass Energy Consumed by the Electric Power Sector</t>
  </si>
  <si>
    <t>Total Renewable Energy Consumed by the Electric Power Sector</t>
  </si>
  <si>
    <t>U.S. Refinery and Blender Net Production of Distillate Fuel Oil Thousand Barrels</t>
  </si>
  <si>
    <t>U.S. Imports of Distillate Fuel Oil Thousand Barrels</t>
  </si>
  <si>
    <t>U.S. Product Supplied of Distillate Fuel Oil Thousand Barrels</t>
  </si>
  <si>
    <t>U.S. Ending Stocks of Distillate Fuel Oil Thousand Barrels</t>
  </si>
  <si>
    <t>Distillate Fuel Oil Refinery and Blender Net Production</t>
  </si>
  <si>
    <t>Distillate Fuel Oil Imports</t>
  </si>
  <si>
    <t>Distillate Fuel Oil Product Supplied</t>
  </si>
  <si>
    <t>Distillate Fuel Oil Stocks</t>
  </si>
  <si>
    <t>(Trillion Btu)</t>
  </si>
  <si>
    <t>(Thousand Barrels)</t>
  </si>
  <si>
    <t>(Million Gallons)</t>
  </si>
  <si>
    <t>https://www.eia.gov/dnav/pet/hist/LeafHandler.ashx?n=pet&amp;s=mdirpus1&amp;f=a</t>
  </si>
  <si>
    <t>https://www.eia.gov/dnav/pet/hist/LeafHandler.ashx?n=pet&amp;s=mdiimus1&amp;f=a</t>
  </si>
  <si>
    <t>https://www.eia.gov/dnav/pet/hist/LeafHandler.ashx?n=pet&amp;s=mdiupus1&amp;f=a</t>
  </si>
  <si>
    <t>https://www.eia.gov/dnav/pet/hist/LeafHandler.ashx?n=pet&amp;s=mdistus1&amp;f=a</t>
  </si>
  <si>
    <t>(Million gallons)</t>
  </si>
  <si>
    <t>Not Available</t>
  </si>
  <si>
    <t>No Data Reported</t>
  </si>
  <si>
    <t>Renewable Diesel Fuel Consumption - Repeat from AJ - Delete if not linked</t>
  </si>
  <si>
    <t>U.S. Refinery and Blender Net Production of Distillate Fuel Oil (Th Bbls)</t>
  </si>
  <si>
    <t>U.S. Product Supplied of Distillate Fuel Oil (Th Bbls)</t>
  </si>
  <si>
    <t>U.S. Imports of Distillate Fuel Oil (Th Bbls)</t>
  </si>
  <si>
    <t>U.S. Ending Stocks of Distillate Fuel Oil (Th Bbls)</t>
  </si>
  <si>
    <t>U.S. Exports of Distillate Fuel Oil Thousand Barrels</t>
  </si>
  <si>
    <t>U.S. Refinery Net Production of Distillate Fuel Oil 0 to 15 ppm Sulfur Thousand Barrels</t>
  </si>
  <si>
    <t>Diesel Consumption</t>
  </si>
  <si>
    <t>Distillate Fuel Refinery Output</t>
  </si>
  <si>
    <t>Distillate Fuel Imports</t>
  </si>
  <si>
    <t>Distillate Fuel Exports</t>
  </si>
  <si>
    <t xml:space="preserve">Distillate Fuel U.S. Refinery and Blender Net Production </t>
  </si>
  <si>
    <t>https://www.eia.gov/dnav/pet/hist/LeafHandler.ashx?n=PET&amp;s=MDIRPUS1&amp;f=M</t>
  </si>
  <si>
    <t>https://www.eia.gov/dnav/pet/hist/LeafHandler.ashx?n=PET&amp;s=MDIUPUS1&amp;f=M</t>
  </si>
  <si>
    <t>https://www.eia.gov/dnav/pet/hist/LeafHandler.ashx?n=PET&amp;s=MDIIMUS1&amp;f=M</t>
  </si>
  <si>
    <t>https://www.eia.gov/dnav/pet/hist/LeafHandler.ashx?n=pet&amp;s=mdistus1&amp;f=m</t>
  </si>
  <si>
    <t>https://www.eia.gov/dnav/pet/hist/LeafHandler.ashx?n=PET&amp;s=MDIEXUS1&amp;f=M</t>
  </si>
  <si>
    <t>https://www.eia.gov/dnav/pet/hist/LeafHandler.ashx?n=PET&amp;s=MD0RX_NUS_1&amp;f=M</t>
  </si>
  <si>
    <t>(million gallons)</t>
  </si>
  <si>
    <t xml:space="preserve"> (million gallons)</t>
  </si>
  <si>
    <t>Not Meaningful</t>
  </si>
  <si>
    <t>US BIODIESEL SUPPLY AND DEMAND (Million Gallons)</t>
  </si>
  <si>
    <t>CAGR 5yr</t>
  </si>
  <si>
    <t>CAGR 11yr</t>
  </si>
  <si>
    <t>23-33</t>
  </si>
  <si>
    <t xml:space="preserve">BD SUPPLY AND DEMAND </t>
  </si>
  <si>
    <t>Beginning Stocks</t>
  </si>
  <si>
    <t xml:space="preserve">Production </t>
  </si>
  <si>
    <t xml:space="preserve">Imports </t>
  </si>
  <si>
    <t xml:space="preserve">    Total Supply</t>
  </si>
  <si>
    <t xml:space="preserve">Consumption </t>
  </si>
  <si>
    <t>Biodiesel Losses and Co-Products</t>
  </si>
  <si>
    <t>Exports</t>
  </si>
  <si>
    <t xml:space="preserve">    Total Use</t>
  </si>
  <si>
    <t xml:space="preserve">Final Stocks  </t>
  </si>
  <si>
    <t>Yield</t>
  </si>
  <si>
    <t>Stocks/Use</t>
  </si>
  <si>
    <t>Average Price (West Coast - excluding credits $/gal)</t>
  </si>
  <si>
    <t>Production var</t>
  </si>
  <si>
    <t>Consumption var</t>
  </si>
  <si>
    <t>Stocks var</t>
  </si>
  <si>
    <t>Imports var</t>
  </si>
  <si>
    <t>Exports var</t>
  </si>
  <si>
    <t>BIODIESEL PRODUCTION (million galons)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</si>
  <si>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</si>
  <si>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</si>
  <si>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</si>
  <si>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</si>
  <si>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</si>
  <si>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</si>
  <si>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</si>
  <si>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</si>
  <si>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</si>
  <si>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</si>
  <si>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</si>
  <si>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</si>
  <si>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Total</t>
  </si>
  <si>
    <t>BIODIESEL IMPORTS (million galons)</t>
  </si>
  <si>
    <t>DIFFERENCE BETWEEN CENSUS AND EIA IMPORTS</t>
  </si>
  <si>
    <t>CENSUS BUREAU IMPORTS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</si>
  <si>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</si>
  <si>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</si>
  <si>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</si>
  <si>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</si>
  <si>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</si>
  <si>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</si>
  <si>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</si>
  <si>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</si>
  <si>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</si>
  <si>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</si>
  <si>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</si>
  <si>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</si>
  <si>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TOTAL</t>
  </si>
  <si>
    <t>BIODIESEL EXPORTS (million galons)</t>
  </si>
  <si>
    <t>BIODIESEL CONSUMPTION (millions of galons)</t>
  </si>
  <si>
    <t>A</t>
  </si>
  <si>
    <t>BIODIESEL STOCKS (million galons)</t>
  </si>
  <si>
    <t>BIODIESEL PRICES (West Coast - excluding credits$/gal)</t>
  </si>
  <si>
    <t xml:space="preserve">  Average</t>
  </si>
  <si>
    <t>BIODIESEL PERCENT OF BIOMASS-BASED DIESEL PRODUCTION</t>
  </si>
  <si>
    <t>Total Supply</t>
  </si>
  <si>
    <t>million gallons</t>
  </si>
  <si>
    <t>RENEWABLE DIESEL SUPPLY AND DEMAND  (Million Gallons)</t>
  </si>
  <si>
    <t>Consumption</t>
  </si>
  <si>
    <t>Final Stocks  (December 31)</t>
  </si>
  <si>
    <t>EIA Distilatte fuel oil consumption (1000b/day)</t>
  </si>
  <si>
    <t>RENEWABLE DIESEL PRODUCTION (millions of gallons)</t>
  </si>
  <si>
    <t>5-Yr Max</t>
  </si>
  <si>
    <t>5-Yr Min</t>
  </si>
  <si>
    <t>5-Yr Avg</t>
  </si>
  <si>
    <t>Daily Avg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</si>
  <si>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</si>
  <si>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</si>
  <si>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</si>
  <si>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</si>
  <si>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</si>
  <si>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</si>
  <si>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</si>
  <si>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</si>
  <si>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</si>
  <si>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</si>
  <si>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</si>
  <si>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RENEWABLE DIESEL IMPORTS (million gallons)</t>
  </si>
  <si>
    <t>RENEWABLE DIESEL CONSUMPTION (millions of gallons)</t>
  </si>
  <si>
    <t>RENEWABLE DIESEL STOCKS (million gallons)</t>
  </si>
  <si>
    <t>RENEWABLE DIESEL PRICES (West Coast - excluding credits$/gal)</t>
  </si>
  <si>
    <t>RENEWABLE DIESEL CAPACITY (million gallons per year)</t>
  </si>
  <si>
    <t>RENEWABLE DIESEL CAPACITY UTILIZATION</t>
  </si>
  <si>
    <t>US DISTILATE FUEL OIL SUPPLY AND DEMAND  (Million Gallons)</t>
  </si>
  <si>
    <t>RENEWABLE DISTILATE FUEL OIL SUPPLY AND DEMAND  (Million Gallons)</t>
  </si>
  <si>
    <t xml:space="preserve">  Total Supply</t>
  </si>
  <si>
    <t>Reported Domestic Consumption</t>
  </si>
  <si>
    <t>Diesel Adjustment</t>
  </si>
  <si>
    <t>Domestic Consumption</t>
  </si>
  <si>
    <t xml:space="preserve">  Total Demand</t>
  </si>
  <si>
    <t xml:space="preserve">Stocks Change  </t>
  </si>
  <si>
    <t>Production Growth</t>
  </si>
  <si>
    <t>Domestic Consumption Growth</t>
  </si>
  <si>
    <t>DISTILATE FUEL OIL PRODUCTION (millions of gallons)</t>
  </si>
  <si>
    <t>IMPORTS (million gallons)</t>
  </si>
  <si>
    <t>EXPORTS (million gallons)</t>
  </si>
  <si>
    <t>DISTILATE FUEL OIL CONSUMPTION (millions of gallons)</t>
  </si>
  <si>
    <t>DISTILATE FUEL OIL ADJUSTMENT (millions of gallons)</t>
  </si>
  <si>
    <t>pulls from monthly data CE</t>
  </si>
  <si>
    <t>DISTILATE FUEL OIL CALCULATED DOMESTIC CONSUMPTION (millions of gallons)</t>
  </si>
  <si>
    <t>DISTILATE FUEL OIL STOCKS (million gallons)</t>
  </si>
  <si>
    <t>BD</t>
  </si>
  <si>
    <t>RD</t>
  </si>
  <si>
    <t>Combined</t>
  </si>
  <si>
    <t>BD Production</t>
  </si>
  <si>
    <t>RD Production</t>
  </si>
  <si>
    <t>Combined Production</t>
  </si>
  <si>
    <t>BD Capacity Utilization</t>
  </si>
  <si>
    <t>RD Capacity Utilization</t>
  </si>
  <si>
    <t>Combined Capacity Utilization</t>
  </si>
  <si>
    <t>Unused BD</t>
  </si>
  <si>
    <t>Unused RD</t>
  </si>
  <si>
    <t>Unused Combined</t>
  </si>
  <si>
    <t>Change in domestic BBD production</t>
  </si>
  <si>
    <t>Change in Capacity</t>
  </si>
  <si>
    <t>Domestic Production</t>
  </si>
  <si>
    <t>Unused Average</t>
  </si>
  <si>
    <t>Table 4a.</t>
  </si>
  <si>
    <t>Column3</t>
  </si>
  <si>
    <t>Column4</t>
  </si>
  <si>
    <t>Column5</t>
  </si>
  <si>
    <t>Column6</t>
  </si>
  <si>
    <t>Column7</t>
  </si>
  <si>
    <t>Column8</t>
  </si>
  <si>
    <t>Column9</t>
  </si>
  <si>
    <t>Column11</t>
  </si>
  <si>
    <t>Column12</t>
  </si>
  <si>
    <t>Column13</t>
  </si>
  <si>
    <t>Column14</t>
  </si>
  <si>
    <t>Column15</t>
  </si>
  <si>
    <t>Column16</t>
  </si>
  <si>
    <t>Column162</t>
  </si>
  <si>
    <t>Column163</t>
  </si>
  <si>
    <t>Column164</t>
  </si>
  <si>
    <t>Column165</t>
  </si>
  <si>
    <t>Column17</t>
  </si>
  <si>
    <t>Column18</t>
  </si>
  <si>
    <t>Column19</t>
  </si>
  <si>
    <t>U.S. Energy Information Administration</t>
  </si>
  <si>
    <t>|</t>
  </si>
  <si>
    <t>Short-Term Energy Outlook - July 2023</t>
  </si>
  <si>
    <t>2022</t>
  </si>
  <si>
    <t>2023</t>
  </si>
  <si>
    <t>2024</t>
  </si>
  <si>
    <t>Year</t>
  </si>
  <si>
    <t/>
  </si>
  <si>
    <t>Q1</t>
  </si>
  <si>
    <t>Q2</t>
  </si>
  <si>
    <t>Q3</t>
  </si>
  <si>
    <t>Q4</t>
  </si>
  <si>
    <t>Supply (million barrels per day)</t>
  </si>
  <si>
    <t>Crude Oil Supply
Domestic Production (a)</t>
  </si>
  <si>
    <t>12.56</t>
  </si>
  <si>
    <t>Alaska</t>
  </si>
  <si>
    <t>0.43</t>
  </si>
  <si>
    <t>Federal Gulf of Mexico (b)</t>
  </si>
  <si>
    <t>1.84</t>
  </si>
  <si>
    <t>Lower 48 States (excl GOM)</t>
  </si>
  <si>
    <t>10.30</t>
  </si>
  <si>
    <t>Crude Oil Net Imports (c)</t>
  </si>
  <si>
    <t>2.59</t>
  </si>
  <si>
    <t>SPR Net Withdrawals</t>
  </si>
  <si>
    <t>0.05</t>
  </si>
  <si>
    <t>Commercial Inventory Net Withdrawals</t>
  </si>
  <si>
    <t>-0.01</t>
  </si>
  <si>
    <t>Crude Oil Adjustment (d)</t>
  </si>
  <si>
    <t>0.60</t>
  </si>
  <si>
    <t>Total Crude Oil Input to Refineries</t>
  </si>
  <si>
    <t>15.80</t>
  </si>
  <si>
    <t>Other Supply
Refinery Processing Gain</t>
  </si>
  <si>
    <t>1.01</t>
  </si>
  <si>
    <t>Natural Gas Plant Liquids Production</t>
  </si>
  <si>
    <t>6.22</t>
  </si>
  <si>
    <t>Renewables and Oxygenate Production (e)</t>
  </si>
  <si>
    <t>1.27</t>
  </si>
  <si>
    <t>Fuel Ethanol Production</t>
  </si>
  <si>
    <t>1.00</t>
  </si>
  <si>
    <t>Petroleum Products Adjustment (f)</t>
  </si>
  <si>
    <t>0.21</t>
  </si>
  <si>
    <t>Product Net Imports (c)</t>
  </si>
  <si>
    <t>-3.74</t>
  </si>
  <si>
    <t>-3.99</t>
  </si>
  <si>
    <t>-4.07</t>
  </si>
  <si>
    <t>-3.93</t>
  </si>
  <si>
    <t>-3.91</t>
  </si>
  <si>
    <t>-3.98</t>
  </si>
  <si>
    <t>-3.80</t>
  </si>
  <si>
    <t>-4.34</t>
  </si>
  <si>
    <t>-3.88</t>
  </si>
  <si>
    <t>-4.12</t>
  </si>
  <si>
    <t>-4.20</t>
  </si>
  <si>
    <t>-4.01</t>
  </si>
  <si>
    <t>Hydrocarbon Gas Liquids</t>
  </si>
  <si>
    <t>-2.14</t>
  </si>
  <si>
    <t>-2.31</t>
  </si>
  <si>
    <t>-2.16</t>
  </si>
  <si>
    <t>-2.26</t>
  </si>
  <si>
    <t>-2.47</t>
  </si>
  <si>
    <t>-2.60</t>
  </si>
  <si>
    <t>-2.54</t>
  </si>
  <si>
    <t>-2.50</t>
  </si>
  <si>
    <t>-2.57</t>
  </si>
  <si>
    <t>-2.55</t>
  </si>
  <si>
    <t>-2.58</t>
  </si>
  <si>
    <t>Unfinished Oils</t>
  </si>
  <si>
    <t>0.09</t>
  </si>
  <si>
    <t>0.25</t>
  </si>
  <si>
    <t>0.28</t>
  </si>
  <si>
    <t>0.30</t>
  </si>
  <si>
    <t>0.29</t>
  </si>
  <si>
    <t>0.20</t>
  </si>
  <si>
    <t>0.27</t>
  </si>
  <si>
    <t>0.31</t>
  </si>
  <si>
    <t>Other HC/Oxygenates</t>
  </si>
  <si>
    <t>-0.09</t>
  </si>
  <si>
    <t>-0.10</t>
  </si>
  <si>
    <t>-0.07</t>
  </si>
  <si>
    <t>-0.02</t>
  </si>
  <si>
    <t>-0.05</t>
  </si>
  <si>
    <t>-0.03</t>
  </si>
  <si>
    <t>-0.04</t>
  </si>
  <si>
    <t>Motor Gasoline Blend Comp. .</t>
  </si>
  <si>
    <t>0.40</t>
  </si>
  <si>
    <t>0.48</t>
  </si>
  <si>
    <t>0.45</t>
  </si>
  <si>
    <t>0.65</t>
  </si>
  <si>
    <t>0.64</t>
  </si>
  <si>
    <t>0.34</t>
  </si>
  <si>
    <t>0.49</t>
  </si>
  <si>
    <t>0.36</t>
  </si>
  <si>
    <t>0.52</t>
  </si>
  <si>
    <t>Finished Motor Gasoline</t>
  </si>
  <si>
    <t>-0.76</t>
  </si>
  <si>
    <t>-0.73</t>
  </si>
  <si>
    <t>-0.81</t>
  </si>
  <si>
    <t>-0.83</t>
  </si>
  <si>
    <t>-0.75</t>
  </si>
  <si>
    <t>-0.69</t>
  </si>
  <si>
    <t>-0.79</t>
  </si>
  <si>
    <t>-0.84</t>
  </si>
  <si>
    <t>-0.80</t>
  </si>
  <si>
    <t>-0.67</t>
  </si>
  <si>
    <t>-0.77</t>
  </si>
  <si>
    <t>Jet Fuel</t>
  </si>
  <si>
    <t>-0.06</t>
  </si>
  <si>
    <t>-0.11</t>
  </si>
  <si>
    <t>0.11</t>
  </si>
  <si>
    <t>0.15</t>
  </si>
  <si>
    <t>0.19</t>
  </si>
  <si>
    <t>0.04</t>
  </si>
  <si>
    <t>Distillate Fuel Oil</t>
  </si>
  <si>
    <t>-1.15</t>
  </si>
  <si>
    <t>-1.29</t>
  </si>
  <si>
    <t>-1.05</t>
  </si>
  <si>
    <t>-1.00</t>
  </si>
  <si>
    <t>-1.14</t>
  </si>
  <si>
    <t>-1.08</t>
  </si>
  <si>
    <t>-0.88</t>
  </si>
  <si>
    <t>-1.27</t>
  </si>
  <si>
    <t>-1.06</t>
  </si>
  <si>
    <t>Residual Fuel Oil</t>
  </si>
  <si>
    <t>0.14</t>
  </si>
  <si>
    <t>0.10</t>
  </si>
  <si>
    <t>0.01</t>
  </si>
  <si>
    <t>0.07</t>
  </si>
  <si>
    <t>0.06</t>
  </si>
  <si>
    <t>0.03</t>
  </si>
  <si>
    <t>Other Oils (g)</t>
  </si>
  <si>
    <t>-0.54</t>
  </si>
  <si>
    <t>-0.59</t>
  </si>
  <si>
    <t>-0.49</t>
  </si>
  <si>
    <t>-0.53</t>
  </si>
  <si>
    <t>-0.58</t>
  </si>
  <si>
    <t>-0.50</t>
  </si>
  <si>
    <t>-0.47</t>
  </si>
  <si>
    <t>-0.63</t>
  </si>
  <si>
    <t>-0.55</t>
  </si>
  <si>
    <t>-0.64</t>
  </si>
  <si>
    <t>Product Inventory Net Withdrawals</t>
  </si>
  <si>
    <t>0.42</t>
  </si>
  <si>
    <t>-0.25</t>
  </si>
  <si>
    <t>-0.26</t>
  </si>
  <si>
    <t>-0.46</t>
  </si>
  <si>
    <t>-0.17</t>
  </si>
  <si>
    <t>0.47</t>
  </si>
  <si>
    <t>20.22</t>
  </si>
  <si>
    <t>20.27</t>
  </si>
  <si>
    <t>20.47</t>
  </si>
  <si>
    <t>20.16</t>
  </si>
  <si>
    <t>20.00</t>
  </si>
  <si>
    <t>20.48</t>
  </si>
  <si>
    <t>20.68</t>
  </si>
  <si>
    <t>20.59</t>
  </si>
  <si>
    <t>20.52</t>
  </si>
  <si>
    <t>20.72</t>
  </si>
  <si>
    <t>21.08</t>
  </si>
  <si>
    <t>20.82</t>
  </si>
  <si>
    <t>20.44</t>
  </si>
  <si>
    <t>Consumption (million barrels per day)
Hydrocarbon Gas Liquids</t>
  </si>
  <si>
    <t>3.87</t>
  </si>
  <si>
    <t>3.43</t>
  </si>
  <si>
    <t>3.48</t>
  </si>
  <si>
    <t>3.57</t>
  </si>
  <si>
    <t>3.68</t>
  </si>
  <si>
    <t>3.44</t>
  </si>
  <si>
    <t>3.51</t>
  </si>
  <si>
    <t>4.02</t>
  </si>
  <si>
    <t>3.63</t>
  </si>
  <si>
    <t>3.93</t>
  </si>
  <si>
    <t>3.62</t>
  </si>
  <si>
    <t>0.13</t>
  </si>
  <si>
    <t>0.17</t>
  </si>
  <si>
    <t>0.22</t>
  </si>
  <si>
    <t>0.23</t>
  </si>
  <si>
    <t>0.24</t>
  </si>
  <si>
    <t>0.26</t>
  </si>
  <si>
    <t>0.00</t>
  </si>
  <si>
    <t>0.02</t>
  </si>
  <si>
    <t>Motor Gasoline</t>
  </si>
  <si>
    <t>8.47</t>
  </si>
  <si>
    <t>9.00</t>
  </si>
  <si>
    <t>8.88</t>
  </si>
  <si>
    <t>8.75</t>
  </si>
  <si>
    <t>8.67</t>
  </si>
  <si>
    <t>9.19</t>
  </si>
  <si>
    <t>9.08</t>
  </si>
  <si>
    <t>8.73</t>
  </si>
  <si>
    <t>8.65</t>
  </si>
  <si>
    <t>9.11</t>
  </si>
  <si>
    <t>9.17</t>
  </si>
  <si>
    <t>8.79</t>
  </si>
  <si>
    <t>8.92</t>
  </si>
  <si>
    <t>Fuel Ethanol blended into Motor Gasoline</t>
  </si>
  <si>
    <t>0.87</t>
  </si>
  <si>
    <t>0.93</t>
  </si>
  <si>
    <t>0.92</t>
  </si>
  <si>
    <t>0.90</t>
  </si>
  <si>
    <t>0.96</t>
  </si>
  <si>
    <t>0.94</t>
  </si>
  <si>
    <t>1.45</t>
  </si>
  <si>
    <t>1.61</t>
  </si>
  <si>
    <t>1.60</t>
  </si>
  <si>
    <t>1.58</t>
  </si>
  <si>
    <t>1.55</t>
  </si>
  <si>
    <t>1.66</t>
  </si>
  <si>
    <t>1.77</t>
  </si>
  <si>
    <t>1.71</t>
  </si>
  <si>
    <t>1.78</t>
  </si>
  <si>
    <t>1.82</t>
  </si>
  <si>
    <t>1.75</t>
  </si>
  <si>
    <t>1.67</t>
  </si>
  <si>
    <t>4.14</t>
  </si>
  <si>
    <t>3.89</t>
  </si>
  <si>
    <t>3.86</t>
  </si>
  <si>
    <t>3.96</t>
  </si>
  <si>
    <t>4.01</t>
  </si>
  <si>
    <t>3.88</t>
  </si>
  <si>
    <t>3.78</t>
  </si>
  <si>
    <t>3.97</t>
  </si>
  <si>
    <t>4.05</t>
  </si>
  <si>
    <t>3.98</t>
  </si>
  <si>
    <t>3.91</t>
  </si>
  <si>
    <t>0.38</t>
  </si>
  <si>
    <t>0.39</t>
  </si>
  <si>
    <t>0.32</t>
  </si>
  <si>
    <t>0.33</t>
  </si>
  <si>
    <t>1.65</t>
  </si>
  <si>
    <t>1.99</t>
  </si>
  <si>
    <t>1.53</t>
  </si>
  <si>
    <t>1.87</t>
  </si>
  <si>
    <t>2.02</t>
  </si>
  <si>
    <t>1.63</t>
  </si>
  <si>
    <t>1.86</t>
  </si>
  <si>
    <t>2.00</t>
  </si>
  <si>
    <t>1.73</t>
  </si>
  <si>
    <t>1.79</t>
  </si>
  <si>
    <t>Total Consumption</t>
  </si>
  <si>
    <t>Total Petroleum and Other Liquids Net Imports</t>
  </si>
  <si>
    <t>-0.74</t>
  </si>
  <si>
    <t>-1.18</t>
  </si>
  <si>
    <t>-1.32</t>
  </si>
  <si>
    <t>-1.79</t>
  </si>
  <si>
    <t>-1.64</t>
  </si>
  <si>
    <t>-1.63</t>
  </si>
  <si>
    <t>-0.78</t>
  </si>
  <si>
    <t>-1.36</t>
  </si>
  <si>
    <t>-1.03</t>
  </si>
  <si>
    <t>-2.11</t>
  </si>
  <si>
    <t>-1.42</t>
  </si>
  <si>
    <t>End-of-period Inventories (million barrels)</t>
  </si>
  <si>
    <t>Commercial Inventory
Crude Oil (excluding SPR)</t>
  </si>
  <si>
    <t>414.4</t>
  </si>
  <si>
    <t>417.5</t>
  </si>
  <si>
    <t>428.8</t>
  </si>
  <si>
    <t>429.6</t>
  </si>
  <si>
    <t>465.4</t>
  </si>
  <si>
    <t>451.7</t>
  </si>
  <si>
    <t>429.3</t>
  </si>
  <si>
    <t>432.6</t>
  </si>
  <si>
    <t>459.9</t>
  </si>
  <si>
    <t>447.0</t>
  </si>
  <si>
    <t>428.6</t>
  </si>
  <si>
    <t>436.2</t>
  </si>
  <si>
    <t>142.0</t>
  </si>
  <si>
    <t>186.7</t>
  </si>
  <si>
    <t>243.6</t>
  </si>
  <si>
    <t>211.1</t>
  </si>
  <si>
    <t>174.3</t>
  </si>
  <si>
    <t>227.1</t>
  </si>
  <si>
    <t>265.5</t>
  </si>
  <si>
    <t>221.2</t>
  </si>
  <si>
    <t>179.0</t>
  </si>
  <si>
    <t>226.1</t>
  </si>
  <si>
    <t>264.1</t>
  </si>
  <si>
    <t>218.8</t>
  </si>
  <si>
    <t>87.9</t>
  </si>
  <si>
    <t>88.8</t>
  </si>
  <si>
    <t>82.3</t>
  </si>
  <si>
    <t>86.1</t>
  </si>
  <si>
    <t>88.6</t>
  </si>
  <si>
    <t>88.1</t>
  </si>
  <si>
    <t>81.0</t>
  </si>
  <si>
    <t>91.0</t>
  </si>
  <si>
    <t>86.9</t>
  </si>
  <si>
    <t>79.3</t>
  </si>
  <si>
    <t>34.1</t>
  </si>
  <si>
    <t>29.4</t>
  </si>
  <si>
    <t>27.3</t>
  </si>
  <si>
    <t>31.7</t>
  </si>
  <si>
    <t>34.3</t>
  </si>
  <si>
    <t>31.2</t>
  </si>
  <si>
    <t>30.9</t>
  </si>
  <si>
    <t>33.2</t>
  </si>
  <si>
    <t>32.0</t>
  </si>
  <si>
    <t>Total Motor Gasoline</t>
  </si>
  <si>
    <t>238.5</t>
  </si>
  <si>
    <t>221.0</t>
  </si>
  <si>
    <t>209.6</t>
  </si>
  <si>
    <t>224.3</t>
  </si>
  <si>
    <t>225.3</t>
  </si>
  <si>
    <t>219.7</t>
  </si>
  <si>
    <t>229.3</t>
  </si>
  <si>
    <t>239.9</t>
  </si>
  <si>
    <t>240.8</t>
  </si>
  <si>
    <t>236.5</t>
  </si>
  <si>
    <t>224.6</t>
  </si>
  <si>
    <t>237.1</t>
  </si>
  <si>
    <t>17.3</t>
  </si>
  <si>
    <t>17.1</t>
  </si>
  <si>
    <t>17.6</t>
  </si>
  <si>
    <t>17.4</t>
  </si>
  <si>
    <t>14.7</t>
  </si>
  <si>
    <t>17.2</t>
  </si>
  <si>
    <t>22.2</t>
  </si>
  <si>
    <t>22.3</t>
  </si>
  <si>
    <t>19.4</t>
  </si>
  <si>
    <t>19.7</t>
  </si>
  <si>
    <t>23.1</t>
  </si>
  <si>
    <t>23.2</t>
  </si>
  <si>
    <t>203.8</t>
  </si>
  <si>
    <t>192.0</t>
  </si>
  <si>
    <t>206.9</t>
  </si>
  <si>
    <t>210.6</t>
  </si>
  <si>
    <t>202.4</t>
  </si>
  <si>
    <t>207.0</t>
  </si>
  <si>
    <t>217.6</t>
  </si>
  <si>
    <t>221.3</t>
  </si>
  <si>
    <t>216.8</t>
  </si>
  <si>
    <t>201.5</t>
  </si>
  <si>
    <t>213.9</t>
  </si>
  <si>
    <t>35.6</t>
  </si>
  <si>
    <t>39.3</t>
  </si>
  <si>
    <t>36.2</t>
  </si>
  <si>
    <t>35.0</t>
  </si>
  <si>
    <t>37.7</t>
  </si>
  <si>
    <t>41.3</t>
  </si>
  <si>
    <t>40.9</t>
  </si>
  <si>
    <t>39.9</t>
  </si>
  <si>
    <t>39.6</t>
  </si>
  <si>
    <t>41.4</t>
  </si>
  <si>
    <t>42.5</t>
  </si>
  <si>
    <t>114.6</t>
  </si>
  <si>
    <t>111.4</t>
  </si>
  <si>
    <t>110.5</t>
  </si>
  <si>
    <t>118.8</t>
  </si>
  <si>
    <t>112.3</t>
  </si>
  <si>
    <t>113.5</t>
  </si>
  <si>
    <t>120.2</t>
  </si>
  <si>
    <t>111.7</t>
  </si>
  <si>
    <t>115.7</t>
  </si>
  <si>
    <t>116.3</t>
  </si>
  <si>
    <t>115.8</t>
  </si>
  <si>
    <t>27.9</t>
  </si>
  <si>
    <t>29.2</t>
  </si>
  <si>
    <t>30.7</t>
  </si>
  <si>
    <t>29.6</t>
  </si>
  <si>
    <t>28.4</t>
  </si>
  <si>
    <t>28.0</t>
  </si>
  <si>
    <t>28.7</t>
  </si>
  <si>
    <t>26.9</t>
  </si>
  <si>
    <t>26.3</t>
  </si>
  <si>
    <t>58.5</t>
  </si>
  <si>
    <t>56.4</t>
  </si>
  <si>
    <t>49.5</t>
  </si>
  <si>
    <t>54.2</t>
  </si>
  <si>
    <t>63.3</t>
  </si>
  <si>
    <t>57.8</t>
  </si>
  <si>
    <t>48.6</t>
  </si>
  <si>
    <t>50.1</t>
  </si>
  <si>
    <t>59.3</t>
  </si>
  <si>
    <t>57.3</t>
  </si>
  <si>
    <t>48.0</t>
  </si>
  <si>
    <t>Total Commercial Inventory</t>
  </si>
  <si>
    <t>1153.6</t>
  </si>
  <si>
    <t>1179.7</t>
  </si>
  <si>
    <t>1215.1</t>
  </si>
  <si>
    <t>1221.6</t>
  </si>
  <si>
    <t>1230.8</t>
  </si>
  <si>
    <t>1259.3</t>
  </si>
  <si>
    <t>1279.9</t>
  </si>
  <si>
    <t>1244.1</t>
  </si>
  <si>
    <t>1243.7</t>
  </si>
  <si>
    <t>1272.5</t>
  </si>
  <si>
    <t>1269.7</t>
  </si>
  <si>
    <t>1234.1</t>
  </si>
  <si>
    <t>Crude Oil in SPR</t>
  </si>
  <si>
    <t>566.1</t>
  </si>
  <si>
    <t>493.3</t>
  </si>
  <si>
    <t>416.4</t>
  </si>
  <si>
    <t>372.0</t>
  </si>
  <si>
    <t>371.2</t>
  </si>
  <si>
    <t>346.9</t>
  </si>
  <si>
    <t>353.2</t>
  </si>
  <si>
    <t>(a) Includes lease condensate.</t>
  </si>
  <si>
    <t>(b) Crude oil production from U.S. Federal leases in the Gulf of Mexico (GOM).</t>
  </si>
  <si>
    <t>(c) Net imports equals gross imports minus gross exports.</t>
  </si>
  <si>
    <t>(d) Crude oil adjustment balances supply and consumption and was previously referred to as "Unaccounted for Crude Oil."</t>
  </si>
  <si>
    <t>(e) Renewables and oxygenate production includes pentanes plus, oxygenates (excluding fuel ethanol), and renewable fuels. Beginning in January 2021, renewable fuels includes biodiesel, renewable diesel,</t>
  </si>
  <si>
    <t>renewable jet fuel, renewable heating oil, renewable naphtha and gasoline, and other renewable fuels. For December 2020 and prior, renewable fuels includes only biodiesel.</t>
  </si>
  <si>
    <t>(f) Petroleum products adjustment includes hydrogen/oxygenates/renewables/other hydrocarbons, motor gasoline blend components, and finished motor gasoline.</t>
  </si>
  <si>
    <t>(g) “Other Oils" includes aviation gasoline blend components, finished aviation gasoline, kerosene, petrochemical feedstocks, special naphthas, lubricants, waxes, petroleum coke, asphalt and road oil, still gas, and</t>
  </si>
  <si>
    <t>miscellaneous products.</t>
  </si>
  <si>
    <t>- = no data available</t>
  </si>
  <si>
    <t>SPR: Strategic Petroleum Reserve</t>
  </si>
  <si>
    <t>HC: Hydrocarbons</t>
  </si>
  <si>
    <t>Notes: EIA completed modeling and analysis for this report on July 6, 2023.</t>
  </si>
  <si>
    <t>The approximate break between historical and forecast values is shown with historical data printed in bold; estimates and forecasts in italics.</t>
  </si>
  <si>
    <t>Historical data: Latest data available from Energy Information Administration databases supporting the following reports:</t>
  </si>
  <si>
    <t>Petroleum Supply Annual , DOE/EIA-0340/2; and Weekly Petroleum Status Report , DOE/EIA-0208.</t>
  </si>
  <si>
    <t>Minor discrepancies with published historical data are due to independent rounding.</t>
  </si>
  <si>
    <t>Forecasts: EIA Short-Term Integrated Forecasting System.</t>
  </si>
  <si>
    <t>GTT v EIA</t>
  </si>
  <si>
    <t>2710.19.06.05</t>
  </si>
  <si>
    <t>2710.19.06.15</t>
  </si>
  <si>
    <t>U.S. Exports of Distillate Fuel Oil mil gallons</t>
  </si>
  <si>
    <t>Differential EIA to GTT</t>
  </si>
  <si>
    <t>exports (mil gallons)</t>
  </si>
  <si>
    <t>US RENEWABLE DIESEL SUPPLY AND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</si>
</sst>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mm\-yy;@"/>
    <numFmt numFmtId="165" formatCode="#,##0.000_);[Red]\(#,##0.000\)"/>
    <numFmt numFmtId="166" formatCode="#,##0.0_);[Red]\(#,##0.0\)"/>
    <numFmt numFmtId="167" formatCode="0.0%"/>
    <numFmt numFmtId="168" formatCode="0_);[Red]\(0\)"/>
    <numFmt numFmtId="169" formatCode="#,##0.000"/>
  </numFmts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u/>
      <sz val="11"/>
      <color theme="10"/>
      <name val="Aptos Display"/>
      <family val="2"/>
    </font>
    <font>
      <b/>
      <sz val="11"/>
      <color rgb="FFFF0000"/>
      <name val="Aptos Display"/>
      <family val="2"/>
    </font>
    <font>
      <b/>
      <sz val="10"/>
      <color rgb="FF000000"/>
      <name val="Aptos Narrow"/>
      <family val="2"/>
      <scheme val="minor"/>
    </font>
    <font>
      <b/>
      <sz val="8"/>
      <color rgb="FF000000"/>
      <name val="Avenir Next LT Pro Demi"/>
      <family val="2"/>
    </font>
    <font>
      <b/>
      <sz val="8"/>
      <color rgb="FFFF0000"/>
      <name val="Avenir Next LT Pro Demi"/>
      <family val="2"/>
    </font>
    <font>
      <b/>
      <sz val="8"/>
      <color theme="1"/>
      <name val="Avenir Next LT Pro Demi"/>
      <family val="2"/>
    </font>
    <font>
      <sz val="8"/>
      <color theme="1"/>
      <name val="Avenir Next LT Pro Demi"/>
      <family val="2"/>
    </font>
    <font>
      <u/>
      <sz val="8"/>
      <color theme="10"/>
      <name val="Avenir Next LT Pro Demi"/>
      <family val="2"/>
    </font>
    <font>
      <sz val="8"/>
      <color rgb="FFFF0000"/>
      <name val="Avenir Next LT Pro Demi"/>
      <family val="2"/>
    </font>
    <font>
      <sz val="10"/>
      <name val="MS Sans Serif"/>
      <family val="2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sz val="11"/>
      <color theme="1"/>
      <name val="Arial"/>
      <family val="2"/>
    </font>
    <font>
      <b/>
      <sz val="11"/>
      <name val="Arial Narrow"/>
      <family val="2"/>
    </font>
    <font>
      <b/>
      <sz val="10"/>
      <color theme="0"/>
      <name val="Helvetica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Arial"/>
      <family val="2"/>
    </font>
    <font>
      <sz val="10"/>
      <color theme="1"/>
      <name val="Arial Narrow"/>
      <family val="2"/>
    </font>
    <font>
      <sz val="10"/>
      <color theme="1"/>
      <name val="Brown"/>
    </font>
    <font>
      <b/>
      <sz val="10"/>
      <color theme="1"/>
      <name val="Arial Narrow"/>
      <family val="2"/>
    </font>
    <font>
      <b/>
      <sz val="11"/>
      <color theme="1"/>
      <name val="Abadi"/>
      <family val="2"/>
    </font>
    <font>
      <sz val="11"/>
      <color theme="1"/>
      <name val="Helvetica"/>
      <family val="2"/>
    </font>
    <font>
      <b/>
      <i/>
      <sz val="11"/>
      <color rgb="FFFF0000"/>
      <name val="Aptos Narrow"/>
      <family val="2"/>
      <scheme val="minor"/>
    </font>
    <font>
      <sz val="11"/>
      <color theme="1"/>
      <name val="Abadi"/>
      <family val="2"/>
    </font>
    <font>
      <sz val="10"/>
      <color rgb="FFFF0000"/>
      <name val="Arial Narrow"/>
      <family val="2"/>
    </font>
    <font>
      <b/>
      <u/>
      <sz val="11"/>
      <color theme="10"/>
      <name val="Aptos Narrow"/>
      <family val="2"/>
      <scheme val="minor"/>
    </font>
    <font>
      <b/>
      <sz val="12"/>
      <color theme="1"/>
      <name val="Aptos Display"/>
      <family val="2"/>
    </font>
    <font>
      <b/>
      <sz val="10"/>
      <color rgb="FF000000"/>
      <name val="Aptos Display"/>
      <family val="2"/>
    </font>
    <font>
      <b/>
      <sz val="8"/>
      <color theme="0"/>
      <name val="Avenir Next LT Pro Demi"/>
      <family val="2"/>
    </font>
    <font>
      <b/>
      <sz val="8"/>
      <name val="Avenir Next LT Pro Demi"/>
      <family val="2"/>
    </font>
    <font>
      <b/>
      <sz val="12"/>
      <color theme="0"/>
      <name val="Avenir Next LT Pro Demi"/>
      <family val="2"/>
    </font>
    <font>
      <sz val="8"/>
      <name val="Avenir Next LT Pro Dem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9">
    <border>
      <left/>
      <right/>
      <top/>
      <bottom/>
      <diagonal/>
    </border>
    <border>
      <left/>
      <right/>
      <top style="thin">
        <color rgb="FF6F079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rgb="FF6F079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rgb="FF7030A0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 style="medium">
        <color rgb="FF8C8C8C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0" fontId="16" fillId="0" borderId="0" applyFont="0" applyFill="0" applyBorder="0" applyAlignment="0" applyProtection="0"/>
  </cellStyleXfs>
  <cellXfs count="309"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2" applyFont="1"/>
    <xf numFmtId="0" fontId="6" fillId="2" borderId="0" xfId="0" applyFont="1" applyFill="1"/>
    <xf numFmtId="0" fontId="7" fillId="0" borderId="0" xfId="2" applyFont="1" applyFill="1"/>
    <xf numFmtId="0" fontId="4" fillId="0" borderId="0" xfId="2"/>
    <xf numFmtId="0" fontId="8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9" fillId="0" borderId="0" xfId="0" applyFont="1" applyAlignment="1">
      <alignment wrapText="1"/>
    </xf>
    <xf numFmtId="0" fontId="9" fillId="4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9" fillId="7" borderId="0" xfId="0" applyFont="1" applyFill="1" applyAlignment="1">
      <alignment wrapText="1"/>
    </xf>
    <xf numFmtId="0" fontId="9" fillId="8" borderId="0" xfId="0" applyFont="1" applyFill="1" applyAlignment="1">
      <alignment wrapText="1"/>
    </xf>
    <xf numFmtId="0" fontId="0" fillId="0" borderId="0" xfId="0" applyAlignment="1">
      <alignment wrapText="1"/>
    </xf>
    <xf numFmtId="0" fontId="9" fillId="0" borderId="0" xfId="0" applyFont="1"/>
    <xf numFmtId="0" fontId="9" fillId="4" borderId="0" xfId="0" applyFont="1" applyFill="1"/>
    <xf numFmtId="0" fontId="9" fillId="2" borderId="0" xfId="0" applyFont="1" applyFill="1"/>
    <xf numFmtId="0" fontId="9" fillId="3" borderId="0" xfId="0" applyFont="1" applyFill="1"/>
    <xf numFmtId="0" fontId="9" fillId="5" borderId="0" xfId="0" applyFont="1" applyFill="1"/>
    <xf numFmtId="0" fontId="9" fillId="6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2" fontId="0" fillId="2" borderId="0" xfId="0" applyNumberFormat="1" applyFill="1"/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164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165" fontId="10" fillId="4" borderId="0" xfId="0" applyNumberFormat="1" applyFont="1" applyFill="1"/>
    <xf numFmtId="165" fontId="10" fillId="0" borderId="0" xfId="0" applyNumberFormat="1" applyFont="1"/>
    <xf numFmtId="165" fontId="13" fillId="3" borderId="0" xfId="0" applyNumberFormat="1" applyFont="1" applyFill="1"/>
    <xf numFmtId="165" fontId="13" fillId="0" borderId="0" xfId="0" applyNumberFormat="1" applyFont="1"/>
    <xf numFmtId="165" fontId="13" fillId="5" borderId="0" xfId="0" applyNumberFormat="1" applyFont="1" applyFill="1"/>
    <xf numFmtId="165" fontId="13" fillId="2" borderId="0" xfId="0" applyNumberFormat="1" applyFont="1" applyFill="1"/>
    <xf numFmtId="165" fontId="15" fillId="0" borderId="0" xfId="0" applyNumberFormat="1" applyFont="1"/>
    <xf numFmtId="165" fontId="13" fillId="6" borderId="0" xfId="0" applyNumberFormat="1" applyFont="1" applyFill="1"/>
    <xf numFmtId="165" fontId="13" fillId="7" borderId="0" xfId="0" applyNumberFormat="1" applyFont="1" applyFill="1"/>
    <xf numFmtId="165" fontId="13" fillId="8" borderId="0" xfId="0" applyNumberFormat="1" applyFont="1" applyFill="1"/>
    <xf numFmtId="0" fontId="13" fillId="0" borderId="0" xfId="0" applyFont="1"/>
    <xf numFmtId="38" fontId="13" fillId="0" borderId="0" xfId="0" applyNumberFormat="1" applyFont="1"/>
    <xf numFmtId="166" fontId="13" fillId="2" borderId="0" xfId="0" applyNumberFormat="1" applyFont="1" applyFill="1"/>
    <xf numFmtId="165" fontId="13" fillId="4" borderId="0" xfId="0" applyNumberFormat="1" applyFont="1" applyFill="1"/>
    <xf numFmtId="166" fontId="15" fillId="0" borderId="0" xfId="0" applyNumberFormat="1" applyFont="1"/>
    <xf numFmtId="165" fontId="15" fillId="0" borderId="0" xfId="0" applyNumberFormat="1" applyFont="1" applyAlignment="1">
      <alignment horizontal="center"/>
    </xf>
    <xf numFmtId="165" fontId="13" fillId="2" borderId="0" xfId="0" applyNumberFormat="1" applyFont="1" applyFill="1" applyAlignment="1">
      <alignment horizontal="center"/>
    </xf>
    <xf numFmtId="164" fontId="13" fillId="0" borderId="0" xfId="0" applyNumberFormat="1" applyFont="1"/>
    <xf numFmtId="0" fontId="13" fillId="4" borderId="0" xfId="0" applyFont="1" applyFill="1"/>
    <xf numFmtId="0" fontId="13" fillId="3" borderId="0" xfId="0" applyFont="1" applyFill="1"/>
    <xf numFmtId="0" fontId="13" fillId="5" borderId="0" xfId="0" applyFont="1" applyFill="1"/>
    <xf numFmtId="0" fontId="15" fillId="0" borderId="0" xfId="0" applyFont="1"/>
    <xf numFmtId="0" fontId="13" fillId="6" borderId="0" xfId="0" applyFont="1" applyFill="1"/>
    <xf numFmtId="0" fontId="13" fillId="7" borderId="0" xfId="0" applyFont="1" applyFill="1"/>
    <xf numFmtId="0" fontId="13" fillId="8" borderId="0" xfId="0" applyFont="1" applyFill="1"/>
    <xf numFmtId="0" fontId="13" fillId="2" borderId="0" xfId="0" applyFont="1" applyFill="1"/>
    <xf numFmtId="0" fontId="17" fillId="0" borderId="0" xfId="0" applyFont="1"/>
    <xf numFmtId="0" fontId="0" fillId="9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19" fillId="0" borderId="0" xfId="0" applyFont="1"/>
    <xf numFmtId="0" fontId="20" fillId="10" borderId="3" xfId="3" quotePrefix="1" applyNumberFormat="1" applyFont="1" applyFill="1" applyBorder="1" applyAlignment="1">
      <alignment horizontal="center"/>
    </xf>
    <xf numFmtId="0" fontId="21" fillId="9" borderId="4" xfId="0" applyFont="1" applyFill="1" applyBorder="1"/>
    <xf numFmtId="0" fontId="22" fillId="9" borderId="4" xfId="0" applyFont="1" applyFill="1" applyBorder="1" applyAlignment="1">
      <alignment horizontal="center"/>
    </xf>
    <xf numFmtId="0" fontId="23" fillId="9" borderId="4" xfId="0" applyFont="1" applyFill="1" applyBorder="1" applyAlignment="1">
      <alignment horizontal="center"/>
    </xf>
    <xf numFmtId="0" fontId="19" fillId="10" borderId="0" xfId="0" applyFont="1" applyFill="1"/>
    <xf numFmtId="0" fontId="19" fillId="10" borderId="5" xfId="0" applyFont="1" applyFill="1" applyBorder="1"/>
    <xf numFmtId="0" fontId="19" fillId="10" borderId="6" xfId="0" applyFont="1" applyFill="1" applyBorder="1"/>
    <xf numFmtId="38" fontId="19" fillId="10" borderId="0" xfId="0" applyNumberFormat="1" applyFont="1" applyFill="1"/>
    <xf numFmtId="38" fontId="19" fillId="10" borderId="6" xfId="0" applyNumberFormat="1" applyFont="1" applyFill="1" applyBorder="1"/>
    <xf numFmtId="38" fontId="23" fillId="1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38" fontId="22" fillId="10" borderId="0" xfId="0" applyNumberFormat="1" applyFont="1" applyFill="1" applyAlignment="1">
      <alignment horizontal="center"/>
    </xf>
    <xf numFmtId="0" fontId="24" fillId="0" borderId="0" xfId="0" applyFont="1"/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24" fillId="0" borderId="9" xfId="0" applyFont="1" applyBorder="1"/>
    <xf numFmtId="0" fontId="24" fillId="0" borderId="9" xfId="0" applyFont="1" applyBorder="1" applyAlignment="1">
      <alignment horizontal="center"/>
    </xf>
    <xf numFmtId="0" fontId="26" fillId="0" borderId="0" xfId="0" applyFont="1"/>
    <xf numFmtId="3" fontId="25" fillId="0" borderId="0" xfId="0" applyNumberFormat="1" applyFont="1" applyAlignment="1">
      <alignment horizontal="center"/>
    </xf>
    <xf numFmtId="169" fontId="25" fillId="0" borderId="0" xfId="0" applyNumberFormat="1" applyFont="1" applyAlignment="1">
      <alignment horizontal="center"/>
    </xf>
    <xf numFmtId="169" fontId="27" fillId="0" borderId="0" xfId="0" applyNumberFormat="1" applyFont="1" applyAlignment="1">
      <alignment horizontal="center"/>
    </xf>
    <xf numFmtId="0" fontId="19" fillId="0" borderId="5" xfId="0" applyFont="1" applyBorder="1"/>
    <xf numFmtId="38" fontId="25" fillId="0" borderId="0" xfId="0" applyNumberFormat="1" applyFont="1" applyAlignment="1">
      <alignment horizontal="center"/>
    </xf>
    <xf numFmtId="38" fontId="27" fillId="0" borderId="0" xfId="0" applyNumberFormat="1" applyFont="1" applyAlignment="1">
      <alignment horizontal="center"/>
    </xf>
    <xf numFmtId="38" fontId="25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38" fontId="19" fillId="0" borderId="0" xfId="0" applyNumberFormat="1" applyFont="1" applyAlignment="1">
      <alignment horizontal="center"/>
    </xf>
    <xf numFmtId="0" fontId="24" fillId="0" borderId="6" xfId="0" applyFont="1" applyBorder="1" applyAlignment="1">
      <alignment horizontal="center"/>
    </xf>
    <xf numFmtId="38" fontId="17" fillId="0" borderId="0" xfId="0" applyNumberFormat="1" applyFont="1"/>
    <xf numFmtId="0" fontId="19" fillId="0" borderId="6" xfId="0" applyFont="1" applyBorder="1"/>
    <xf numFmtId="0" fontId="28" fillId="0" borderId="0" xfId="0" applyFont="1"/>
    <xf numFmtId="0" fontId="28" fillId="0" borderId="9" xfId="0" applyFont="1" applyBorder="1"/>
    <xf numFmtId="0" fontId="29" fillId="10" borderId="3" xfId="0" applyFont="1" applyFill="1" applyBorder="1"/>
    <xf numFmtId="38" fontId="22" fillId="0" borderId="0" xfId="0" applyNumberFormat="1" applyFont="1" applyAlignment="1">
      <alignment horizontal="center"/>
    </xf>
    <xf numFmtId="38" fontId="22" fillId="0" borderId="0" xfId="0" applyNumberFormat="1" applyFont="1"/>
    <xf numFmtId="167" fontId="22" fillId="0" borderId="0" xfId="1" applyNumberFormat="1" applyFont="1" applyFill="1" applyBorder="1" applyAlignment="1">
      <alignment horizontal="center"/>
    </xf>
    <xf numFmtId="38" fontId="22" fillId="10" borderId="5" xfId="0" applyNumberFormat="1" applyFont="1" applyFill="1" applyBorder="1" applyAlignment="1">
      <alignment horizontal="center"/>
    </xf>
    <xf numFmtId="38" fontId="23" fillId="10" borderId="5" xfId="0" applyNumberFormat="1" applyFont="1" applyFill="1" applyBorder="1" applyAlignment="1">
      <alignment horizontal="center"/>
    </xf>
    <xf numFmtId="38" fontId="22" fillId="10" borderId="6" xfId="0" applyNumberFormat="1" applyFont="1" applyFill="1" applyBorder="1" applyAlignment="1">
      <alignment horizontal="center"/>
    </xf>
    <xf numFmtId="38" fontId="23" fillId="10" borderId="6" xfId="0" applyNumberFormat="1" applyFont="1" applyFill="1" applyBorder="1" applyAlignment="1">
      <alignment horizontal="center"/>
    </xf>
    <xf numFmtId="167" fontId="22" fillId="0" borderId="0" xfId="1" applyNumberFormat="1" applyFont="1" applyFill="1" applyBorder="1"/>
    <xf numFmtId="9" fontId="22" fillId="10" borderId="5" xfId="1" applyFont="1" applyFill="1" applyBorder="1" applyAlignment="1">
      <alignment horizontal="center"/>
    </xf>
    <xf numFmtId="167" fontId="22" fillId="10" borderId="5" xfId="1" applyNumberFormat="1" applyFont="1" applyFill="1" applyBorder="1" applyAlignment="1">
      <alignment horizontal="center"/>
    </xf>
    <xf numFmtId="167" fontId="23" fillId="10" borderId="5" xfId="1" applyNumberFormat="1" applyFont="1" applyFill="1" applyBorder="1" applyAlignment="1">
      <alignment horizontal="center"/>
    </xf>
    <xf numFmtId="167" fontId="22" fillId="10" borderId="0" xfId="1" applyNumberFormat="1" applyFont="1" applyFill="1" applyAlignment="1">
      <alignment horizontal="center"/>
    </xf>
    <xf numFmtId="167" fontId="23" fillId="10" borderId="0" xfId="1" applyNumberFormat="1" applyFont="1" applyFill="1" applyAlignment="1">
      <alignment horizontal="center"/>
    </xf>
    <xf numFmtId="0" fontId="30" fillId="0" borderId="0" xfId="0" applyFont="1" applyAlignment="1">
      <alignment horizontal="left"/>
    </xf>
    <xf numFmtId="3" fontId="27" fillId="0" borderId="0" xfId="0" applyNumberFormat="1" applyFont="1" applyAlignment="1">
      <alignment horizontal="center"/>
    </xf>
    <xf numFmtId="38" fontId="27" fillId="0" borderId="5" xfId="0" applyNumberFormat="1" applyFont="1" applyBorder="1" applyAlignment="1">
      <alignment horizontal="center"/>
    </xf>
    <xf numFmtId="167" fontId="3" fillId="0" borderId="0" xfId="1" applyNumberFormat="1" applyFont="1" applyAlignment="1">
      <alignment horizontal="center"/>
    </xf>
    <xf numFmtId="0" fontId="31" fillId="0" borderId="0" xfId="0" applyFont="1"/>
    <xf numFmtId="38" fontId="17" fillId="0" borderId="0" xfId="0" applyNumberFormat="1" applyFont="1" applyAlignment="1">
      <alignment horizontal="center"/>
    </xf>
    <xf numFmtId="0" fontId="0" fillId="0" borderId="10" xfId="0" applyBorder="1"/>
    <xf numFmtId="38" fontId="24" fillId="0" borderId="0" xfId="0" applyNumberFormat="1" applyFont="1" applyAlignment="1">
      <alignment horizontal="center"/>
    </xf>
    <xf numFmtId="38" fontId="32" fillId="0" borderId="0" xfId="0" applyNumberFormat="1" applyFont="1" applyAlignment="1">
      <alignment horizontal="center"/>
    </xf>
    <xf numFmtId="167" fontId="19" fillId="0" borderId="0" xfId="1" applyNumberFormat="1" applyFont="1" applyAlignment="1">
      <alignment horizontal="center"/>
    </xf>
    <xf numFmtId="0" fontId="24" fillId="0" borderId="6" xfId="0" applyFont="1" applyBorder="1"/>
    <xf numFmtId="0" fontId="24" fillId="2" borderId="0" xfId="0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/>
    <xf numFmtId="0" fontId="24" fillId="2" borderId="9" xfId="0" applyFont="1" applyFill="1" applyBorder="1"/>
    <xf numFmtId="0" fontId="24" fillId="2" borderId="9" xfId="0" applyFont="1" applyFill="1" applyBorder="1" applyAlignment="1">
      <alignment horizontal="center"/>
    </xf>
    <xf numFmtId="38" fontId="25" fillId="2" borderId="0" xfId="0" applyNumberFormat="1" applyFont="1" applyFill="1" applyAlignment="1">
      <alignment horizontal="center"/>
    </xf>
    <xf numFmtId="3" fontId="27" fillId="2" borderId="0" xfId="0" applyNumberFormat="1" applyFont="1" applyFill="1" applyAlignment="1">
      <alignment horizontal="center"/>
    </xf>
    <xf numFmtId="0" fontId="19" fillId="2" borderId="5" xfId="0" applyFont="1" applyFill="1" applyBorder="1"/>
    <xf numFmtId="38" fontId="25" fillId="2" borderId="5" xfId="0" applyNumberFormat="1" applyFont="1" applyFill="1" applyBorder="1" applyAlignment="1">
      <alignment horizontal="center"/>
    </xf>
    <xf numFmtId="38" fontId="27" fillId="2" borderId="5" xfId="0" applyNumberFormat="1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33" fillId="0" borderId="0" xfId="2" applyFont="1" applyAlignment="1">
      <alignment horizontal="center"/>
    </xf>
    <xf numFmtId="3" fontId="0" fillId="0" borderId="0" xfId="0" applyNumberFormat="1" applyAlignment="1">
      <alignment horizont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17" fontId="17" fillId="0" borderId="0" xfId="0" applyNumberFormat="1" applyFont="1"/>
    <xf numFmtId="167" fontId="17" fillId="0" borderId="0" xfId="1" applyNumberFormat="1" applyFont="1"/>
    <xf numFmtId="0" fontId="17" fillId="0" borderId="0" xfId="0" applyFont="1" applyAlignment="1">
      <alignment horizontal="center" vertical="center"/>
    </xf>
    <xf numFmtId="38" fontId="18" fillId="0" borderId="0" xfId="0" applyNumberFormat="1" applyFont="1"/>
    <xf numFmtId="167" fontId="18" fillId="0" borderId="0" xfId="1" applyNumberFormat="1" applyFont="1"/>
    <xf numFmtId="0" fontId="2" fillId="11" borderId="11" xfId="0" applyFont="1" applyFill="1" applyBorder="1"/>
    <xf numFmtId="0" fontId="2" fillId="11" borderId="12" xfId="0" applyFont="1" applyFill="1" applyBorder="1"/>
    <xf numFmtId="0" fontId="2" fillId="11" borderId="13" xfId="0" applyFont="1" applyFill="1" applyBorder="1"/>
    <xf numFmtId="0" fontId="0" fillId="12" borderId="11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12" borderId="14" xfId="0" applyFill="1" applyBorder="1"/>
    <xf numFmtId="0" fontId="0" fillId="12" borderId="15" xfId="0" applyFill="1" applyBorder="1"/>
    <xf numFmtId="0" fontId="0" fillId="12" borderId="16" xfId="0" applyFill="1" applyBorder="1"/>
    <xf numFmtId="164" fontId="35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4" fontId="35" fillId="0" borderId="17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 applyAlignment="1">
      <alignment horizontal="left"/>
    </xf>
    <xf numFmtId="165" fontId="17" fillId="0" borderId="0" xfId="0" applyNumberFormat="1" applyFont="1"/>
    <xf numFmtId="164" fontId="0" fillId="0" borderId="17" xfId="0" applyNumberFormat="1" applyBorder="1" applyAlignment="1">
      <alignment horizontal="left"/>
    </xf>
    <xf numFmtId="165" fontId="17" fillId="0" borderId="18" xfId="0" applyNumberFormat="1" applyFont="1" applyBorder="1"/>
    <xf numFmtId="165" fontId="0" fillId="0" borderId="18" xfId="0" applyNumberFormat="1" applyBorder="1"/>
    <xf numFmtId="165" fontId="0" fillId="0" borderId="0" xfId="0" applyNumberFormat="1"/>
    <xf numFmtId="164" fontId="0" fillId="0" borderId="17" xfId="0" applyNumberFormat="1" applyBorder="1"/>
    <xf numFmtId="0" fontId="0" fillId="0" borderId="18" xfId="0" applyBorder="1"/>
    <xf numFmtId="164" fontId="0" fillId="0" borderId="0" xfId="0" applyNumberFormat="1"/>
    <xf numFmtId="0" fontId="5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 vertical="center"/>
    </xf>
    <xf numFmtId="0" fontId="13" fillId="10" borderId="3" xfId="0" applyFont="1" applyFill="1" applyBorder="1" applyAlignment="1">
      <alignment horizontal="right"/>
    </xf>
    <xf numFmtId="0" fontId="36" fillId="9" borderId="4" xfId="0" applyFont="1" applyFill="1" applyBorder="1"/>
    <xf numFmtId="0" fontId="13" fillId="9" borderId="0" xfId="0" applyFont="1" applyFill="1"/>
    <xf numFmtId="0" fontId="13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37" fillId="10" borderId="3" xfId="3" quotePrefix="1" applyNumberFormat="1" applyFont="1" applyFill="1" applyBorder="1" applyAlignment="1">
      <alignment horizontal="right"/>
    </xf>
    <xf numFmtId="0" fontId="37" fillId="10" borderId="3" xfId="3" quotePrefix="1" applyNumberFormat="1" applyFont="1" applyFill="1" applyBorder="1" applyAlignment="1">
      <alignment horizontal="center"/>
    </xf>
    <xf numFmtId="0" fontId="13" fillId="9" borderId="4" xfId="0" applyFont="1" applyFill="1" applyBorder="1"/>
    <xf numFmtId="0" fontId="13" fillId="9" borderId="4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13" fillId="10" borderId="0" xfId="0" applyFont="1" applyFill="1"/>
    <xf numFmtId="38" fontId="13" fillId="10" borderId="0" xfId="0" applyNumberFormat="1" applyFont="1" applyFill="1"/>
    <xf numFmtId="38" fontId="13" fillId="10" borderId="0" xfId="0" applyNumberFormat="1" applyFont="1" applyFill="1" applyAlignment="1">
      <alignment horizontal="center"/>
    </xf>
    <xf numFmtId="38" fontId="12" fillId="10" borderId="0" xfId="0" applyNumberFormat="1" applyFont="1" applyFill="1" applyAlignment="1">
      <alignment horizontal="center"/>
    </xf>
    <xf numFmtId="0" fontId="13" fillId="10" borderId="5" xfId="0" applyFont="1" applyFill="1" applyBorder="1"/>
    <xf numFmtId="38" fontId="13" fillId="10" borderId="5" xfId="0" applyNumberFormat="1" applyFont="1" applyFill="1" applyBorder="1"/>
    <xf numFmtId="38" fontId="13" fillId="10" borderId="5" xfId="0" applyNumberFormat="1" applyFont="1" applyFill="1" applyBorder="1" applyAlignment="1">
      <alignment horizontal="center"/>
    </xf>
    <xf numFmtId="38" fontId="12" fillId="10" borderId="5" xfId="0" applyNumberFormat="1" applyFont="1" applyFill="1" applyBorder="1" applyAlignment="1">
      <alignment horizontal="center"/>
    </xf>
    <xf numFmtId="0" fontId="13" fillId="10" borderId="6" xfId="0" applyFont="1" applyFill="1" applyBorder="1"/>
    <xf numFmtId="38" fontId="13" fillId="10" borderId="6" xfId="0" applyNumberFormat="1" applyFont="1" applyFill="1" applyBorder="1"/>
    <xf numFmtId="38" fontId="13" fillId="10" borderId="6" xfId="0" applyNumberFormat="1" applyFont="1" applyFill="1" applyBorder="1" applyAlignment="1">
      <alignment horizontal="center"/>
    </xf>
    <xf numFmtId="38" fontId="12" fillId="10" borderId="6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 vertical="center" wrapText="1"/>
    </xf>
    <xf numFmtId="38" fontId="13" fillId="0" borderId="0" xfId="0" applyNumberFormat="1" applyFont="1" applyAlignment="1">
      <alignment horizontal="center"/>
    </xf>
    <xf numFmtId="38" fontId="12" fillId="0" borderId="0" xfId="0" applyNumberFormat="1" applyFont="1" applyAlignment="1">
      <alignment horizontal="center"/>
    </xf>
    <xf numFmtId="40" fontId="13" fillId="10" borderId="0" xfId="0" applyNumberFormat="1" applyFont="1" applyFill="1" applyAlignment="1">
      <alignment horizontal="center"/>
    </xf>
    <xf numFmtId="40" fontId="12" fillId="10" borderId="0" xfId="0" applyNumberFormat="1" applyFont="1" applyFill="1" applyAlignment="1">
      <alignment horizontal="center"/>
    </xf>
    <xf numFmtId="167" fontId="13" fillId="10" borderId="5" xfId="1" applyNumberFormat="1" applyFont="1" applyFill="1" applyBorder="1" applyAlignment="1">
      <alignment horizontal="center"/>
    </xf>
    <xf numFmtId="167" fontId="12" fillId="10" borderId="5" xfId="1" applyNumberFormat="1" applyFont="1" applyFill="1" applyBorder="1" applyAlignment="1">
      <alignment horizontal="center"/>
    </xf>
    <xf numFmtId="9" fontId="13" fillId="10" borderId="0" xfId="1" applyFont="1" applyFill="1" applyBorder="1" applyAlignment="1">
      <alignment horizontal="center"/>
    </xf>
    <xf numFmtId="9" fontId="12" fillId="10" borderId="0" xfId="1" applyFont="1" applyFill="1" applyBorder="1" applyAlignment="1">
      <alignment horizontal="center"/>
    </xf>
    <xf numFmtId="9" fontId="13" fillId="10" borderId="0" xfId="1" applyFont="1" applyFill="1"/>
    <xf numFmtId="9" fontId="13" fillId="10" borderId="0" xfId="1" applyFont="1" applyFill="1" applyAlignment="1">
      <alignment horizontal="center"/>
    </xf>
    <xf numFmtId="9" fontId="12" fillId="10" borderId="0" xfId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9" xfId="0" applyFont="1" applyBorder="1"/>
    <xf numFmtId="0" fontId="12" fillId="0" borderId="9" xfId="0" applyFont="1" applyBorder="1" applyAlignment="1">
      <alignment horizontal="center"/>
    </xf>
    <xf numFmtId="0" fontId="12" fillId="0" borderId="9" xfId="0" applyFont="1" applyBorder="1" applyAlignment="1">
      <alignment horizontal="right"/>
    </xf>
    <xf numFmtId="38" fontId="13" fillId="0" borderId="0" xfId="0" applyNumberFormat="1" applyFont="1" applyAlignment="1">
      <alignment horizontal="right"/>
    </xf>
    <xf numFmtId="38" fontId="12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center"/>
    </xf>
    <xf numFmtId="0" fontId="13" fillId="0" borderId="5" xfId="0" applyFont="1" applyBorder="1"/>
    <xf numFmtId="38" fontId="13" fillId="0" borderId="5" xfId="0" applyNumberFormat="1" applyFont="1" applyBorder="1"/>
    <xf numFmtId="38" fontId="13" fillId="0" borderId="5" xfId="0" applyNumberFormat="1" applyFont="1" applyBorder="1" applyAlignment="1">
      <alignment horizontal="right"/>
    </xf>
    <xf numFmtId="38" fontId="12" fillId="0" borderId="5" xfId="0" applyNumberFormat="1" applyFont="1" applyBorder="1" applyAlignment="1">
      <alignment horizontal="right"/>
    </xf>
    <xf numFmtId="38" fontId="13" fillId="0" borderId="5" xfId="0" applyNumberFormat="1" applyFont="1" applyBorder="1" applyAlignment="1">
      <alignment horizontal="center"/>
    </xf>
    <xf numFmtId="3" fontId="13" fillId="0" borderId="0" xfId="0" applyNumberFormat="1" applyFont="1"/>
    <xf numFmtId="0" fontId="12" fillId="0" borderId="6" xfId="0" applyFont="1" applyBorder="1" applyAlignment="1">
      <alignment horizontal="center"/>
    </xf>
    <xf numFmtId="1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40" fontId="12" fillId="0" borderId="0" xfId="0" applyNumberFormat="1" applyFont="1" applyAlignment="1">
      <alignment horizontal="right"/>
    </xf>
    <xf numFmtId="0" fontId="13" fillId="0" borderId="6" xfId="0" applyFont="1" applyBorder="1"/>
    <xf numFmtId="1" fontId="12" fillId="0" borderId="0" xfId="0" applyNumberFormat="1" applyFont="1" applyAlignment="1">
      <alignment horizontal="center"/>
    </xf>
    <xf numFmtId="38" fontId="13" fillId="0" borderId="6" xfId="0" applyNumberFormat="1" applyFont="1" applyBorder="1"/>
    <xf numFmtId="167" fontId="13" fillId="0" borderId="0" xfId="1" applyNumberFormat="1" applyFont="1" applyAlignment="1">
      <alignment horizontal="right"/>
    </xf>
    <xf numFmtId="167" fontId="12" fillId="0" borderId="0" xfId="1" applyNumberFormat="1" applyFont="1" applyAlignment="1">
      <alignment horizontal="right"/>
    </xf>
    <xf numFmtId="167" fontId="13" fillId="0" borderId="0" xfId="0" applyNumberFormat="1" applyFont="1"/>
    <xf numFmtId="167" fontId="12" fillId="0" borderId="0" xfId="0" applyNumberFormat="1" applyFont="1"/>
    <xf numFmtId="14" fontId="13" fillId="0" borderId="0" xfId="0" applyNumberFormat="1" applyFont="1" applyAlignment="1">
      <alignment horizontal="center"/>
    </xf>
    <xf numFmtId="0" fontId="38" fillId="9" borderId="4" xfId="0" applyFont="1" applyFill="1" applyBorder="1"/>
    <xf numFmtId="0" fontId="13" fillId="9" borderId="2" xfId="0" applyFont="1" applyFill="1" applyBorder="1"/>
    <xf numFmtId="0" fontId="12" fillId="9" borderId="2" xfId="0" applyFont="1" applyFill="1" applyBorder="1"/>
    <xf numFmtId="0" fontId="13" fillId="9" borderId="2" xfId="0" applyFont="1" applyFill="1" applyBorder="1" applyAlignment="1">
      <alignment horizontal="center"/>
    </xf>
    <xf numFmtId="0" fontId="13" fillId="0" borderId="2" xfId="0" applyFont="1" applyBorder="1"/>
    <xf numFmtId="0" fontId="37" fillId="10" borderId="0" xfId="3" quotePrefix="1" applyNumberFormat="1" applyFont="1" applyFill="1" applyBorder="1" applyAlignment="1">
      <alignment horizontal="center"/>
    </xf>
    <xf numFmtId="0" fontId="13" fillId="0" borderId="3" xfId="0" applyFont="1" applyBorder="1"/>
    <xf numFmtId="167" fontId="13" fillId="10" borderId="0" xfId="1" applyNumberFormat="1" applyFont="1" applyFill="1"/>
    <xf numFmtId="0" fontId="39" fillId="10" borderId="5" xfId="0" applyFont="1" applyFill="1" applyBorder="1"/>
    <xf numFmtId="38" fontId="39" fillId="10" borderId="5" xfId="0" applyNumberFormat="1" applyFont="1" applyFill="1" applyBorder="1" applyAlignment="1">
      <alignment horizontal="center"/>
    </xf>
    <xf numFmtId="38" fontId="37" fillId="10" borderId="5" xfId="0" applyNumberFormat="1" applyFont="1" applyFill="1" applyBorder="1" applyAlignment="1">
      <alignment horizontal="center"/>
    </xf>
    <xf numFmtId="38" fontId="39" fillId="10" borderId="0" xfId="0" applyNumberFormat="1" applyFont="1" applyFill="1" applyAlignment="1">
      <alignment horizontal="center"/>
    </xf>
    <xf numFmtId="167" fontId="39" fillId="10" borderId="0" xfId="1" applyNumberFormat="1" applyFont="1" applyFill="1"/>
    <xf numFmtId="0" fontId="39" fillId="0" borderId="5" xfId="0" applyFont="1" applyBorder="1"/>
    <xf numFmtId="38" fontId="39" fillId="10" borderId="0" xfId="0" applyNumberFormat="1" applyFont="1" applyFill="1"/>
    <xf numFmtId="0" fontId="39" fillId="0" borderId="0" xfId="0" applyFont="1"/>
    <xf numFmtId="0" fontId="13" fillId="0" borderId="7" xfId="0" applyFont="1" applyBorder="1"/>
    <xf numFmtId="38" fontId="13" fillId="2" borderId="0" xfId="0" applyNumberFormat="1" applyFont="1" applyFill="1" applyAlignment="1">
      <alignment horizontal="center"/>
    </xf>
    <xf numFmtId="38" fontId="13" fillId="10" borderId="8" xfId="0" applyNumberFormat="1" applyFont="1" applyFill="1" applyBorder="1"/>
    <xf numFmtId="38" fontId="13" fillId="10" borderId="8" xfId="0" applyNumberFormat="1" applyFont="1" applyFill="1" applyBorder="1" applyAlignment="1">
      <alignment horizontal="center"/>
    </xf>
    <xf numFmtId="38" fontId="12" fillId="10" borderId="8" xfId="0" applyNumberFormat="1" applyFont="1" applyFill="1" applyBorder="1" applyAlignment="1">
      <alignment horizontal="center"/>
    </xf>
    <xf numFmtId="2" fontId="39" fillId="10" borderId="0" xfId="0" applyNumberFormat="1" applyFont="1" applyFill="1"/>
    <xf numFmtId="2" fontId="39" fillId="10" borderId="0" xfId="0" applyNumberFormat="1" applyFont="1" applyFill="1" applyAlignment="1">
      <alignment horizontal="center"/>
    </xf>
    <xf numFmtId="2" fontId="39" fillId="10" borderId="0" xfId="1" applyNumberFormat="1" applyFont="1" applyFill="1" applyBorder="1" applyAlignment="1">
      <alignment horizontal="center"/>
    </xf>
    <xf numFmtId="2" fontId="37" fillId="10" borderId="0" xfId="1" applyNumberFormat="1" applyFont="1" applyFill="1" applyBorder="1" applyAlignment="1">
      <alignment horizontal="center"/>
    </xf>
    <xf numFmtId="38" fontId="39" fillId="0" borderId="0" xfId="0" applyNumberFormat="1" applyFont="1"/>
    <xf numFmtId="38" fontId="37" fillId="0" borderId="0" xfId="0" applyNumberFormat="1" applyFont="1"/>
    <xf numFmtId="0" fontId="39" fillId="0" borderId="0" xfId="0" applyFont="1" applyAlignment="1">
      <alignment horizontal="center"/>
    </xf>
    <xf numFmtId="38" fontId="12" fillId="0" borderId="5" xfId="0" applyNumberFormat="1" applyFont="1" applyBorder="1"/>
    <xf numFmtId="38" fontId="12" fillId="0" borderId="0" xfId="0" applyNumberFormat="1" applyFont="1"/>
    <xf numFmtId="4" fontId="12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/>
    </xf>
    <xf numFmtId="168" fontId="13" fillId="10" borderId="0" xfId="0" applyNumberFormat="1" applyFont="1" applyFill="1"/>
    <xf numFmtId="3" fontId="12" fillId="0" borderId="0" xfId="0" applyNumberFormat="1" applyFont="1" applyAlignment="1">
      <alignment horizontal="center"/>
    </xf>
    <xf numFmtId="38" fontId="12" fillId="0" borderId="5" xfId="0" applyNumberFormat="1" applyFont="1" applyBorder="1" applyAlignment="1">
      <alignment horizontal="center"/>
    </xf>
    <xf numFmtId="38" fontId="12" fillId="0" borderId="6" xfId="0" applyNumberFormat="1" applyFont="1" applyBorder="1"/>
    <xf numFmtId="3" fontId="12" fillId="0" borderId="0" xfId="0" applyNumberFormat="1" applyFont="1"/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38" fontId="13" fillId="0" borderId="6" xfId="0" applyNumberFormat="1" applyFont="1" applyBorder="1" applyAlignment="1">
      <alignment horizontal="center"/>
    </xf>
    <xf numFmtId="38" fontId="12" fillId="0" borderId="6" xfId="0" applyNumberFormat="1" applyFont="1" applyBorder="1" applyAlignment="1">
      <alignment horizontal="center"/>
    </xf>
    <xf numFmtId="0" fontId="37" fillId="0" borderId="0" xfId="0" applyFont="1"/>
    <xf numFmtId="4" fontId="37" fillId="0" borderId="0" xfId="0" applyNumberFormat="1" applyFont="1" applyAlignment="1">
      <alignment horizontal="center"/>
    </xf>
    <xf numFmtId="0" fontId="12" fillId="0" borderId="6" xfId="0" applyFont="1" applyBorder="1"/>
    <xf numFmtId="167" fontId="13" fillId="0" borderId="0" xfId="1" applyNumberFormat="1" applyFont="1"/>
    <xf numFmtId="0" fontId="38" fillId="9" borderId="1" xfId="0" applyFont="1" applyFill="1" applyBorder="1"/>
  </cellXfs>
  <cellStyles count="4">
    <cellStyle name="Comma 9" xfId="3" xr:uid="{7D812EC2-05AF-4B1C-81AA-64D3B5D75485}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aredStrings" Target="sharedStrings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GB" b="1"/>
              <a:t>Biodiesel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BD!$K$2:$AH$2</c15:sqref>
                  </c15:fullRef>
                </c:ext>
              </c:extLst>
              <c:f>BD!$T$2:$AH$2</c:f>
              <c:numCache>
                <c:formatCode>General</c:formatCode>
                <c:ptCount val="1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BD!$K$8:$AH$8</c15:sqref>
                  </c15:fullRef>
                </c:ext>
              </c:extLst>
              <c:f>BD!$T$8:$AH$8</c:f>
              <c:numCache>
                <c:formatCode>#,##0_);[Red]\(#,##0\)</c:formatCode>
                <c:ptCount val="15"/>
                <c:pt idx="0">
                  <c:v>1738.7078485952381</c:v>
                </c:pt>
                <c:pt idx="1">
                  <c:v>1793.4174604238096</c:v>
                </c:pt>
                <c:pt idx="2">
                  <c:v>1620.5927287666666</c:v>
                </c:pt>
                <c:pt idx="3">
                  <c:v>1548.2302826666667</c:v>
                </c:pt>
                <c:pt idx="4">
                  <c:v>1719.3107435238096</c:v>
                </c:pt>
                <c:pt idx="5">
                  <c:v>1800</c:v>
                </c:pt>
                <c:pt idx="6">
                  <c:v>1600</c:v>
                </c:pt>
                <c:pt idx="7">
                  <c:v>1225</c:v>
                </c:pt>
                <c:pt idx="8">
                  <c:v>1425</c:v>
                </c:pt>
                <c:pt idx="9">
                  <c:v>975</c:v>
                </c:pt>
                <c:pt idx="10">
                  <c:v>1200</c:v>
                </c:pt>
                <c:pt idx="11">
                  <c:v>1225</c:v>
                </c:pt>
                <c:pt idx="12">
                  <c:v>1225</c:v>
                </c:pt>
                <c:pt idx="13">
                  <c:v>1325</c:v>
                </c:pt>
                <c:pt idx="14">
                  <c:v>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2-4754-8937-2A169271C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50000800"/>
        <c:axId val="1749999552"/>
      </c:barChart>
      <c:catAx>
        <c:axId val="175000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49999552"/>
        <c:crosses val="autoZero"/>
        <c:auto val="1"/>
        <c:lblAlgn val="ctr"/>
        <c:lblOffset val="100"/>
        <c:noMultiLvlLbl val="0"/>
      </c:catAx>
      <c:valAx>
        <c:axId val="17499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5000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1200"/>
              <a:t>U.S. Biomass-Based Diesel Imports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81058617672791"/>
          <c:y val="0.1017222304593154"/>
          <c:w val="0.83822287839020138"/>
          <c:h val="0.67870406824146978"/>
        </c:manualLayout>
      </c:layout>
      <c:barChart>
        <c:barDir val="col"/>
        <c:grouping val="stacked"/>
        <c:varyColors val="0"/>
        <c:ser>
          <c:idx val="0"/>
          <c:order val="0"/>
          <c:tx>
            <c:v>Biodiesel</c:v>
          </c:tx>
          <c:spPr>
            <a:solidFill>
              <a:srgbClr val="CF3C3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23"/>
            <c:invertIfNegative val="0"/>
            <c:bubble3D val="0"/>
            <c:spPr>
              <a:pattFill prst="pct90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03-40FB-AA08-F4652C926FCB}"/>
              </c:ext>
            </c:extLst>
          </c:dPt>
          <c:dPt>
            <c:idx val="24"/>
            <c:invertIfNegative val="0"/>
            <c:bubble3D val="0"/>
            <c:spPr>
              <a:pattFill prst="pct90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03-40FB-AA08-F4652C926FCB}"/>
              </c:ext>
            </c:extLst>
          </c:dPt>
          <c:dPt>
            <c:idx val="25"/>
            <c:invertIfNegative val="0"/>
            <c:bubble3D val="0"/>
            <c:spPr>
              <a:pattFill prst="pct90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03-40FB-AA08-F4652C926FCB}"/>
              </c:ext>
            </c:extLst>
          </c:dPt>
          <c:dPt>
            <c:idx val="26"/>
            <c:invertIfNegative val="0"/>
            <c:bubble3D val="0"/>
            <c:spPr>
              <a:pattFill prst="pct90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03-40FB-AA08-F4652C926FCB}"/>
              </c:ext>
            </c:extLst>
          </c:dPt>
          <c:dPt>
            <c:idx val="27"/>
            <c:invertIfNegative val="0"/>
            <c:bubble3D val="0"/>
            <c:spPr>
              <a:pattFill prst="pct90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03-40FB-AA08-F4652C926FCB}"/>
              </c:ext>
            </c:extLst>
          </c:dPt>
          <c:dPt>
            <c:idx val="28"/>
            <c:invertIfNegative val="0"/>
            <c:bubble3D val="0"/>
            <c:spPr>
              <a:pattFill prst="pct90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03-40FB-AA08-F4652C926FCB}"/>
              </c:ext>
            </c:extLst>
          </c:dPt>
          <c:dPt>
            <c:idx val="29"/>
            <c:invertIfNegative val="0"/>
            <c:bubble3D val="0"/>
            <c:spPr>
              <a:pattFill prst="pct90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03-40FB-AA08-F4652C926FCB}"/>
              </c:ext>
            </c:extLst>
          </c:dPt>
          <c:dPt>
            <c:idx val="30"/>
            <c:invertIfNegative val="0"/>
            <c:bubble3D val="0"/>
            <c:spPr>
              <a:pattFill prst="pct90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D03-40FB-AA08-F4652C926FCB}"/>
              </c:ext>
            </c:extLst>
          </c:dPt>
          <c:dPt>
            <c:idx val="31"/>
            <c:invertIfNegative val="0"/>
            <c:bubble3D val="0"/>
            <c:spPr>
              <a:pattFill prst="pct90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D03-40FB-AA08-F4652C926FCB}"/>
              </c:ext>
            </c:extLst>
          </c:dPt>
          <c:dPt>
            <c:idx val="32"/>
            <c:invertIfNegative val="0"/>
            <c:bubble3D val="0"/>
            <c:spPr>
              <a:pattFill prst="pct90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D03-40FB-AA08-F4652C926FCB}"/>
              </c:ext>
            </c:extLst>
          </c:dPt>
          <c:dLbls>
            <c:dLbl>
              <c:idx val="0"/>
              <c:layout>
                <c:manualLayout>
                  <c:x val="-1.2264740438600067E-17"/>
                  <c:y val="-1.65382641296585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3C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D03-40FB-AA08-F4652C926FCB}"/>
                </c:ext>
              </c:extLst>
            </c:dLbl>
            <c:dLbl>
              <c:idx val="1"/>
              <c:layout>
                <c:manualLayout>
                  <c:x val="-1.2264740438600067E-17"/>
                  <c:y val="-1.65382641296585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3C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03-40FB-AA08-F4652C926FCB}"/>
                </c:ext>
              </c:extLst>
            </c:dLbl>
            <c:dLbl>
              <c:idx val="2"/>
              <c:layout>
                <c:manualLayout>
                  <c:x val="0"/>
                  <c:y val="-1.65382641296585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3C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D03-40FB-AA08-F4652C926FCB}"/>
                </c:ext>
              </c:extLst>
            </c:dLbl>
            <c:dLbl>
              <c:idx val="3"/>
              <c:layout>
                <c:manualLayout>
                  <c:x val="1.3379871405739614E-3"/>
                  <c:y val="-1.65382641296586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3C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D03-40FB-AA08-F4652C926FCB}"/>
                </c:ext>
              </c:extLst>
            </c:dLbl>
            <c:dLbl>
              <c:idx val="4"/>
              <c:layout>
                <c:manualLayout>
                  <c:x val="0"/>
                  <c:y val="-1.65382641296586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3C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D03-40FB-AA08-F4652C926FC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D03-40FB-AA08-F4652C926FC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D03-40FB-AA08-F4652C926FC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D03-40FB-AA08-F4652C926FC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D03-40FB-AA08-F4652C926FC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CD03-40FB-AA08-F4652C926FC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CD03-40FB-AA08-F4652C926FC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CD03-40FB-AA08-F4652C926FC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CD03-40FB-AA08-F4652C926FC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CD03-40FB-AA08-F4652C926FCB}"/>
                </c:ext>
              </c:extLst>
            </c:dLbl>
            <c:dLbl>
              <c:idx val="3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CD03-40FB-AA08-F4652C926F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BD!$B$2:$AH$2</c:f>
              <c:numCache>
                <c:formatCode>General</c:formatCode>
                <c:ptCount val="3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</c:numCache>
            </c:numRef>
          </c:cat>
          <c:val>
            <c:numRef>
              <c:f>BD!$B$6:$AH$6</c:f>
              <c:numCache>
                <c:formatCode>#,##0_);[Red]\(#,##0\)</c:formatCode>
                <c:ptCount val="33"/>
                <c:pt idx="0">
                  <c:v>1.9267380952380955</c:v>
                </c:pt>
                <c:pt idx="1">
                  <c:v>4.6985952380952378</c:v>
                </c:pt>
                <c:pt idx="2">
                  <c:v>2.3048571428571427</c:v>
                </c:pt>
                <c:pt idx="3">
                  <c:v>2.3938809523809521</c:v>
                </c:pt>
                <c:pt idx="4">
                  <c:v>5.0878571428571426</c:v>
                </c:pt>
                <c:pt idx="5">
                  <c:v>26.317</c:v>
                </c:pt>
                <c:pt idx="6">
                  <c:v>82.261047619047616</c:v>
                </c:pt>
                <c:pt idx="7">
                  <c:v>184.64359523809526</c:v>
                </c:pt>
                <c:pt idx="8">
                  <c:v>45.378</c:v>
                </c:pt>
                <c:pt idx="9">
                  <c:v>13.427523809523809</c:v>
                </c:pt>
                <c:pt idx="10">
                  <c:v>25.784952380952383</c:v>
                </c:pt>
                <c:pt idx="11">
                  <c:v>20.30952380952381</c:v>
                </c:pt>
                <c:pt idx="12">
                  <c:v>194.09523809523807</c:v>
                </c:pt>
                <c:pt idx="13">
                  <c:v>109.00000000000001</c:v>
                </c:pt>
                <c:pt idx="14">
                  <c:v>199.97619047619045</c:v>
                </c:pt>
                <c:pt idx="15">
                  <c:v>401.88095238095241</c:v>
                </c:pt>
                <c:pt idx="16">
                  <c:v>223.19047619047615</c:v>
                </c:pt>
                <c:pt idx="17">
                  <c:v>94.499999999999986</c:v>
                </c:pt>
                <c:pt idx="18">
                  <c:v>97.095238095238102</c:v>
                </c:pt>
                <c:pt idx="19">
                  <c:v>111.52380952380953</c:v>
                </c:pt>
                <c:pt idx="20">
                  <c:v>119.16666666666666</c:v>
                </c:pt>
                <c:pt idx="21">
                  <c:v>141.66666666666666</c:v>
                </c:pt>
                <c:pt idx="22">
                  <c:v>284.02380952380952</c:v>
                </c:pt>
                <c:pt idx="23">
                  <c:v>398.05131799999998</c:v>
                </c:pt>
                <c:pt idx="24">
                  <c:v>340</c:v>
                </c:pt>
                <c:pt idx="25">
                  <c:v>190.00000000000006</c:v>
                </c:pt>
                <c:pt idx="26">
                  <c:v>200</c:v>
                </c:pt>
                <c:pt idx="27">
                  <c:v>220</c:v>
                </c:pt>
                <c:pt idx="28">
                  <c:v>219.99999999999997</c:v>
                </c:pt>
                <c:pt idx="29">
                  <c:v>230.00000000000006</c:v>
                </c:pt>
                <c:pt idx="30">
                  <c:v>210</c:v>
                </c:pt>
                <c:pt idx="31">
                  <c:v>189.99999999999994</c:v>
                </c:pt>
                <c:pt idx="3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D03-40FB-AA08-F4652C926FCB}"/>
            </c:ext>
          </c:extLst>
        </c:ser>
        <c:ser>
          <c:idx val="1"/>
          <c:order val="1"/>
          <c:tx>
            <c:v>Renewable Diesel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23"/>
            <c:invertIfNegative val="0"/>
            <c:bubble3D val="0"/>
            <c:spPr>
              <a:pattFill prst="pct9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D03-40FB-AA08-F4652C926FCB}"/>
              </c:ext>
            </c:extLst>
          </c:dPt>
          <c:dPt>
            <c:idx val="24"/>
            <c:invertIfNegative val="0"/>
            <c:bubble3D val="0"/>
            <c:spPr>
              <a:pattFill prst="pct9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D03-40FB-AA08-F4652C926FCB}"/>
              </c:ext>
            </c:extLst>
          </c:dPt>
          <c:dPt>
            <c:idx val="25"/>
            <c:invertIfNegative val="0"/>
            <c:bubble3D val="0"/>
            <c:spPr>
              <a:pattFill prst="pct9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D03-40FB-AA08-F4652C926FCB}"/>
              </c:ext>
            </c:extLst>
          </c:dPt>
          <c:dPt>
            <c:idx val="26"/>
            <c:invertIfNegative val="0"/>
            <c:bubble3D val="0"/>
            <c:spPr>
              <a:pattFill prst="pct9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D03-40FB-AA08-F4652C926FCB}"/>
              </c:ext>
            </c:extLst>
          </c:dPt>
          <c:dPt>
            <c:idx val="27"/>
            <c:invertIfNegative val="0"/>
            <c:bubble3D val="0"/>
            <c:spPr>
              <a:pattFill prst="pct9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D03-40FB-AA08-F4652C926FCB}"/>
              </c:ext>
            </c:extLst>
          </c:dPt>
          <c:dPt>
            <c:idx val="28"/>
            <c:invertIfNegative val="0"/>
            <c:bubble3D val="0"/>
            <c:spPr>
              <a:pattFill prst="pct9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D03-40FB-AA08-F4652C926FCB}"/>
              </c:ext>
            </c:extLst>
          </c:dPt>
          <c:dPt>
            <c:idx val="29"/>
            <c:invertIfNegative val="0"/>
            <c:bubble3D val="0"/>
            <c:spPr>
              <a:pattFill prst="pct9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D03-40FB-AA08-F4652C926FCB}"/>
              </c:ext>
            </c:extLst>
          </c:dPt>
          <c:dPt>
            <c:idx val="30"/>
            <c:invertIfNegative val="0"/>
            <c:bubble3D val="0"/>
            <c:spPr>
              <a:pattFill prst="pct9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D03-40FB-AA08-F4652C926FCB}"/>
              </c:ext>
            </c:extLst>
          </c:dPt>
          <c:dPt>
            <c:idx val="31"/>
            <c:invertIfNegative val="0"/>
            <c:bubble3D val="0"/>
            <c:spPr>
              <a:pattFill prst="pct9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D03-40FB-AA08-F4652C926FCB}"/>
              </c:ext>
            </c:extLst>
          </c:dPt>
          <c:dPt>
            <c:idx val="32"/>
            <c:invertIfNegative val="0"/>
            <c:bubble3D val="0"/>
            <c:spPr>
              <a:pattFill prst="pct9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D03-40FB-AA08-F4652C926FCB}"/>
              </c:ext>
            </c:extLst>
          </c:dPt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D03-40FB-AA08-F4652C926FCB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CD03-40FB-AA08-F4652C926FCB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CD03-40FB-AA08-F4652C926FCB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CD03-40FB-AA08-F4652C926FCB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CD03-40FB-AA08-F4652C926FCB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CD03-40FB-AA08-F4652C926FCB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CD03-40FB-AA08-F4652C926FCB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CD03-40FB-AA08-F4652C926FCB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9-CD03-40FB-AA08-F4652C926FCB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B-CD03-40FB-AA08-F4652C926FCB}"/>
                </c:ext>
              </c:extLst>
            </c:dLbl>
            <c:dLbl>
              <c:idx val="3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CD03-40FB-AA08-F4652C926F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ECECEC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RD!$B$6:$AH$6</c:f>
              <c:numCache>
                <c:formatCode>#,##0_);[Red]\(#,##0\)</c:formatCode>
                <c:ptCount val="33"/>
                <c:pt idx="10">
                  <c:v>0</c:v>
                </c:pt>
                <c:pt idx="11">
                  <c:v>14.404761904761905</c:v>
                </c:pt>
                <c:pt idx="12">
                  <c:v>117.16666666666667</c:v>
                </c:pt>
                <c:pt idx="13">
                  <c:v>120.666</c:v>
                </c:pt>
                <c:pt idx="14">
                  <c:v>204.70800000000003</c:v>
                </c:pt>
                <c:pt idx="15">
                  <c:v>222.76799999999997</c:v>
                </c:pt>
                <c:pt idx="16">
                  <c:v>189.37799999999999</c:v>
                </c:pt>
                <c:pt idx="17">
                  <c:v>173.20800000000003</c:v>
                </c:pt>
                <c:pt idx="18">
                  <c:v>258.00600000000003</c:v>
                </c:pt>
                <c:pt idx="19">
                  <c:v>279.63600000000002</c:v>
                </c:pt>
                <c:pt idx="20">
                  <c:v>392.28</c:v>
                </c:pt>
                <c:pt idx="21">
                  <c:v>262.66800000000001</c:v>
                </c:pt>
                <c:pt idx="22">
                  <c:v>362.12400000000002</c:v>
                </c:pt>
                <c:pt idx="23">
                  <c:v>313.984129</c:v>
                </c:pt>
                <c:pt idx="24">
                  <c:v>210.58073125000001</c:v>
                </c:pt>
                <c:pt idx="25">
                  <c:v>273.75434412499999</c:v>
                </c:pt>
                <c:pt idx="26">
                  <c:v>252.69647449999997</c:v>
                </c:pt>
                <c:pt idx="27">
                  <c:v>231.63860487500003</c:v>
                </c:pt>
                <c:pt idx="28">
                  <c:v>210.58073525</c:v>
                </c:pt>
                <c:pt idx="29">
                  <c:v>189.52286562500001</c:v>
                </c:pt>
                <c:pt idx="30">
                  <c:v>189.52286662500001</c:v>
                </c:pt>
                <c:pt idx="31">
                  <c:v>168.46499700000004</c:v>
                </c:pt>
                <c:pt idx="32">
                  <c:v>160.04184975000001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CD03-40FB-AA08-F4652C926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386532272"/>
        <c:axId val="1788256496"/>
      </c:barChart>
      <c:catAx>
        <c:axId val="38653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88256496"/>
        <c:crosses val="autoZero"/>
        <c:auto val="1"/>
        <c:lblAlgn val="ctr"/>
        <c:lblOffset val="100"/>
        <c:noMultiLvlLbl val="0"/>
      </c:catAx>
      <c:valAx>
        <c:axId val="178825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323232"/>
                    </a:solidFill>
                  </a:rPr>
                  <a:t>million</a:t>
                </a:r>
                <a:r>
                  <a:rPr lang="en-US" sz="1050" baseline="0">
                    <a:solidFill>
                      <a:srgbClr val="323232"/>
                    </a:solidFill>
                  </a:rPr>
                  <a:t> gallons</a:t>
                </a:r>
                <a:endParaRPr lang="en-US" sz="1050">
                  <a:solidFill>
                    <a:srgbClr val="323232"/>
                  </a:solidFill>
                </a:endParaRPr>
              </a:p>
            </c:rich>
          </c:tx>
          <c:layout>
            <c:manualLayout>
              <c:xMode val="edge"/>
              <c:yMode val="edge"/>
              <c:x val="4.2082239720035258E-4"/>
              <c:y val="0.289858923884514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8653227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1400" b="0"/>
              <a:t>US Biomass-Based Diesel Production Capacity Utilization</a:t>
            </a:r>
          </a:p>
        </c:rich>
      </c:tx>
      <c:layout>
        <c:manualLayout>
          <c:xMode val="edge"/>
          <c:yMode val="edge"/>
          <c:x val="0.1710000000000000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62948381452317"/>
          <c:y val="0.10566778775881965"/>
          <c:w val="0.85637051618547677"/>
          <c:h val="0.68408172936716238"/>
        </c:manualLayout>
      </c:layout>
      <c:lineChart>
        <c:grouping val="standard"/>
        <c:varyColors val="0"/>
        <c:ser>
          <c:idx val="0"/>
          <c:order val="0"/>
          <c:tx>
            <c:v>Biodiesel</c:v>
          </c:tx>
          <c:spPr>
            <a:ln w="28575" cap="rnd">
              <a:solidFill>
                <a:srgbClr val="CF3C3C"/>
              </a:solidFill>
              <a:round/>
            </a:ln>
            <a:effectLst/>
          </c:spPr>
          <c:marker>
            <c:symbol val="none"/>
          </c:marker>
          <c:cat>
            <c:numRef>
              <c:f>Capacity!$A$2:$A$157</c:f>
              <c:numCache>
                <c:formatCode>mmm\-yy</c:formatCode>
                <c:ptCount val="156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</c:numCache>
            </c:numRef>
          </c:cat>
          <c:val>
            <c:numRef>
              <c:f>Capacity!$H$2:$H$161</c:f>
              <c:numCache>
                <c:formatCode>0.0%</c:formatCode>
                <c:ptCount val="160"/>
                <c:pt idx="0">
                  <c:v>0.19687252244533182</c:v>
                </c:pt>
                <c:pt idx="1">
                  <c:v>0.22580104612647253</c:v>
                </c:pt>
                <c:pt idx="2">
                  <c:v>0.37319199964723204</c:v>
                </c:pt>
                <c:pt idx="3">
                  <c:v>0.39810649817561888</c:v>
                </c:pt>
                <c:pt idx="4">
                  <c:v>0.4549657547379643</c:v>
                </c:pt>
                <c:pt idx="5">
                  <c:v>0.46317764380903043</c:v>
                </c:pt>
                <c:pt idx="6">
                  <c:v>0.56953863867582166</c:v>
                </c:pt>
                <c:pt idx="7">
                  <c:v>0.55998539141648507</c:v>
                </c:pt>
                <c:pt idx="8">
                  <c:v>0.54124985509310986</c:v>
                </c:pt>
                <c:pt idx="9">
                  <c:v>0.60486003302887348</c:v>
                </c:pt>
                <c:pt idx="10">
                  <c:v>0.58791739716897284</c:v>
                </c:pt>
                <c:pt idx="11">
                  <c:v>0.6366265748247335</c:v>
                </c:pt>
                <c:pt idx="12">
                  <c:v>0.38520677878544374</c:v>
                </c:pt>
                <c:pt idx="13">
                  <c:v>0.41500889679715303</c:v>
                </c:pt>
                <c:pt idx="14">
                  <c:v>0.5327803943975169</c:v>
                </c:pt>
                <c:pt idx="15">
                  <c:v>0.5020894527989691</c:v>
                </c:pt>
                <c:pt idx="16">
                  <c:v>0.56418144611186904</c:v>
                </c:pt>
                <c:pt idx="17">
                  <c:v>0.50362049857402502</c:v>
                </c:pt>
                <c:pt idx="18">
                  <c:v>0.49848172782874611</c:v>
                </c:pt>
                <c:pt idx="19">
                  <c:v>0.49367897306895536</c:v>
                </c:pt>
                <c:pt idx="20">
                  <c:v>0.43608735950956062</c:v>
                </c:pt>
                <c:pt idx="21">
                  <c:v>0.41445392156862748</c:v>
                </c:pt>
                <c:pt idx="22">
                  <c:v>0.31023265312184395</c:v>
                </c:pt>
                <c:pt idx="23">
                  <c:v>0.34136058301647648</c:v>
                </c:pt>
                <c:pt idx="24">
                  <c:v>0.38391006842619751</c:v>
                </c:pt>
                <c:pt idx="25">
                  <c:v>0.38988623747167334</c:v>
                </c:pt>
                <c:pt idx="26">
                  <c:v>0.61696695594125506</c:v>
                </c:pt>
                <c:pt idx="27">
                  <c:v>0.58853919633574903</c:v>
                </c:pt>
                <c:pt idx="28">
                  <c:v>0.62783503638334104</c:v>
                </c:pt>
                <c:pt idx="29">
                  <c:v>0.61740450896720467</c:v>
                </c:pt>
                <c:pt idx="30">
                  <c:v>0.72811518243661111</c:v>
                </c:pt>
                <c:pt idx="31">
                  <c:v>0.70885238901457825</c:v>
                </c:pt>
                <c:pt idx="32">
                  <c:v>0.69488523141003555</c:v>
                </c:pt>
                <c:pt idx="33">
                  <c:v>0.78245843082202449</c:v>
                </c:pt>
                <c:pt idx="34">
                  <c:v>0.71296159538480131</c:v>
                </c:pt>
                <c:pt idx="35">
                  <c:v>0.77680371770636414</c:v>
                </c:pt>
                <c:pt idx="36">
                  <c:v>0.43598774885145491</c:v>
                </c:pt>
                <c:pt idx="37">
                  <c:v>0.42370852644179124</c:v>
                </c:pt>
                <c:pt idx="38">
                  <c:v>0.62366428915994754</c:v>
                </c:pt>
                <c:pt idx="39">
                  <c:v>0.52868904094710556</c:v>
                </c:pt>
                <c:pt idx="40">
                  <c:v>0.61013537735849055</c:v>
                </c:pt>
                <c:pt idx="41">
                  <c:v>0.65322661209757971</c:v>
                </c:pt>
                <c:pt idx="42">
                  <c:v>0.70993597657486551</c:v>
                </c:pt>
                <c:pt idx="43">
                  <c:v>0.69731799628377356</c:v>
                </c:pt>
                <c:pt idx="44">
                  <c:v>0.6391381450477589</c:v>
                </c:pt>
                <c:pt idx="45">
                  <c:v>0.69727586206896541</c:v>
                </c:pt>
                <c:pt idx="46">
                  <c:v>0.6057770091279272</c:v>
                </c:pt>
                <c:pt idx="47">
                  <c:v>0.70478181818181818</c:v>
                </c:pt>
                <c:pt idx="48">
                  <c:v>0.40558910026651962</c:v>
                </c:pt>
                <c:pt idx="49">
                  <c:v>0.42472329915425494</c:v>
                </c:pt>
                <c:pt idx="50">
                  <c:v>0.58946172288359788</c:v>
                </c:pt>
                <c:pt idx="51">
                  <c:v>0.57485141430219477</c:v>
                </c:pt>
                <c:pt idx="52">
                  <c:v>0.65625922509225088</c:v>
                </c:pt>
                <c:pt idx="53">
                  <c:v>0.66684302874881896</c:v>
                </c:pt>
                <c:pt idx="54">
                  <c:v>0.69126763647739708</c:v>
                </c:pt>
                <c:pt idx="55">
                  <c:v>0.67961483810502765</c:v>
                </c:pt>
                <c:pt idx="56">
                  <c:v>0.56913521730014671</c:v>
                </c:pt>
                <c:pt idx="57">
                  <c:v>0.59803716528162509</c:v>
                </c:pt>
                <c:pt idx="58">
                  <c:v>0.58750562463895895</c:v>
                </c:pt>
                <c:pt idx="59">
                  <c:v>0.64795145391818632</c:v>
                </c:pt>
                <c:pt idx="60">
                  <c:v>0.54242205485292028</c:v>
                </c:pt>
                <c:pt idx="61">
                  <c:v>0.54542006536876508</c:v>
                </c:pt>
                <c:pt idx="62">
                  <c:v>0.65782776619519734</c:v>
                </c:pt>
                <c:pt idx="63">
                  <c:v>0.61673637131990411</c:v>
                </c:pt>
                <c:pt idx="64">
                  <c:v>0.72381772893772889</c:v>
                </c:pt>
                <c:pt idx="65">
                  <c:v>0.69672172988302017</c:v>
                </c:pt>
                <c:pt idx="66">
                  <c:v>0.74811362637362633</c:v>
                </c:pt>
                <c:pt idx="67">
                  <c:v>0.73583275434243167</c:v>
                </c:pt>
                <c:pt idx="68">
                  <c:v>0.69574169485767678</c:v>
                </c:pt>
                <c:pt idx="69">
                  <c:v>0.75879584775086506</c:v>
                </c:pt>
                <c:pt idx="70">
                  <c:v>0.72902221230047992</c:v>
                </c:pt>
                <c:pt idx="71">
                  <c:v>0.75569394070236051</c:v>
                </c:pt>
                <c:pt idx="72">
                  <c:v>0.47156255223132215</c:v>
                </c:pt>
                <c:pt idx="73">
                  <c:v>0.47779535071591733</c:v>
                </c:pt>
                <c:pt idx="74">
                  <c:v>0.64004694871174561</c:v>
                </c:pt>
                <c:pt idx="75">
                  <c:v>0.64141537800687287</c:v>
                </c:pt>
                <c:pt idx="76">
                  <c:v>0.71140782882496068</c:v>
                </c:pt>
                <c:pt idx="77">
                  <c:v>0.71008649704289539</c:v>
                </c:pt>
                <c:pt idx="78">
                  <c:v>0.78071881258941345</c:v>
                </c:pt>
                <c:pt idx="79">
                  <c:v>0.75832705591305194</c:v>
                </c:pt>
                <c:pt idx="80">
                  <c:v>0.73798140013726832</c:v>
                </c:pt>
                <c:pt idx="81">
                  <c:v>0.76202460755197277</c:v>
                </c:pt>
                <c:pt idx="82">
                  <c:v>0.7208709810882592</c:v>
                </c:pt>
                <c:pt idx="83">
                  <c:v>0.74813598500624745</c:v>
                </c:pt>
                <c:pt idx="84">
                  <c:v>0.57981782862349562</c:v>
                </c:pt>
                <c:pt idx="85">
                  <c:v>0.59076438962681843</c:v>
                </c:pt>
                <c:pt idx="86">
                  <c:v>0.76294229367571209</c:v>
                </c:pt>
                <c:pt idx="87">
                  <c:v>0.65372689344911217</c:v>
                </c:pt>
                <c:pt idx="88">
                  <c:v>0.73315916633479361</c:v>
                </c:pt>
                <c:pt idx="89">
                  <c:v>0.74463805989315801</c:v>
                </c:pt>
                <c:pt idx="90">
                  <c:v>0.80561060244161342</c:v>
                </c:pt>
                <c:pt idx="91">
                  <c:v>0.80750719128826798</c:v>
                </c:pt>
                <c:pt idx="92">
                  <c:v>0.77055347236490634</c:v>
                </c:pt>
                <c:pt idx="93">
                  <c:v>0.8263472387763211</c:v>
                </c:pt>
                <c:pt idx="94">
                  <c:v>0.75423074443670868</c:v>
                </c:pt>
                <c:pt idx="95">
                  <c:v>0.81427370030581037</c:v>
                </c:pt>
                <c:pt idx="96">
                  <c:v>0.66088401439283373</c:v>
                </c:pt>
                <c:pt idx="97">
                  <c:v>0.59963859136848197</c:v>
                </c:pt>
                <c:pt idx="98">
                  <c:v>0.71625222953012646</c:v>
                </c:pt>
                <c:pt idx="99">
                  <c:v>0.69895894428152494</c:v>
                </c:pt>
                <c:pt idx="100">
                  <c:v>0.73671954563258923</c:v>
                </c:pt>
                <c:pt idx="101">
                  <c:v>0.66560400133979192</c:v>
                </c:pt>
                <c:pt idx="102">
                  <c:v>0.75351620460757529</c:v>
                </c:pt>
                <c:pt idx="103">
                  <c:v>0.7167408144500006</c:v>
                </c:pt>
                <c:pt idx="104">
                  <c:v>0.65572134199627641</c:v>
                </c:pt>
                <c:pt idx="105">
                  <c:v>0.69813929754804505</c:v>
                </c:pt>
                <c:pt idx="106">
                  <c:v>0.5977349955018636</c:v>
                </c:pt>
                <c:pt idx="107">
                  <c:v>0.64319206791351635</c:v>
                </c:pt>
                <c:pt idx="108">
                  <c:v>0.62842358750721483</c:v>
                </c:pt>
                <c:pt idx="109">
                  <c:v>0.61716905021483992</c:v>
                </c:pt>
                <c:pt idx="110">
                  <c:v>0.75569809069212412</c:v>
                </c:pt>
                <c:pt idx="111">
                  <c:v>0.67314759925064815</c:v>
                </c:pt>
                <c:pt idx="112">
                  <c:v>0.73793688676743563</c:v>
                </c:pt>
                <c:pt idx="113">
                  <c:v>0.70626427489927379</c:v>
                </c:pt>
                <c:pt idx="114">
                  <c:v>0.78396685266374377</c:v>
                </c:pt>
                <c:pt idx="115">
                  <c:v>0.77860505844232508</c:v>
                </c:pt>
                <c:pt idx="116">
                  <c:v>0.76178553632310508</c:v>
                </c:pt>
                <c:pt idx="117">
                  <c:v>0.77939547677261611</c:v>
                </c:pt>
                <c:pt idx="118">
                  <c:v>0.73050440241639358</c:v>
                </c:pt>
                <c:pt idx="119">
                  <c:v>0.77625888529886911</c:v>
                </c:pt>
                <c:pt idx="120">
                  <c:v>0.69245438865982167</c:v>
                </c:pt>
                <c:pt idx="121">
                  <c:v>0.53249454280863451</c:v>
                </c:pt>
                <c:pt idx="122">
                  <c:v>0.81444005631298155</c:v>
                </c:pt>
                <c:pt idx="123">
                  <c:v>0.70371081515192069</c:v>
                </c:pt>
                <c:pt idx="124">
                  <c:v>0.74436147721032397</c:v>
                </c:pt>
                <c:pt idx="125">
                  <c:v>0.69553575224531006</c:v>
                </c:pt>
                <c:pt idx="126">
                  <c:v>0.74687311385459532</c:v>
                </c:pt>
                <c:pt idx="127">
                  <c:v>0.72438908801274404</c:v>
                </c:pt>
                <c:pt idx="128">
                  <c:v>0.6397136474411047</c:v>
                </c:pt>
                <c:pt idx="129">
                  <c:v>0.72116050386021946</c:v>
                </c:pt>
                <c:pt idx="130">
                  <c:v>0.69543148030624236</c:v>
                </c:pt>
                <c:pt idx="131">
                  <c:v>0.83368233808674996</c:v>
                </c:pt>
                <c:pt idx="132">
                  <c:v>0.62428199791883454</c:v>
                </c:pt>
                <c:pt idx="133">
                  <c:v>0.58579833415684335</c:v>
                </c:pt>
                <c:pt idx="134">
                  <c:v>0.75768662434325751</c:v>
                </c:pt>
                <c:pt idx="135">
                  <c:v>0.67068981515041681</c:v>
                </c:pt>
                <c:pt idx="136">
                  <c:v>0.74514949767581351</c:v>
                </c:pt>
                <c:pt idx="137">
                  <c:v>0.72641424694905177</c:v>
                </c:pt>
                <c:pt idx="138">
                  <c:v>0.85044825941821656</c:v>
                </c:pt>
                <c:pt idx="139">
                  <c:v>0.83177473323875906</c:v>
                </c:pt>
                <c:pt idx="140">
                  <c:v>0.79193833652007639</c:v>
                </c:pt>
                <c:pt idx="141">
                  <c:v>0.8461067558954749</c:v>
                </c:pt>
                <c:pt idx="142">
                  <c:v>0.7998121877505705</c:v>
                </c:pt>
                <c:pt idx="143">
                  <c:v>0.77361953748006373</c:v>
                </c:pt>
                <c:pt idx="144">
                  <c:v>0.78961151916453032</c:v>
                </c:pt>
                <c:pt idx="145">
                  <c:v>0.68093420167935836</c:v>
                </c:pt>
                <c:pt idx="146">
                  <c:v>0.86986378259976738</c:v>
                </c:pt>
                <c:pt idx="147">
                  <c:v>0.75249339227475764</c:v>
                </c:pt>
                <c:pt idx="148">
                  <c:v>0.90444148254883105</c:v>
                </c:pt>
                <c:pt idx="149">
                  <c:v>0.85216998233708285</c:v>
                </c:pt>
                <c:pt idx="150">
                  <c:v>0.89004431089743596</c:v>
                </c:pt>
                <c:pt idx="151">
                  <c:v>0.81991974255583133</c:v>
                </c:pt>
                <c:pt idx="152">
                  <c:v>0.82128697210534518</c:v>
                </c:pt>
                <c:pt idx="153">
                  <c:v>0.85894091710758369</c:v>
                </c:pt>
                <c:pt idx="154">
                  <c:v>0.7684487734487736</c:v>
                </c:pt>
                <c:pt idx="155">
                  <c:v>0.8100194565042611</c:v>
                </c:pt>
                <c:pt idx="156">
                  <c:v>0.72236636945053911</c:v>
                </c:pt>
                <c:pt idx="157">
                  <c:v>0.74491358285639953</c:v>
                </c:pt>
                <c:pt idx="158">
                  <c:v>0.86048039488320349</c:v>
                </c:pt>
                <c:pt idx="159">
                  <c:v>0.78972254176050294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C-4253-81C0-84D7E3F1D439}"/>
            </c:ext>
          </c:extLst>
        </c:ser>
        <c:ser>
          <c:idx val="1"/>
          <c:order val="1"/>
          <c:tx>
            <c:v>Renewable Diesel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Capacity!$A$2:$A$157</c:f>
              <c:numCache>
                <c:formatCode>mmm\-yy</c:formatCode>
                <c:ptCount val="156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</c:numCache>
            </c:numRef>
          </c:cat>
          <c:val>
            <c:numRef>
              <c:f>Capacity!$I$2:$I$161</c:f>
              <c:numCache>
                <c:formatCode>0.0%</c:formatCode>
                <c:ptCount val="160"/>
                <c:pt idx="8">
                  <c:v>1.7363991935483871</c:v>
                </c:pt>
                <c:pt idx="9">
                  <c:v>2.104225</c:v>
                </c:pt>
                <c:pt idx="10">
                  <c:v>0.51355107526881716</c:v>
                </c:pt>
                <c:pt idx="11">
                  <c:v>0.6571013888888888</c:v>
                </c:pt>
                <c:pt idx="12">
                  <c:v>0.31032358870967736</c:v>
                </c:pt>
                <c:pt idx="13">
                  <c:v>0.23467439516129032</c:v>
                </c:pt>
                <c:pt idx="14">
                  <c:v>0.42116594827586207</c:v>
                </c:pt>
                <c:pt idx="15">
                  <c:v>0.26138709677419353</c:v>
                </c:pt>
                <c:pt idx="16">
                  <c:v>0.28637291666666664</c:v>
                </c:pt>
                <c:pt idx="17">
                  <c:v>0.26440423387096773</c:v>
                </c:pt>
                <c:pt idx="18">
                  <c:v>0.47746562499999995</c:v>
                </c:pt>
                <c:pt idx="19">
                  <c:v>0.40333971774193544</c:v>
                </c:pt>
                <c:pt idx="20">
                  <c:v>0.27514818548387099</c:v>
                </c:pt>
                <c:pt idx="21">
                  <c:v>0.29306458333333335</c:v>
                </c:pt>
                <c:pt idx="22">
                  <c:v>0.41069858870967746</c:v>
                </c:pt>
                <c:pt idx="23">
                  <c:v>0.28857812500000002</c:v>
                </c:pt>
                <c:pt idx="24">
                  <c:v>9.4119959677419346E-2</c:v>
                </c:pt>
                <c:pt idx="25">
                  <c:v>9.5150201612903218E-2</c:v>
                </c:pt>
                <c:pt idx="26">
                  <c:v>0.1526808035714286</c:v>
                </c:pt>
                <c:pt idx="27">
                  <c:v>0.12318750000000001</c:v>
                </c:pt>
                <c:pt idx="28">
                  <c:v>0.21230833333333332</c:v>
                </c:pt>
                <c:pt idx="29">
                  <c:v>0.53395967741935491</c:v>
                </c:pt>
                <c:pt idx="30">
                  <c:v>1.1947666666666665</c:v>
                </c:pt>
                <c:pt idx="31">
                  <c:v>1.1226693548387097</c:v>
                </c:pt>
                <c:pt idx="32">
                  <c:v>1.2981784274193546</c:v>
                </c:pt>
                <c:pt idx="33">
                  <c:v>1.4396208333333333</c:v>
                </c:pt>
                <c:pt idx="34">
                  <c:v>1.1537973790322582</c:v>
                </c:pt>
                <c:pt idx="35">
                  <c:v>1.0567510416666666</c:v>
                </c:pt>
                <c:pt idx="36">
                  <c:v>0.76009778225806457</c:v>
                </c:pt>
                <c:pt idx="37">
                  <c:v>0.90462600806451599</c:v>
                </c:pt>
                <c:pt idx="38">
                  <c:v>1.2182689732142857</c:v>
                </c:pt>
                <c:pt idx="39">
                  <c:v>1.0063991935483871</c:v>
                </c:pt>
                <c:pt idx="40">
                  <c:v>1.2333197916666667</c:v>
                </c:pt>
                <c:pt idx="41">
                  <c:v>1.152767137096774</c:v>
                </c:pt>
                <c:pt idx="42">
                  <c:v>1.0644312499999999</c:v>
                </c:pt>
                <c:pt idx="43">
                  <c:v>0.15034173387096778</c:v>
                </c:pt>
                <c:pt idx="44">
                  <c:v>0.43777923387096773</c:v>
                </c:pt>
                <c:pt idx="45">
                  <c:v>1.1194854166666666</c:v>
                </c:pt>
                <c:pt idx="46">
                  <c:v>1.0477759372275501</c:v>
                </c:pt>
                <c:pt idx="47">
                  <c:v>1.3227484126984128</c:v>
                </c:pt>
                <c:pt idx="48">
                  <c:v>0.8082637571157496</c:v>
                </c:pt>
                <c:pt idx="49">
                  <c:v>0.62246236559139778</c:v>
                </c:pt>
                <c:pt idx="50">
                  <c:v>0.82355042016806712</c:v>
                </c:pt>
                <c:pt idx="51">
                  <c:v>0.7264446552814674</c:v>
                </c:pt>
                <c:pt idx="52">
                  <c:v>0.7510411764705881</c:v>
                </c:pt>
                <c:pt idx="53">
                  <c:v>0.66581910183428206</c:v>
                </c:pt>
                <c:pt idx="54">
                  <c:v>0.74054444444444445</c:v>
                </c:pt>
                <c:pt idx="55">
                  <c:v>0.69721695129664762</c:v>
                </c:pt>
                <c:pt idx="56">
                  <c:v>0.63931562302340295</c:v>
                </c:pt>
                <c:pt idx="57">
                  <c:v>0.64001437908496728</c:v>
                </c:pt>
                <c:pt idx="58">
                  <c:v>0.58436938646426317</c:v>
                </c:pt>
                <c:pt idx="59">
                  <c:v>0.6355771241830066</c:v>
                </c:pt>
                <c:pt idx="60">
                  <c:v>0.52045476594712592</c:v>
                </c:pt>
                <c:pt idx="61">
                  <c:v>0.31263246768370795</c:v>
                </c:pt>
                <c:pt idx="62">
                  <c:v>0.73249272279444688</c:v>
                </c:pt>
                <c:pt idx="63">
                  <c:v>0.75146226872033328</c:v>
                </c:pt>
                <c:pt idx="64">
                  <c:v>0.74539525139664797</c:v>
                </c:pt>
                <c:pt idx="65">
                  <c:v>0.65130336812144218</c:v>
                </c:pt>
                <c:pt idx="66">
                  <c:v>0.58209150326797376</c:v>
                </c:pt>
                <c:pt idx="67">
                  <c:v>0.71568627450980393</c:v>
                </c:pt>
                <c:pt idx="68">
                  <c:v>0.5545125711574953</c:v>
                </c:pt>
                <c:pt idx="69">
                  <c:v>0.61549019607843147</c:v>
                </c:pt>
                <c:pt idx="70">
                  <c:v>0.78959242567994936</c:v>
                </c:pt>
                <c:pt idx="71">
                  <c:v>0.809828839869281</c:v>
                </c:pt>
                <c:pt idx="72">
                  <c:v>0.53563923149905124</c:v>
                </c:pt>
                <c:pt idx="73">
                  <c:v>0.60726557558507266</c:v>
                </c:pt>
                <c:pt idx="74">
                  <c:v>0.5066355917366947</c:v>
                </c:pt>
                <c:pt idx="75">
                  <c:v>0.58879625237191646</c:v>
                </c:pt>
                <c:pt idx="76">
                  <c:v>0.72740563725490193</c:v>
                </c:pt>
                <c:pt idx="77">
                  <c:v>0.5121485610373181</c:v>
                </c:pt>
                <c:pt idx="78">
                  <c:v>0.58602777777777781</c:v>
                </c:pt>
                <c:pt idx="79">
                  <c:v>0.71199240986717272</c:v>
                </c:pt>
                <c:pt idx="80">
                  <c:v>0.63393066097406703</c:v>
                </c:pt>
                <c:pt idx="81">
                  <c:v>0.75585416666666672</c:v>
                </c:pt>
                <c:pt idx="82">
                  <c:v>0.66884922517394052</c:v>
                </c:pt>
                <c:pt idx="83">
                  <c:v>0.76113235294117643</c:v>
                </c:pt>
                <c:pt idx="84">
                  <c:v>0.39481064199873495</c:v>
                </c:pt>
                <c:pt idx="85">
                  <c:v>0.62348395003162549</c:v>
                </c:pt>
                <c:pt idx="86">
                  <c:v>0.8009296218487395</c:v>
                </c:pt>
                <c:pt idx="87">
                  <c:v>0.74313053447185329</c:v>
                </c:pt>
                <c:pt idx="88">
                  <c:v>0.62603030303030294</c:v>
                </c:pt>
                <c:pt idx="89">
                  <c:v>0.34068133855893878</c:v>
                </c:pt>
                <c:pt idx="90">
                  <c:v>0.47913059701492539</c:v>
                </c:pt>
                <c:pt idx="91">
                  <c:v>0.41309567950279846</c:v>
                </c:pt>
                <c:pt idx="92">
                  <c:v>0.78206836982160055</c:v>
                </c:pt>
                <c:pt idx="93">
                  <c:v>0.92273154449413453</c:v>
                </c:pt>
                <c:pt idx="94">
                  <c:v>0.8508859405711644</c:v>
                </c:pt>
                <c:pt idx="95">
                  <c:v>1.0319862604540022</c:v>
                </c:pt>
                <c:pt idx="96">
                  <c:v>0.76990143369175634</c:v>
                </c:pt>
                <c:pt idx="97">
                  <c:v>0.84769973407330335</c:v>
                </c:pt>
                <c:pt idx="98">
                  <c:v>0.83493983614951361</c:v>
                </c:pt>
                <c:pt idx="99">
                  <c:v>0.81357989362932148</c:v>
                </c:pt>
                <c:pt idx="100">
                  <c:v>0.8805134408602151</c:v>
                </c:pt>
                <c:pt idx="101">
                  <c:v>0.83898514279107406</c:v>
                </c:pt>
                <c:pt idx="102">
                  <c:v>1.0091356033452807</c:v>
                </c:pt>
                <c:pt idx="103">
                  <c:v>0.63681928546652788</c:v>
                </c:pt>
                <c:pt idx="104">
                  <c:v>0.85862989941033641</c:v>
                </c:pt>
                <c:pt idx="105">
                  <c:v>1.0590014934289127</c:v>
                </c:pt>
                <c:pt idx="106">
                  <c:v>0.89443779627702624</c:v>
                </c:pt>
                <c:pt idx="107">
                  <c:v>1.1511672640382318</c:v>
                </c:pt>
                <c:pt idx="108">
                  <c:v>0.88321222106601915</c:v>
                </c:pt>
                <c:pt idx="109">
                  <c:v>0.78707740779280844</c:v>
                </c:pt>
                <c:pt idx="110">
                  <c:v>1.0201368804844888</c:v>
                </c:pt>
                <c:pt idx="111">
                  <c:v>0.81531015146259678</c:v>
                </c:pt>
                <c:pt idx="112">
                  <c:v>1.0121663679808841</c:v>
                </c:pt>
                <c:pt idx="113">
                  <c:v>1.1227263267429759</c:v>
                </c:pt>
                <c:pt idx="114">
                  <c:v>0.91907551240560947</c:v>
                </c:pt>
                <c:pt idx="115">
                  <c:v>0.76329075078504138</c:v>
                </c:pt>
                <c:pt idx="116">
                  <c:v>0.76760403007255884</c:v>
                </c:pt>
                <c:pt idx="117">
                  <c:v>0.41594173441734417</c:v>
                </c:pt>
                <c:pt idx="118">
                  <c:v>0.78261692455634235</c:v>
                </c:pt>
                <c:pt idx="119">
                  <c:v>0.95302258355916902</c:v>
                </c:pt>
                <c:pt idx="120">
                  <c:v>0.88485074018188492</c:v>
                </c:pt>
                <c:pt idx="121">
                  <c:v>0.79302393866481791</c:v>
                </c:pt>
                <c:pt idx="122">
                  <c:v>0.93881862922160009</c:v>
                </c:pt>
                <c:pt idx="123">
                  <c:v>0.64389438889073447</c:v>
                </c:pt>
                <c:pt idx="124">
                  <c:v>0.82811019567456245</c:v>
                </c:pt>
                <c:pt idx="125">
                  <c:v>0.79802149357317376</c:v>
                </c:pt>
                <c:pt idx="126">
                  <c:v>1.0596886205634835</c:v>
                </c:pt>
                <c:pt idx="127">
                  <c:v>0.97714174427251155</c:v>
                </c:pt>
                <c:pt idx="128">
                  <c:v>0.79432509472044199</c:v>
                </c:pt>
                <c:pt idx="129">
                  <c:v>1.0217480276134123</c:v>
                </c:pt>
                <c:pt idx="130">
                  <c:v>1.0963313984838392</c:v>
                </c:pt>
                <c:pt idx="131">
                  <c:v>1.2566648583484028</c:v>
                </c:pt>
                <c:pt idx="132">
                  <c:v>0.74387336405529958</c:v>
                </c:pt>
                <c:pt idx="133">
                  <c:v>0.64980092165898606</c:v>
                </c:pt>
                <c:pt idx="134">
                  <c:v>0.81218459183673464</c:v>
                </c:pt>
                <c:pt idx="135">
                  <c:v>0.72994486589909702</c:v>
                </c:pt>
                <c:pt idx="136">
                  <c:v>0.78956480054785128</c:v>
                </c:pt>
                <c:pt idx="137">
                  <c:v>0.74877097933959602</c:v>
                </c:pt>
                <c:pt idx="138">
                  <c:v>0.72531577736890529</c:v>
                </c:pt>
                <c:pt idx="139">
                  <c:v>0.63104159095204171</c:v>
                </c:pt>
                <c:pt idx="140">
                  <c:v>0.73304569044469314</c:v>
                </c:pt>
                <c:pt idx="141">
                  <c:v>0.70914834009313499</c:v>
                </c:pt>
                <c:pt idx="142">
                  <c:v>0.62198085592178443</c:v>
                </c:pt>
                <c:pt idx="143">
                  <c:v>0.62923897017126007</c:v>
                </c:pt>
                <c:pt idx="144">
                  <c:v>0.65856177865740195</c:v>
                </c:pt>
                <c:pt idx="145">
                  <c:v>0.56596587218799821</c:v>
                </c:pt>
                <c:pt idx="146">
                  <c:v>0.79177051555826716</c:v>
                </c:pt>
                <c:pt idx="147">
                  <c:v>0.72238879922848309</c:v>
                </c:pt>
                <c:pt idx="148">
                  <c:v>0.83823062843197083</c:v>
                </c:pt>
                <c:pt idx="149">
                  <c:v>0.73265396687009587</c:v>
                </c:pt>
                <c:pt idx="150">
                  <c:v>0.701600161987041</c:v>
                </c:pt>
                <c:pt idx="151">
                  <c:v>0.77403561102208596</c:v>
                </c:pt>
                <c:pt idx="152">
                  <c:v>0.79677976729603572</c:v>
                </c:pt>
                <c:pt idx="153">
                  <c:v>0.66478515253651371</c:v>
                </c:pt>
                <c:pt idx="154">
                  <c:v>0.67523504432690162</c:v>
                </c:pt>
                <c:pt idx="155">
                  <c:v>0.85060992999740714</c:v>
                </c:pt>
                <c:pt idx="156">
                  <c:v>0.72428537974524743</c:v>
                </c:pt>
                <c:pt idx="157">
                  <c:v>0.72109837998778925</c:v>
                </c:pt>
                <c:pt idx="158">
                  <c:v>0.82020169329387682</c:v>
                </c:pt>
                <c:pt idx="159">
                  <c:v>0.74518754052766034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8C-4253-81C0-84D7E3F1D439}"/>
            </c:ext>
          </c:extLst>
        </c:ser>
        <c:ser>
          <c:idx val="2"/>
          <c:order val="2"/>
          <c:tx>
            <c:v>Combined (Y2)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Capacity!$A$2:$A$157</c:f>
              <c:numCache>
                <c:formatCode>mmm\-yy</c:formatCode>
                <c:ptCount val="156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</c:numCache>
            </c:numRef>
          </c:cat>
          <c:val>
            <c:numRef>
              <c:f>Capacity!$J$2:$J$157</c:f>
              <c:numCache>
                <c:formatCode>0.0%</c:formatCode>
                <c:ptCount val="156"/>
                <c:pt idx="0">
                  <c:v>0.22152961562558721</c:v>
                </c:pt>
                <c:pt idx="1">
                  <c:v>0.23118552399999556</c:v>
                </c:pt>
                <c:pt idx="2">
                  <c:v>0.39292564607932512</c:v>
                </c:pt>
                <c:pt idx="3">
                  <c:v>0.40912765847950111</c:v>
                </c:pt>
                <c:pt idx="4">
                  <c:v>0.49932074612568556</c:v>
                </c:pt>
                <c:pt idx="5">
                  <c:v>0.48915032833612077</c:v>
                </c:pt>
                <c:pt idx="6">
                  <c:v>0.60970701605014377</c:v>
                </c:pt>
                <c:pt idx="7">
                  <c:v>0.60951229753275693</c:v>
                </c:pt>
                <c:pt idx="8">
                  <c:v>0.56372463002413442</c:v>
                </c:pt>
                <c:pt idx="9">
                  <c:v>0.63263970733360764</c:v>
                </c:pt>
                <c:pt idx="10">
                  <c:v>0.58389354158998796</c:v>
                </c:pt>
                <c:pt idx="11">
                  <c:v>0.63773836054895694</c:v>
                </c:pt>
                <c:pt idx="12">
                  <c:v>0.3802311515378845</c:v>
                </c:pt>
                <c:pt idx="13">
                  <c:v>0.40302653788447118</c:v>
                </c:pt>
                <c:pt idx="14">
                  <c:v>0.52531766502874766</c:v>
                </c:pt>
                <c:pt idx="15">
                  <c:v>0.48579136690647479</c:v>
                </c:pt>
                <c:pt idx="16">
                  <c:v>0.54533898544581039</c:v>
                </c:pt>
                <c:pt idx="17">
                  <c:v>0.48728477413847698</c:v>
                </c:pt>
                <c:pt idx="18">
                  <c:v>0.49704472934472921</c:v>
                </c:pt>
                <c:pt idx="19">
                  <c:v>0.4875019299696719</c:v>
                </c:pt>
                <c:pt idx="20">
                  <c:v>0.42522226759221449</c:v>
                </c:pt>
                <c:pt idx="21">
                  <c:v>0.40625886075949369</c:v>
                </c:pt>
                <c:pt idx="22">
                  <c:v>0.31712568472306757</c:v>
                </c:pt>
                <c:pt idx="23">
                  <c:v>0.33763037396937573</c:v>
                </c:pt>
                <c:pt idx="24">
                  <c:v>0.36350231428895963</c:v>
                </c:pt>
                <c:pt idx="25">
                  <c:v>0.36921207450043136</c:v>
                </c:pt>
                <c:pt idx="26">
                  <c:v>0.58466878881987583</c:v>
                </c:pt>
                <c:pt idx="27">
                  <c:v>0.55618097320940407</c:v>
                </c:pt>
                <c:pt idx="28">
                  <c:v>0.59909129557573138</c:v>
                </c:pt>
                <c:pt idx="29">
                  <c:v>0.61165464977355455</c:v>
                </c:pt>
                <c:pt idx="30">
                  <c:v>0.76035362694300523</c:v>
                </c:pt>
                <c:pt idx="31">
                  <c:v>0.73747786006164318</c:v>
                </c:pt>
                <c:pt idx="32">
                  <c:v>0.7366175752757903</c:v>
                </c:pt>
                <c:pt idx="33">
                  <c:v>0.82823378319547225</c:v>
                </c:pt>
                <c:pt idx="34">
                  <c:v>0.74368185905361373</c:v>
                </c:pt>
                <c:pt idx="35">
                  <c:v>0.79648367018160504</c:v>
                </c:pt>
                <c:pt idx="36">
                  <c:v>0.46046042716436536</c:v>
                </c:pt>
                <c:pt idx="37">
                  <c:v>0.45772567810387615</c:v>
                </c:pt>
                <c:pt idx="38">
                  <c:v>0.66626919263002993</c:v>
                </c:pt>
                <c:pt idx="39">
                  <c:v>0.56282643461222615</c:v>
                </c:pt>
                <c:pt idx="40">
                  <c:v>0.65386761695906437</c:v>
                </c:pt>
                <c:pt idx="41">
                  <c:v>0.69019538360538324</c:v>
                </c:pt>
                <c:pt idx="42">
                  <c:v>0.73496653427478664</c:v>
                </c:pt>
                <c:pt idx="43">
                  <c:v>0.65889999716786085</c:v>
                </c:pt>
                <c:pt idx="44">
                  <c:v>0.62507554103715812</c:v>
                </c:pt>
                <c:pt idx="45">
                  <c:v>0.72657054061867599</c:v>
                </c:pt>
                <c:pt idx="46">
                  <c:v>0.64108348654521152</c:v>
                </c:pt>
                <c:pt idx="47">
                  <c:v>0.75988711960368016</c:v>
                </c:pt>
                <c:pt idx="48">
                  <c:v>0.44908000983727508</c:v>
                </c:pt>
                <c:pt idx="49">
                  <c:v>0.44564589747021821</c:v>
                </c:pt>
                <c:pt idx="50">
                  <c:v>0.61417916296953567</c:v>
                </c:pt>
                <c:pt idx="51">
                  <c:v>0.59053983818600753</c:v>
                </c:pt>
                <c:pt idx="52">
                  <c:v>0.6662342137845646</c:v>
                </c:pt>
                <c:pt idx="53">
                  <c:v>0.66673450781648036</c:v>
                </c:pt>
                <c:pt idx="54">
                  <c:v>0.69653401788208991</c:v>
                </c:pt>
                <c:pt idx="55">
                  <c:v>0.68149367396265159</c:v>
                </c:pt>
                <c:pt idx="56">
                  <c:v>0.57656402737047907</c:v>
                </c:pt>
                <c:pt idx="57">
                  <c:v>0.60245855707008134</c:v>
                </c:pt>
                <c:pt idx="58">
                  <c:v>0.58716917502408839</c:v>
                </c:pt>
                <c:pt idx="59">
                  <c:v>0.64656990659661417</c:v>
                </c:pt>
                <c:pt idx="60">
                  <c:v>0.54011791492825889</c:v>
                </c:pt>
                <c:pt idx="61">
                  <c:v>0.5201031574147954</c:v>
                </c:pt>
                <c:pt idx="62">
                  <c:v>0.66664894250228168</c:v>
                </c:pt>
                <c:pt idx="63">
                  <c:v>0.63384034533223477</c:v>
                </c:pt>
                <c:pt idx="64">
                  <c:v>0.72675155082921883</c:v>
                </c:pt>
                <c:pt idx="65">
                  <c:v>0.68981502410638063</c:v>
                </c:pt>
                <c:pt idx="66">
                  <c:v>0.72286687787302772</c:v>
                </c:pt>
                <c:pt idx="67">
                  <c:v>0.7327691077633367</c:v>
                </c:pt>
                <c:pt idx="68">
                  <c:v>0.6742971535589517</c:v>
                </c:pt>
                <c:pt idx="69">
                  <c:v>0.73729999999999996</c:v>
                </c:pt>
                <c:pt idx="70">
                  <c:v>0.73810774430740023</c:v>
                </c:pt>
                <c:pt idx="71">
                  <c:v>0.76380225159079795</c:v>
                </c:pt>
                <c:pt idx="72">
                  <c:v>0.48115994031547543</c:v>
                </c:pt>
                <c:pt idx="73">
                  <c:v>0.49718736677561465</c:v>
                </c:pt>
                <c:pt idx="74">
                  <c:v>0.62039646725116027</c:v>
                </c:pt>
                <c:pt idx="75">
                  <c:v>0.63356866628937925</c:v>
                </c:pt>
                <c:pt idx="76">
                  <c:v>0.7137925952989892</c:v>
                </c:pt>
                <c:pt idx="77">
                  <c:v>0.68058022086815095</c:v>
                </c:pt>
                <c:pt idx="78">
                  <c:v>0.75170714633552493</c:v>
                </c:pt>
                <c:pt idx="79">
                  <c:v>0.75139978013924502</c:v>
                </c:pt>
                <c:pt idx="80">
                  <c:v>0.72258883248730965</c:v>
                </c:pt>
                <c:pt idx="81">
                  <c:v>0.76111410488245934</c:v>
                </c:pt>
                <c:pt idx="82">
                  <c:v>0.71335775049957173</c:v>
                </c:pt>
                <c:pt idx="83">
                  <c:v>0.75002367390530433</c:v>
                </c:pt>
                <c:pt idx="84">
                  <c:v>0.55429096621466845</c:v>
                </c:pt>
                <c:pt idx="85">
                  <c:v>0.59527743244127451</c:v>
                </c:pt>
                <c:pt idx="86">
                  <c:v>0.76818547023004069</c:v>
                </c:pt>
                <c:pt idx="87">
                  <c:v>0.66598796421794526</c:v>
                </c:pt>
                <c:pt idx="88">
                  <c:v>0.71787071810629344</c:v>
                </c:pt>
                <c:pt idx="89">
                  <c:v>0.68583075488259815</c:v>
                </c:pt>
                <c:pt idx="90">
                  <c:v>0.77413699040767392</c:v>
                </c:pt>
                <c:pt idx="91">
                  <c:v>0.7468259422750424</c:v>
                </c:pt>
                <c:pt idx="92">
                  <c:v>0.77241852081035256</c:v>
                </c:pt>
                <c:pt idx="93">
                  <c:v>0.84270010666490713</c:v>
                </c:pt>
                <c:pt idx="94">
                  <c:v>0.77185610373181524</c:v>
                </c:pt>
                <c:pt idx="95">
                  <c:v>0.85390946166394777</c:v>
                </c:pt>
                <c:pt idx="96">
                  <c:v>0.68036887024446691</c:v>
                </c:pt>
                <c:pt idx="97">
                  <c:v>0.64398915773480381</c:v>
                </c:pt>
                <c:pt idx="98">
                  <c:v>0.73747225019453477</c:v>
                </c:pt>
                <c:pt idx="99">
                  <c:v>0.71945189197010895</c:v>
                </c:pt>
                <c:pt idx="100">
                  <c:v>0.76251092896174866</c:v>
                </c:pt>
                <c:pt idx="101">
                  <c:v>0.69719991150628935</c:v>
                </c:pt>
                <c:pt idx="102">
                  <c:v>0.79924740835737951</c:v>
                </c:pt>
                <c:pt idx="103">
                  <c:v>0.70244257361230333</c:v>
                </c:pt>
                <c:pt idx="104">
                  <c:v>0.69218606825619444</c:v>
                </c:pt>
                <c:pt idx="105">
                  <c:v>0.76366520229959867</c:v>
                </c:pt>
                <c:pt idx="106">
                  <c:v>0.65169854270934102</c:v>
                </c:pt>
                <c:pt idx="107">
                  <c:v>0.73549104526212949</c:v>
                </c:pt>
                <c:pt idx="108">
                  <c:v>0.67468849395882979</c:v>
                </c:pt>
                <c:pt idx="109">
                  <c:v>0.64802126743856481</c:v>
                </c:pt>
                <c:pt idx="110">
                  <c:v>0.80373091774425287</c:v>
                </c:pt>
                <c:pt idx="111">
                  <c:v>0.69897009408602162</c:v>
                </c:pt>
                <c:pt idx="112">
                  <c:v>0.78774810112847204</c:v>
                </c:pt>
                <c:pt idx="113">
                  <c:v>0.78191070228494619</c:v>
                </c:pt>
                <c:pt idx="114">
                  <c:v>0.81066885193476168</c:v>
                </c:pt>
                <c:pt idx="115">
                  <c:v>0.77529517620080834</c:v>
                </c:pt>
                <c:pt idx="116">
                  <c:v>0.7631282656499021</c:v>
                </c:pt>
                <c:pt idx="117">
                  <c:v>0.69536387844611536</c:v>
                </c:pt>
                <c:pt idx="118">
                  <c:v>0.74256430876298563</c:v>
                </c:pt>
                <c:pt idx="119">
                  <c:v>0.81684743829081097</c:v>
                </c:pt>
                <c:pt idx="120">
                  <c:v>0.74023633969716918</c:v>
                </c:pt>
                <c:pt idx="121">
                  <c:v>0.59719744771357675</c:v>
                </c:pt>
                <c:pt idx="122">
                  <c:v>0.84517528004641407</c:v>
                </c:pt>
                <c:pt idx="123">
                  <c:v>0.68653194798255901</c:v>
                </c:pt>
                <c:pt idx="124">
                  <c:v>0.76828616259684224</c:v>
                </c:pt>
                <c:pt idx="125">
                  <c:v>0.72349757025959094</c:v>
                </c:pt>
                <c:pt idx="126">
                  <c:v>0.83216941035618075</c:v>
                </c:pt>
                <c:pt idx="127">
                  <c:v>0.79330787575672723</c:v>
                </c:pt>
                <c:pt idx="128">
                  <c:v>0.68147203121563071</c:v>
                </c:pt>
                <c:pt idx="129">
                  <c:v>0.80887151079136688</c:v>
                </c:pt>
                <c:pt idx="130">
                  <c:v>0.81513647642679909</c:v>
                </c:pt>
                <c:pt idx="131">
                  <c:v>0.9733297014925375</c:v>
                </c:pt>
                <c:pt idx="132">
                  <c:v>0.67643372748245623</c:v>
                </c:pt>
                <c:pt idx="133">
                  <c:v>0.61355658152456327</c:v>
                </c:pt>
                <c:pt idx="134">
                  <c:v>0.78132852893264393</c:v>
                </c:pt>
                <c:pt idx="135">
                  <c:v>0.6981526093483823</c:v>
                </c:pt>
                <c:pt idx="136">
                  <c:v>0.76588729016786572</c:v>
                </c:pt>
                <c:pt idx="137">
                  <c:v>0.73685275005801798</c:v>
                </c:pt>
                <c:pt idx="138">
                  <c:v>0.78675403886677586</c:v>
                </c:pt>
                <c:pt idx="139">
                  <c:v>0.728451410869419</c:v>
                </c:pt>
                <c:pt idx="140">
                  <c:v>0.76162453887654225</c:v>
                </c:pt>
                <c:pt idx="141">
                  <c:v>0.7756101832521457</c:v>
                </c:pt>
                <c:pt idx="142">
                  <c:v>0.69873413551448527</c:v>
                </c:pt>
                <c:pt idx="143">
                  <c:v>0.68924202956187453</c:v>
                </c:pt>
                <c:pt idx="144">
                  <c:v>0.71178613861386142</c:v>
                </c:pt>
                <c:pt idx="145">
                  <c:v>0.61037322357176083</c:v>
                </c:pt>
                <c:pt idx="146">
                  <c:v>0.82214901477832514</c:v>
                </c:pt>
                <c:pt idx="147">
                  <c:v>0.73409957009289595</c:v>
                </c:pt>
                <c:pt idx="148">
                  <c:v>0.86394909825870647</c:v>
                </c:pt>
                <c:pt idx="149">
                  <c:v>0.77568965421050884</c:v>
                </c:pt>
                <c:pt idx="150">
                  <c:v>0.76936707584140163</c:v>
                </c:pt>
                <c:pt idx="151">
                  <c:v>0.79053612858608846</c:v>
                </c:pt>
                <c:pt idx="152">
                  <c:v>0.80556568935271577</c:v>
                </c:pt>
                <c:pt idx="153">
                  <c:v>0.73278546159029656</c:v>
                </c:pt>
                <c:pt idx="154">
                  <c:v>0.70766331454851672</c:v>
                </c:pt>
                <c:pt idx="155">
                  <c:v>0.83642037661607649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8C-4253-81C0-84D7E3F1D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92799"/>
        <c:axId val="1800887856"/>
      </c:lineChart>
      <c:dateAx>
        <c:axId val="172492799"/>
        <c:scaling>
          <c:orientation val="minMax"/>
          <c:min val="43831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00887856"/>
        <c:crosses val="autoZero"/>
        <c:auto val="1"/>
        <c:lblOffset val="100"/>
        <c:baseTimeUnit val="months"/>
      </c:dateAx>
      <c:valAx>
        <c:axId val="1800887856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capacity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2492799"/>
        <c:crosses val="autoZero"/>
        <c:crossBetween val="between"/>
        <c:majorUnit val="0.25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52775634295713036"/>
          <c:y val="0.61402158063575385"/>
          <c:w val="0.46253836177697333"/>
          <c:h val="0.17807123067949843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rgbClr val="323232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US Biomass-Based Diesel Production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19903762029749"/>
          <c:y val="0.10566778775881965"/>
          <c:w val="0.65026859142607174"/>
          <c:h val="0.68871135899679203"/>
        </c:manualLayout>
      </c:layout>
      <c:lineChart>
        <c:grouping val="standard"/>
        <c:varyColors val="0"/>
        <c:ser>
          <c:idx val="0"/>
          <c:order val="0"/>
          <c:tx>
            <c:v>Biodiesel</c:v>
          </c:tx>
          <c:spPr>
            <a:ln w="31750" cap="rnd">
              <a:solidFill>
                <a:srgbClr val="CF3C3C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Capacity!$A$2:$A$169</c15:sqref>
                  </c15:fullRef>
                </c:ext>
              </c:extLst>
              <c:f>Capacity!$A$38:$A$169</c:f>
              <c:numCache>
                <c:formatCode>mmm\-yy</c:formatCode>
                <c:ptCount val="13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Capacity!$B$2:$B$169</c15:sqref>
                  </c15:fullRef>
                </c:ext>
              </c:extLst>
              <c:f>Capacity!$B$38:$B$169</c:f>
              <c:numCache>
                <c:formatCode>#,##0_);[Red]\(#,##0\)</c:formatCode>
                <c:ptCount val="132"/>
                <c:pt idx="0">
                  <c:v>1959</c:v>
                </c:pt>
                <c:pt idx="1">
                  <c:v>2102</c:v>
                </c:pt>
                <c:pt idx="2">
                  <c:v>2073</c:v>
                </c:pt>
                <c:pt idx="3">
                  <c:v>2079</c:v>
                </c:pt>
                <c:pt idx="4">
                  <c:v>2120</c:v>
                </c:pt>
                <c:pt idx="5">
                  <c:v>2002</c:v>
                </c:pt>
                <c:pt idx="6">
                  <c:v>2106</c:v>
                </c:pt>
                <c:pt idx="7">
                  <c:v>2118</c:v>
                </c:pt>
                <c:pt idx="8">
                  <c:v>2131</c:v>
                </c:pt>
                <c:pt idx="9">
                  <c:v>2146</c:v>
                </c:pt>
                <c:pt idx="10">
                  <c:v>2131</c:v>
                </c:pt>
                <c:pt idx="11">
                  <c:v>2145</c:v>
                </c:pt>
                <c:pt idx="12">
                  <c:v>2106</c:v>
                </c:pt>
                <c:pt idx="13">
                  <c:v>2155</c:v>
                </c:pt>
                <c:pt idx="14">
                  <c:v>2160</c:v>
                </c:pt>
                <c:pt idx="15">
                  <c:v>2209</c:v>
                </c:pt>
                <c:pt idx="16">
                  <c:v>2168</c:v>
                </c:pt>
                <c:pt idx="17">
                  <c:v>2151</c:v>
                </c:pt>
                <c:pt idx="18">
                  <c:v>2131</c:v>
                </c:pt>
                <c:pt idx="19">
                  <c:v>2134</c:v>
                </c:pt>
                <c:pt idx="20">
                  <c:v>2154</c:v>
                </c:pt>
                <c:pt idx="21">
                  <c:v>2166</c:v>
                </c:pt>
                <c:pt idx="22">
                  <c:v>2122</c:v>
                </c:pt>
                <c:pt idx="23">
                  <c:v>2029</c:v>
                </c:pt>
                <c:pt idx="24">
                  <c:v>2270</c:v>
                </c:pt>
                <c:pt idx="25">
                  <c:v>2270</c:v>
                </c:pt>
                <c:pt idx="26">
                  <c:v>2299</c:v>
                </c:pt>
                <c:pt idx="27">
                  <c:v>2290</c:v>
                </c:pt>
                <c:pt idx="28">
                  <c:v>2275</c:v>
                </c:pt>
                <c:pt idx="29">
                  <c:v>2275</c:v>
                </c:pt>
                <c:pt idx="30">
                  <c:v>2275</c:v>
                </c:pt>
                <c:pt idx="31">
                  <c:v>2275</c:v>
                </c:pt>
                <c:pt idx="32">
                  <c:v>2279</c:v>
                </c:pt>
                <c:pt idx="33">
                  <c:v>2312</c:v>
                </c:pt>
                <c:pt idx="34">
                  <c:v>2312</c:v>
                </c:pt>
                <c:pt idx="35">
                  <c:v>2316</c:v>
                </c:pt>
                <c:pt idx="36">
                  <c:v>2316</c:v>
                </c:pt>
                <c:pt idx="37">
                  <c:v>2316</c:v>
                </c:pt>
                <c:pt idx="38">
                  <c:v>2362</c:v>
                </c:pt>
                <c:pt idx="39">
                  <c:v>2328</c:v>
                </c:pt>
                <c:pt idx="40">
                  <c:v>2329</c:v>
                </c:pt>
                <c:pt idx="41">
                  <c:v>2329</c:v>
                </c:pt>
                <c:pt idx="42">
                  <c:v>2330</c:v>
                </c:pt>
                <c:pt idx="43">
                  <c:v>2321</c:v>
                </c:pt>
                <c:pt idx="44">
                  <c:v>2350</c:v>
                </c:pt>
                <c:pt idx="45">
                  <c:v>2357</c:v>
                </c:pt>
                <c:pt idx="46">
                  <c:v>2417</c:v>
                </c:pt>
                <c:pt idx="47">
                  <c:v>2401</c:v>
                </c:pt>
                <c:pt idx="48">
                  <c:v>2549</c:v>
                </c:pt>
                <c:pt idx="49">
                  <c:v>2550</c:v>
                </c:pt>
                <c:pt idx="50">
                  <c:v>2548</c:v>
                </c:pt>
                <c:pt idx="51">
                  <c:v>2567</c:v>
                </c:pt>
                <c:pt idx="52">
                  <c:v>2511</c:v>
                </c:pt>
                <c:pt idx="53">
                  <c:v>2512</c:v>
                </c:pt>
                <c:pt idx="54">
                  <c:v>2512</c:v>
                </c:pt>
                <c:pt idx="55">
                  <c:v>2512</c:v>
                </c:pt>
                <c:pt idx="56">
                  <c:v>2512</c:v>
                </c:pt>
                <c:pt idx="57">
                  <c:v>2517</c:v>
                </c:pt>
                <c:pt idx="58">
                  <c:v>2502</c:v>
                </c:pt>
                <c:pt idx="59">
                  <c:v>2507</c:v>
                </c:pt>
                <c:pt idx="60">
                  <c:v>2564</c:v>
                </c:pt>
                <c:pt idx="61">
                  <c:v>2563</c:v>
                </c:pt>
                <c:pt idx="62">
                  <c:v>2563</c:v>
                </c:pt>
                <c:pt idx="63">
                  <c:v>2563</c:v>
                </c:pt>
                <c:pt idx="64">
                  <c:v>2553</c:v>
                </c:pt>
                <c:pt idx="65">
                  <c:v>2504</c:v>
                </c:pt>
                <c:pt idx="66">
                  <c:v>2561</c:v>
                </c:pt>
                <c:pt idx="67">
                  <c:v>2561</c:v>
                </c:pt>
                <c:pt idx="68">
                  <c:v>2547</c:v>
                </c:pt>
                <c:pt idx="69">
                  <c:v>2515</c:v>
                </c:pt>
                <c:pt idx="70">
                  <c:v>2510</c:v>
                </c:pt>
                <c:pt idx="71">
                  <c:v>2513</c:v>
                </c:pt>
                <c:pt idx="72">
                  <c:v>2515</c:v>
                </c:pt>
                <c:pt idx="73">
                  <c:v>2515</c:v>
                </c:pt>
                <c:pt idx="74">
                  <c:v>2514</c:v>
                </c:pt>
                <c:pt idx="75">
                  <c:v>2514</c:v>
                </c:pt>
                <c:pt idx="76">
                  <c:v>2514</c:v>
                </c:pt>
                <c:pt idx="77">
                  <c:v>2514</c:v>
                </c:pt>
                <c:pt idx="78">
                  <c:v>2509</c:v>
                </c:pt>
                <c:pt idx="79">
                  <c:v>2459</c:v>
                </c:pt>
                <c:pt idx="80">
                  <c:v>2460</c:v>
                </c:pt>
                <c:pt idx="81">
                  <c:v>2454</c:v>
                </c:pt>
                <c:pt idx="82">
                  <c:v>2451</c:v>
                </c:pt>
                <c:pt idx="83">
                  <c:v>2476</c:v>
                </c:pt>
                <c:pt idx="84">
                  <c:v>2394</c:v>
                </c:pt>
                <c:pt idx="85">
                  <c:v>2394</c:v>
                </c:pt>
                <c:pt idx="86">
                  <c:v>2410</c:v>
                </c:pt>
                <c:pt idx="87">
                  <c:v>2410</c:v>
                </c:pt>
                <c:pt idx="88">
                  <c:v>2428</c:v>
                </c:pt>
                <c:pt idx="89">
                  <c:v>2428</c:v>
                </c:pt>
                <c:pt idx="90">
                  <c:v>2430</c:v>
                </c:pt>
                <c:pt idx="91">
                  <c:v>2430</c:v>
                </c:pt>
                <c:pt idx="92">
                  <c:v>2462</c:v>
                </c:pt>
                <c:pt idx="93">
                  <c:v>2461</c:v>
                </c:pt>
                <c:pt idx="94">
                  <c:v>2389</c:v>
                </c:pt>
                <c:pt idx="95">
                  <c:v>2244</c:v>
                </c:pt>
                <c:pt idx="96">
                  <c:v>2263</c:v>
                </c:pt>
                <c:pt idx="97">
                  <c:v>2285</c:v>
                </c:pt>
                <c:pt idx="98">
                  <c:v>2284</c:v>
                </c:pt>
                <c:pt idx="99">
                  <c:v>2225</c:v>
                </c:pt>
                <c:pt idx="100">
                  <c:v>2223</c:v>
                </c:pt>
                <c:pt idx="101">
                  <c:v>2223</c:v>
                </c:pt>
                <c:pt idx="102">
                  <c:v>2097</c:v>
                </c:pt>
                <c:pt idx="103">
                  <c:v>2092</c:v>
                </c:pt>
                <c:pt idx="104">
                  <c:v>2092</c:v>
                </c:pt>
                <c:pt idx="105">
                  <c:v>2092</c:v>
                </c:pt>
                <c:pt idx="106">
                  <c:v>2092</c:v>
                </c:pt>
                <c:pt idx="107">
                  <c:v>2090</c:v>
                </c:pt>
                <c:pt idx="108">
                  <c:v>2051</c:v>
                </c:pt>
                <c:pt idx="109">
                  <c:v>2063</c:v>
                </c:pt>
                <c:pt idx="110">
                  <c:v>2087</c:v>
                </c:pt>
                <c:pt idx="111">
                  <c:v>2087</c:v>
                </c:pt>
                <c:pt idx="112">
                  <c:v>2082</c:v>
                </c:pt>
                <c:pt idx="113">
                  <c:v>2082</c:v>
                </c:pt>
                <c:pt idx="114">
                  <c:v>2080</c:v>
                </c:pt>
                <c:pt idx="115">
                  <c:v>2080</c:v>
                </c:pt>
                <c:pt idx="116">
                  <c:v>2070</c:v>
                </c:pt>
                <c:pt idx="117">
                  <c:v>2079</c:v>
                </c:pt>
                <c:pt idx="118">
                  <c:v>2079</c:v>
                </c:pt>
                <c:pt idx="119">
                  <c:v>2073</c:v>
                </c:pt>
                <c:pt idx="120">
                  <c:v>2073</c:v>
                </c:pt>
                <c:pt idx="121">
                  <c:v>1984</c:v>
                </c:pt>
                <c:pt idx="122">
                  <c:v>1984</c:v>
                </c:pt>
                <c:pt idx="123">
                  <c:v>1991</c:v>
                </c:pt>
                <c:pt idx="124">
                  <c:v>2022</c:v>
                </c:pt>
                <c:pt idx="125">
                  <c:v>2022</c:v>
                </c:pt>
                <c:pt idx="126">
                  <c:v>2022</c:v>
                </c:pt>
                <c:pt idx="127">
                  <c:v>1995</c:v>
                </c:pt>
                <c:pt idx="128">
                  <c:v>1995</c:v>
                </c:pt>
                <c:pt idx="129">
                  <c:v>1995</c:v>
                </c:pt>
                <c:pt idx="130">
                  <c:v>1995</c:v>
                </c:pt>
                <c:pt idx="131">
                  <c:v>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A-411F-9FC1-C6E1D7935F5E}"/>
            </c:ext>
          </c:extLst>
        </c:ser>
        <c:ser>
          <c:idx val="1"/>
          <c:order val="1"/>
          <c:tx>
            <c:v>Renewable Diesel</c:v>
          </c:tx>
          <c:spPr>
            <a:ln w="31750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Capacity!$A$2:$A$169</c15:sqref>
                  </c15:fullRef>
                </c:ext>
              </c:extLst>
              <c:f>Capacity!$A$38:$A$169</c:f>
              <c:numCache>
                <c:formatCode>mmm\-yy</c:formatCode>
                <c:ptCount val="13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Capacity!$C$2:$C$169</c15:sqref>
                  </c15:fullRef>
                </c:ext>
              </c:extLst>
              <c:f>Capacity!$C$38:$C$169</c:f>
              <c:numCache>
                <c:formatCode>#,##0_);[Red]\(#,##0\)</c:formatCode>
                <c:ptCount val="132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  <c:pt idx="9">
                  <c:v>160</c:v>
                </c:pt>
                <c:pt idx="10">
                  <c:v>185</c:v>
                </c:pt>
                <c:pt idx="11">
                  <c:v>210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266</c:v>
                </c:pt>
                <c:pt idx="25">
                  <c:v>277</c:v>
                </c:pt>
                <c:pt idx="26">
                  <c:v>308</c:v>
                </c:pt>
                <c:pt idx="27">
                  <c:v>333</c:v>
                </c:pt>
                <c:pt idx="28">
                  <c:v>358</c:v>
                </c:pt>
                <c:pt idx="29">
                  <c:v>408</c:v>
                </c:pt>
                <c:pt idx="30">
                  <c:v>408</c:v>
                </c:pt>
                <c:pt idx="31">
                  <c:v>408</c:v>
                </c:pt>
                <c:pt idx="32">
                  <c:v>408</c:v>
                </c:pt>
                <c:pt idx="33">
                  <c:v>408</c:v>
                </c:pt>
                <c:pt idx="34">
                  <c:v>408</c:v>
                </c:pt>
                <c:pt idx="35">
                  <c:v>408</c:v>
                </c:pt>
                <c:pt idx="36">
                  <c:v>408</c:v>
                </c:pt>
                <c:pt idx="37">
                  <c:v>408</c:v>
                </c:pt>
                <c:pt idx="38">
                  <c:v>408</c:v>
                </c:pt>
                <c:pt idx="39">
                  <c:v>408</c:v>
                </c:pt>
                <c:pt idx="40">
                  <c:v>408</c:v>
                </c:pt>
                <c:pt idx="41">
                  <c:v>408</c:v>
                </c:pt>
                <c:pt idx="42">
                  <c:v>408</c:v>
                </c:pt>
                <c:pt idx="43">
                  <c:v>408</c:v>
                </c:pt>
                <c:pt idx="44">
                  <c:v>408</c:v>
                </c:pt>
                <c:pt idx="45">
                  <c:v>408</c:v>
                </c:pt>
                <c:pt idx="46">
                  <c:v>408</c:v>
                </c:pt>
                <c:pt idx="47">
                  <c:v>408</c:v>
                </c:pt>
                <c:pt idx="48">
                  <c:v>408</c:v>
                </c:pt>
                <c:pt idx="49">
                  <c:v>408</c:v>
                </c:pt>
                <c:pt idx="50">
                  <c:v>408</c:v>
                </c:pt>
                <c:pt idx="51">
                  <c:v>408</c:v>
                </c:pt>
                <c:pt idx="52">
                  <c:v>418</c:v>
                </c:pt>
                <c:pt idx="53">
                  <c:v>428</c:v>
                </c:pt>
                <c:pt idx="54">
                  <c:v>268</c:v>
                </c:pt>
                <c:pt idx="55">
                  <c:v>456.75</c:v>
                </c:pt>
                <c:pt idx="56">
                  <c:v>485.5</c:v>
                </c:pt>
                <c:pt idx="57">
                  <c:v>514.29999999999995</c:v>
                </c:pt>
                <c:pt idx="58">
                  <c:v>558</c:v>
                </c:pt>
                <c:pt idx="59">
                  <c:v>558</c:v>
                </c:pt>
                <c:pt idx="60">
                  <c:v>558</c:v>
                </c:pt>
                <c:pt idx="61">
                  <c:v>558</c:v>
                </c:pt>
                <c:pt idx="62">
                  <c:v>558</c:v>
                </c:pt>
                <c:pt idx="63">
                  <c:v>558</c:v>
                </c:pt>
                <c:pt idx="64">
                  <c:v>558</c:v>
                </c:pt>
                <c:pt idx="65">
                  <c:v>558</c:v>
                </c:pt>
                <c:pt idx="66">
                  <c:v>558</c:v>
                </c:pt>
                <c:pt idx="67">
                  <c:v>558</c:v>
                </c:pt>
                <c:pt idx="68">
                  <c:v>558</c:v>
                </c:pt>
                <c:pt idx="69">
                  <c:v>558</c:v>
                </c:pt>
                <c:pt idx="70">
                  <c:v>558</c:v>
                </c:pt>
                <c:pt idx="71">
                  <c:v>558</c:v>
                </c:pt>
                <c:pt idx="72">
                  <c:v>558</c:v>
                </c:pt>
                <c:pt idx="73">
                  <c:v>558</c:v>
                </c:pt>
                <c:pt idx="74">
                  <c:v>558</c:v>
                </c:pt>
                <c:pt idx="75">
                  <c:v>558</c:v>
                </c:pt>
                <c:pt idx="76">
                  <c:v>558</c:v>
                </c:pt>
                <c:pt idx="77">
                  <c:v>558</c:v>
                </c:pt>
                <c:pt idx="78">
                  <c:v>618</c:v>
                </c:pt>
                <c:pt idx="79">
                  <c:v>678</c:v>
                </c:pt>
                <c:pt idx="80">
                  <c:v>738</c:v>
                </c:pt>
                <c:pt idx="81">
                  <c:v>738</c:v>
                </c:pt>
                <c:pt idx="82">
                  <c:v>738</c:v>
                </c:pt>
                <c:pt idx="83">
                  <c:v>738</c:v>
                </c:pt>
                <c:pt idx="84">
                  <c:v>791</c:v>
                </c:pt>
                <c:pt idx="85">
                  <c:v>791</c:v>
                </c:pt>
                <c:pt idx="86">
                  <c:v>791</c:v>
                </c:pt>
                <c:pt idx="87">
                  <c:v>971</c:v>
                </c:pt>
                <c:pt idx="88">
                  <c:v>971</c:v>
                </c:pt>
                <c:pt idx="89">
                  <c:v>911</c:v>
                </c:pt>
                <c:pt idx="90">
                  <c:v>911</c:v>
                </c:pt>
                <c:pt idx="91">
                  <c:v>911</c:v>
                </c:pt>
                <c:pt idx="92">
                  <c:v>911</c:v>
                </c:pt>
                <c:pt idx="93">
                  <c:v>1014</c:v>
                </c:pt>
                <c:pt idx="94">
                  <c:v>1017</c:v>
                </c:pt>
                <c:pt idx="95">
                  <c:v>1106</c:v>
                </c:pt>
                <c:pt idx="96">
                  <c:v>1750</c:v>
                </c:pt>
                <c:pt idx="97">
                  <c:v>1750</c:v>
                </c:pt>
                <c:pt idx="98">
                  <c:v>1750</c:v>
                </c:pt>
                <c:pt idx="99">
                  <c:v>1922</c:v>
                </c:pt>
                <c:pt idx="100">
                  <c:v>1947</c:v>
                </c:pt>
                <c:pt idx="101">
                  <c:v>1947</c:v>
                </c:pt>
                <c:pt idx="102">
                  <c:v>2174</c:v>
                </c:pt>
                <c:pt idx="103">
                  <c:v>2219</c:v>
                </c:pt>
                <c:pt idx="104">
                  <c:v>2219</c:v>
                </c:pt>
                <c:pt idx="105">
                  <c:v>2219</c:v>
                </c:pt>
                <c:pt idx="106">
                  <c:v>2755</c:v>
                </c:pt>
                <c:pt idx="107">
                  <c:v>2939</c:v>
                </c:pt>
                <c:pt idx="108">
                  <c:v>2999</c:v>
                </c:pt>
                <c:pt idx="109">
                  <c:v>3278</c:v>
                </c:pt>
                <c:pt idx="110">
                  <c:v>3278</c:v>
                </c:pt>
                <c:pt idx="111">
                  <c:v>3278</c:v>
                </c:pt>
                <c:pt idx="112">
                  <c:v>3278</c:v>
                </c:pt>
                <c:pt idx="113">
                  <c:v>3700</c:v>
                </c:pt>
                <c:pt idx="114">
                  <c:v>3704</c:v>
                </c:pt>
                <c:pt idx="115">
                  <c:v>3704</c:v>
                </c:pt>
                <c:pt idx="116">
                  <c:v>3704</c:v>
                </c:pt>
                <c:pt idx="117">
                  <c:v>3857</c:v>
                </c:pt>
                <c:pt idx="118">
                  <c:v>3897</c:v>
                </c:pt>
                <c:pt idx="119">
                  <c:v>3857</c:v>
                </c:pt>
                <c:pt idx="120">
                  <c:v>3857</c:v>
                </c:pt>
                <c:pt idx="121">
                  <c:v>3857</c:v>
                </c:pt>
                <c:pt idx="122">
                  <c:v>3857</c:v>
                </c:pt>
                <c:pt idx="123">
                  <c:v>4129</c:v>
                </c:pt>
                <c:pt idx="124">
                  <c:v>4575</c:v>
                </c:pt>
                <c:pt idx="125">
                  <c:v>4897</c:v>
                </c:pt>
                <c:pt idx="126">
                  <c:v>4598</c:v>
                </c:pt>
                <c:pt idx="127">
                  <c:v>4598</c:v>
                </c:pt>
                <c:pt idx="128">
                  <c:v>4580</c:v>
                </c:pt>
                <c:pt idx="129">
                  <c:v>4235.9999999999991</c:v>
                </c:pt>
                <c:pt idx="130">
                  <c:v>4256</c:v>
                </c:pt>
                <c:pt idx="131">
                  <c:v>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8A-411F-9FC1-C6E1D7935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92799"/>
        <c:axId val="1800887856"/>
      </c:lineChart>
      <c:lineChart>
        <c:grouping val="standard"/>
        <c:varyColors val="0"/>
        <c:ser>
          <c:idx val="2"/>
          <c:order val="2"/>
          <c:tx>
            <c:v>Combined (Y2)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Capacity!$A$2:$A$169</c15:sqref>
                  </c15:fullRef>
                </c:ext>
              </c:extLst>
              <c:f>Capacity!$A$38:$A$169</c:f>
              <c:numCache>
                <c:formatCode>mmm\-yy</c:formatCode>
                <c:ptCount val="13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Capacity!$D$2:$D$169</c15:sqref>
                  </c15:fullRef>
                </c:ext>
              </c:extLst>
              <c:f>Capacity!$D$38:$D$169</c:f>
              <c:numCache>
                <c:formatCode>#,##0_);[Red]\(#,##0\)</c:formatCode>
                <c:ptCount val="132"/>
                <c:pt idx="0">
                  <c:v>2119</c:v>
                </c:pt>
                <c:pt idx="1">
                  <c:v>2262</c:v>
                </c:pt>
                <c:pt idx="2">
                  <c:v>2233</c:v>
                </c:pt>
                <c:pt idx="3">
                  <c:v>2239</c:v>
                </c:pt>
                <c:pt idx="4">
                  <c:v>2280</c:v>
                </c:pt>
                <c:pt idx="5">
                  <c:v>2162</c:v>
                </c:pt>
                <c:pt idx="6">
                  <c:v>2266</c:v>
                </c:pt>
                <c:pt idx="7">
                  <c:v>2278</c:v>
                </c:pt>
                <c:pt idx="8">
                  <c:v>2291</c:v>
                </c:pt>
                <c:pt idx="9">
                  <c:v>2306</c:v>
                </c:pt>
                <c:pt idx="10">
                  <c:v>2316</c:v>
                </c:pt>
                <c:pt idx="11">
                  <c:v>2355</c:v>
                </c:pt>
                <c:pt idx="12">
                  <c:v>2361</c:v>
                </c:pt>
                <c:pt idx="13">
                  <c:v>2410</c:v>
                </c:pt>
                <c:pt idx="14">
                  <c:v>2415</c:v>
                </c:pt>
                <c:pt idx="15">
                  <c:v>2464</c:v>
                </c:pt>
                <c:pt idx="16">
                  <c:v>2423</c:v>
                </c:pt>
                <c:pt idx="17">
                  <c:v>2406</c:v>
                </c:pt>
                <c:pt idx="18">
                  <c:v>2386</c:v>
                </c:pt>
                <c:pt idx="19">
                  <c:v>2389</c:v>
                </c:pt>
                <c:pt idx="20">
                  <c:v>2409</c:v>
                </c:pt>
                <c:pt idx="21">
                  <c:v>2421</c:v>
                </c:pt>
                <c:pt idx="22">
                  <c:v>2377</c:v>
                </c:pt>
                <c:pt idx="23">
                  <c:v>2284</c:v>
                </c:pt>
                <c:pt idx="24">
                  <c:v>2536</c:v>
                </c:pt>
                <c:pt idx="25">
                  <c:v>2547</c:v>
                </c:pt>
                <c:pt idx="26">
                  <c:v>2607</c:v>
                </c:pt>
                <c:pt idx="27">
                  <c:v>2623</c:v>
                </c:pt>
                <c:pt idx="28">
                  <c:v>2633</c:v>
                </c:pt>
                <c:pt idx="29">
                  <c:v>2683</c:v>
                </c:pt>
                <c:pt idx="30">
                  <c:v>2683</c:v>
                </c:pt>
                <c:pt idx="31">
                  <c:v>2683</c:v>
                </c:pt>
                <c:pt idx="32">
                  <c:v>2687</c:v>
                </c:pt>
                <c:pt idx="33">
                  <c:v>2720</c:v>
                </c:pt>
                <c:pt idx="34">
                  <c:v>2720</c:v>
                </c:pt>
                <c:pt idx="35">
                  <c:v>2724</c:v>
                </c:pt>
                <c:pt idx="36">
                  <c:v>2724</c:v>
                </c:pt>
                <c:pt idx="37">
                  <c:v>2724</c:v>
                </c:pt>
                <c:pt idx="38">
                  <c:v>2770</c:v>
                </c:pt>
                <c:pt idx="39">
                  <c:v>2736</c:v>
                </c:pt>
                <c:pt idx="40">
                  <c:v>2737</c:v>
                </c:pt>
                <c:pt idx="41">
                  <c:v>2737</c:v>
                </c:pt>
                <c:pt idx="42">
                  <c:v>2738</c:v>
                </c:pt>
                <c:pt idx="43">
                  <c:v>2729</c:v>
                </c:pt>
                <c:pt idx="44">
                  <c:v>2758</c:v>
                </c:pt>
                <c:pt idx="45">
                  <c:v>2765</c:v>
                </c:pt>
                <c:pt idx="46">
                  <c:v>2825</c:v>
                </c:pt>
                <c:pt idx="47">
                  <c:v>2809</c:v>
                </c:pt>
                <c:pt idx="48">
                  <c:v>2957</c:v>
                </c:pt>
                <c:pt idx="49">
                  <c:v>2958</c:v>
                </c:pt>
                <c:pt idx="50">
                  <c:v>2956</c:v>
                </c:pt>
                <c:pt idx="51">
                  <c:v>2975</c:v>
                </c:pt>
                <c:pt idx="52">
                  <c:v>2929</c:v>
                </c:pt>
                <c:pt idx="53">
                  <c:v>2940</c:v>
                </c:pt>
                <c:pt idx="54">
                  <c:v>2780</c:v>
                </c:pt>
                <c:pt idx="55">
                  <c:v>2968.75</c:v>
                </c:pt>
                <c:pt idx="56">
                  <c:v>2997.5</c:v>
                </c:pt>
                <c:pt idx="57">
                  <c:v>3031.3</c:v>
                </c:pt>
                <c:pt idx="58">
                  <c:v>3060</c:v>
                </c:pt>
                <c:pt idx="59">
                  <c:v>3065</c:v>
                </c:pt>
                <c:pt idx="60">
                  <c:v>3122</c:v>
                </c:pt>
                <c:pt idx="61">
                  <c:v>3121</c:v>
                </c:pt>
                <c:pt idx="62">
                  <c:v>3121</c:v>
                </c:pt>
                <c:pt idx="63">
                  <c:v>3121</c:v>
                </c:pt>
                <c:pt idx="64">
                  <c:v>3111</c:v>
                </c:pt>
                <c:pt idx="65">
                  <c:v>3062</c:v>
                </c:pt>
                <c:pt idx="66">
                  <c:v>3119</c:v>
                </c:pt>
                <c:pt idx="67">
                  <c:v>3119</c:v>
                </c:pt>
                <c:pt idx="68">
                  <c:v>3105</c:v>
                </c:pt>
                <c:pt idx="69">
                  <c:v>3073</c:v>
                </c:pt>
                <c:pt idx="70">
                  <c:v>3068</c:v>
                </c:pt>
                <c:pt idx="71">
                  <c:v>3071</c:v>
                </c:pt>
                <c:pt idx="72">
                  <c:v>3073</c:v>
                </c:pt>
                <c:pt idx="73">
                  <c:v>3073</c:v>
                </c:pt>
                <c:pt idx="74">
                  <c:v>3072</c:v>
                </c:pt>
                <c:pt idx="75">
                  <c:v>3072</c:v>
                </c:pt>
                <c:pt idx="76">
                  <c:v>3072</c:v>
                </c:pt>
                <c:pt idx="77">
                  <c:v>3072</c:v>
                </c:pt>
                <c:pt idx="78">
                  <c:v>3127</c:v>
                </c:pt>
                <c:pt idx="79">
                  <c:v>3137</c:v>
                </c:pt>
                <c:pt idx="80">
                  <c:v>3198</c:v>
                </c:pt>
                <c:pt idx="81">
                  <c:v>3192</c:v>
                </c:pt>
                <c:pt idx="82">
                  <c:v>3189</c:v>
                </c:pt>
                <c:pt idx="83">
                  <c:v>3214</c:v>
                </c:pt>
                <c:pt idx="84">
                  <c:v>3185</c:v>
                </c:pt>
                <c:pt idx="85">
                  <c:v>3185</c:v>
                </c:pt>
                <c:pt idx="86">
                  <c:v>3201</c:v>
                </c:pt>
                <c:pt idx="87">
                  <c:v>3381</c:v>
                </c:pt>
                <c:pt idx="88">
                  <c:v>3399</c:v>
                </c:pt>
                <c:pt idx="89">
                  <c:v>3339</c:v>
                </c:pt>
                <c:pt idx="90">
                  <c:v>3341</c:v>
                </c:pt>
                <c:pt idx="91">
                  <c:v>3341</c:v>
                </c:pt>
                <c:pt idx="92">
                  <c:v>3373</c:v>
                </c:pt>
                <c:pt idx="93">
                  <c:v>3475</c:v>
                </c:pt>
                <c:pt idx="94">
                  <c:v>3406</c:v>
                </c:pt>
                <c:pt idx="95">
                  <c:v>3350</c:v>
                </c:pt>
                <c:pt idx="96">
                  <c:v>4013</c:v>
                </c:pt>
                <c:pt idx="97">
                  <c:v>4035</c:v>
                </c:pt>
                <c:pt idx="98">
                  <c:v>4034</c:v>
                </c:pt>
                <c:pt idx="99">
                  <c:v>4147</c:v>
                </c:pt>
                <c:pt idx="100">
                  <c:v>4170</c:v>
                </c:pt>
                <c:pt idx="101">
                  <c:v>4170</c:v>
                </c:pt>
                <c:pt idx="102">
                  <c:v>4271</c:v>
                </c:pt>
                <c:pt idx="103">
                  <c:v>4311</c:v>
                </c:pt>
                <c:pt idx="104">
                  <c:v>4311</c:v>
                </c:pt>
                <c:pt idx="105">
                  <c:v>4311</c:v>
                </c:pt>
                <c:pt idx="106">
                  <c:v>4847</c:v>
                </c:pt>
                <c:pt idx="107">
                  <c:v>5029</c:v>
                </c:pt>
                <c:pt idx="108">
                  <c:v>5050</c:v>
                </c:pt>
                <c:pt idx="109">
                  <c:v>5341</c:v>
                </c:pt>
                <c:pt idx="110">
                  <c:v>5365</c:v>
                </c:pt>
                <c:pt idx="111">
                  <c:v>5365</c:v>
                </c:pt>
                <c:pt idx="112">
                  <c:v>5360</c:v>
                </c:pt>
                <c:pt idx="113">
                  <c:v>5782</c:v>
                </c:pt>
                <c:pt idx="114">
                  <c:v>5784</c:v>
                </c:pt>
                <c:pt idx="115">
                  <c:v>5784</c:v>
                </c:pt>
                <c:pt idx="116">
                  <c:v>5774</c:v>
                </c:pt>
                <c:pt idx="117">
                  <c:v>5936</c:v>
                </c:pt>
                <c:pt idx="118">
                  <c:v>5976</c:v>
                </c:pt>
                <c:pt idx="119">
                  <c:v>5930</c:v>
                </c:pt>
                <c:pt idx="120">
                  <c:v>5930</c:v>
                </c:pt>
                <c:pt idx="121">
                  <c:v>5841</c:v>
                </c:pt>
                <c:pt idx="122">
                  <c:v>5841</c:v>
                </c:pt>
                <c:pt idx="123">
                  <c:v>6120</c:v>
                </c:pt>
                <c:pt idx="124">
                  <c:v>6597</c:v>
                </c:pt>
                <c:pt idx="125">
                  <c:v>6919</c:v>
                </c:pt>
                <c:pt idx="126">
                  <c:v>6620</c:v>
                </c:pt>
                <c:pt idx="127">
                  <c:v>6593</c:v>
                </c:pt>
                <c:pt idx="128">
                  <c:v>6575</c:v>
                </c:pt>
                <c:pt idx="129">
                  <c:v>6230.9999999999991</c:v>
                </c:pt>
                <c:pt idx="130">
                  <c:v>6251</c:v>
                </c:pt>
                <c:pt idx="131">
                  <c:v>6277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8A-411F-9FC1-C6E1D7935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257615"/>
        <c:axId val="862187519"/>
      </c:lineChart>
      <c:dateAx>
        <c:axId val="1724927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00887856"/>
        <c:crosses val="autoZero"/>
        <c:auto val="1"/>
        <c:lblOffset val="100"/>
        <c:baseTimeUnit val="months"/>
      </c:dateAx>
      <c:valAx>
        <c:axId val="1800887856"/>
        <c:scaling>
          <c:orientation val="minMax"/>
          <c:max val="75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mn gal per 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2492799"/>
        <c:crosses val="autoZero"/>
        <c:crossBetween val="between"/>
        <c:majorUnit val="2500"/>
      </c:valAx>
      <c:valAx>
        <c:axId val="862187519"/>
        <c:scaling>
          <c:orientation val="minMax"/>
          <c:max val="75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000"/>
                  <a:t>Domestic Biomass-Based Diesel Cap </a:t>
                </a:r>
              </a:p>
              <a:p>
                <a:pPr>
                  <a:defRPr sz="1000"/>
                </a:pPr>
                <a:r>
                  <a:rPr lang="en-US" sz="1000"/>
                  <a:t>(mn gal per 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64257615"/>
        <c:crosses val="max"/>
        <c:crossBetween val="between"/>
        <c:majorUnit val="2500"/>
      </c:valAx>
      <c:dateAx>
        <c:axId val="46425761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62187519"/>
        <c:crosses val="autoZero"/>
        <c:auto val="1"/>
        <c:lblOffset val="100"/>
        <c:baseTimeUnit val="months"/>
      </c:date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583118985126859"/>
          <c:y val="0.21587343248760571"/>
          <c:w val="0.37087160979877515"/>
          <c:h val="0.20121937882764654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rgbClr val="323232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/>
              <a:t>US Domestic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72747156605424"/>
          <c:y val="0.13544473607465735"/>
          <c:w val="0.79202930883639544"/>
          <c:h val="0.7042297317002042"/>
        </c:manualLayout>
      </c:layout>
      <c:areaChart>
        <c:grouping val="standard"/>
        <c:varyColors val="0"/>
        <c:ser>
          <c:idx val="0"/>
          <c:order val="0"/>
          <c:tx>
            <c:v>5-Yr Range</c:v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cat>
            <c:strRef>
              <c:f>Diesel!$AJ$21:$AJ$32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Diesel!$AK$21:$AK$32</c:f>
              <c:numCache>
                <c:formatCode>#,##0</c:formatCode>
                <c:ptCount val="12"/>
                <c:pt idx="0">
                  <c:v>6834.87</c:v>
                </c:pt>
                <c:pt idx="1">
                  <c:v>5862.0659999999998</c:v>
                </c:pt>
                <c:pt idx="2">
                  <c:v>6515.3339999999998</c:v>
                </c:pt>
                <c:pt idx="3">
                  <c:v>6399.2879999999996</c:v>
                </c:pt>
                <c:pt idx="4">
                  <c:v>6785.6459999999997</c:v>
                </c:pt>
                <c:pt idx="5">
                  <c:v>6741.8819999999996</c:v>
                </c:pt>
                <c:pt idx="6">
                  <c:v>6830.04</c:v>
                </c:pt>
                <c:pt idx="7">
                  <c:v>6856.9620000000004</c:v>
                </c:pt>
                <c:pt idx="8">
                  <c:v>6530.8739999999998</c:v>
                </c:pt>
                <c:pt idx="9">
                  <c:v>6610.4639999999999</c:v>
                </c:pt>
                <c:pt idx="10">
                  <c:v>6726.384</c:v>
                </c:pt>
                <c:pt idx="11">
                  <c:v>6912.8639999999996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3-4EC1-88F6-6FF16AACE0E7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cat>
            <c:strRef>
              <c:f>Diesel!$AJ$21:$AJ$32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Diesel!$AL$21:$AL$32</c:f>
              <c:numCache>
                <c:formatCode>#,##0</c:formatCode>
                <c:ptCount val="12"/>
                <c:pt idx="0">
                  <c:v>5937.33</c:v>
                </c:pt>
                <c:pt idx="1">
                  <c:v>4447.59</c:v>
                </c:pt>
                <c:pt idx="2">
                  <c:v>5884.0739999999996</c:v>
                </c:pt>
                <c:pt idx="3">
                  <c:v>5790.8760000000002</c:v>
                </c:pt>
                <c:pt idx="4">
                  <c:v>6177.99</c:v>
                </c:pt>
                <c:pt idx="5">
                  <c:v>5770.38</c:v>
                </c:pt>
                <c:pt idx="6">
                  <c:v>6305.25</c:v>
                </c:pt>
                <c:pt idx="7">
                  <c:v>6173.58</c:v>
                </c:pt>
                <c:pt idx="8">
                  <c:v>5661.81</c:v>
                </c:pt>
                <c:pt idx="9">
                  <c:v>5473.8180000000002</c:v>
                </c:pt>
                <c:pt idx="10">
                  <c:v>5697.72</c:v>
                </c:pt>
                <c:pt idx="11">
                  <c:v>6032.04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C3-4EC1-88F6-6FF16AACE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908975"/>
        <c:axId val="1915441455"/>
      </c:areaChart>
      <c:lineChart>
        <c:grouping val="standard"/>
        <c:varyColors val="0"/>
        <c:ser>
          <c:idx val="2"/>
          <c:order val="2"/>
          <c:tx>
            <c:v>5-Yr Average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Diesel!$AM$21:$AM$32</c:f>
              <c:numCache>
                <c:formatCode>#,##0</c:formatCode>
                <c:ptCount val="12"/>
                <c:pt idx="0">
                  <c:v>6319.8912</c:v>
                </c:pt>
                <c:pt idx="1">
                  <c:v>5421.2424000000001</c:v>
                </c:pt>
                <c:pt idx="2">
                  <c:v>6283.4436000000005</c:v>
                </c:pt>
                <c:pt idx="3">
                  <c:v>6130.1352000000006</c:v>
                </c:pt>
                <c:pt idx="4">
                  <c:v>6439.4651999999996</c:v>
                </c:pt>
                <c:pt idx="5">
                  <c:v>6326.1324000000004</c:v>
                </c:pt>
                <c:pt idx="6">
                  <c:v>6526.2960000000003</c:v>
                </c:pt>
                <c:pt idx="7">
                  <c:v>6512.6459999999997</c:v>
                </c:pt>
                <c:pt idx="8">
                  <c:v>6095.9639999999999</c:v>
                </c:pt>
                <c:pt idx="9">
                  <c:v>6132.3108000000002</c:v>
                </c:pt>
                <c:pt idx="10">
                  <c:v>6340.3199999999988</c:v>
                </c:pt>
                <c:pt idx="11">
                  <c:v>6506.0856000000003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C3-4EC1-88F6-6FF16AACE0E7}"/>
            </c:ext>
          </c:extLst>
        </c:ser>
        <c:ser>
          <c:idx val="3"/>
          <c:order val="3"/>
          <c:tx>
            <c:v>2023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C3-4EC1-88F6-6FF16AACE0E7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A8C3-4EC1-88F6-6FF16AACE0E7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A8C3-4EC1-88F6-6FF16AACE0E7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A8C3-4EC1-88F6-6FF16AACE0E7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A8C3-4EC1-88F6-6FF16AACE0E7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A8C3-4EC1-88F6-6FF16AACE0E7}"/>
              </c:ext>
            </c:extLst>
          </c:dPt>
          <c:val>
            <c:numRef>
              <c:f>Diesel!$X$21:$X$32</c:f>
              <c:numCache>
                <c:formatCode>#,##0</c:formatCode>
                <c:ptCount val="12"/>
                <c:pt idx="0">
                  <c:v>6123.6840000000002</c:v>
                </c:pt>
                <c:pt idx="1">
                  <c:v>5522.4539999999997</c:v>
                </c:pt>
                <c:pt idx="2">
                  <c:v>6100.2060000000001</c:v>
                </c:pt>
                <c:pt idx="3">
                  <c:v>5993.4840000000004</c:v>
                </c:pt>
                <c:pt idx="4">
                  <c:v>6466.1940000000004</c:v>
                </c:pt>
                <c:pt idx="5">
                  <c:v>6295.38</c:v>
                </c:pt>
                <c:pt idx="6">
                  <c:v>6501.7259999999997</c:v>
                </c:pt>
                <c:pt idx="7">
                  <c:v>6558.09</c:v>
                </c:pt>
                <c:pt idx="8">
                  <c:v>6203.5259999999998</c:v>
                </c:pt>
                <c:pt idx="9">
                  <c:v>6180.6779999999999</c:v>
                </c:pt>
                <c:pt idx="10">
                  <c:v>6449.0159999999996</c:v>
                </c:pt>
                <c:pt idx="11">
                  <c:v>6827.1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8C3-4EC1-88F6-6FF16AACE0E7}"/>
            </c:ext>
          </c:extLst>
        </c:ser>
        <c:ser>
          <c:idx val="4"/>
          <c:order val="4"/>
          <c:tx>
            <c:v>2024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Diesel!$Y$21:$Y$32</c:f>
              <c:numCache>
                <c:formatCode>#,##0</c:formatCode>
                <c:ptCount val="12"/>
                <c:pt idx="0">
                  <c:v>6049.4279999999999</c:v>
                </c:pt>
                <c:pt idx="1">
                  <c:v>5259.576</c:v>
                </c:pt>
                <c:pt idx="2">
                  <c:v>6156.9059999999999</c:v>
                </c:pt>
                <c:pt idx="3">
                  <c:v>6036.0720000000001</c:v>
                </c:pt>
                <c:pt idx="4">
                  <c:v>6988.0455221883058</c:v>
                </c:pt>
                <c:pt idx="5">
                  <c:v>6373.8577220031193</c:v>
                </c:pt>
                <c:pt idx="6">
                  <c:v>6575.5313871834351</c:v>
                </c:pt>
                <c:pt idx="7">
                  <c:v>6561.7784094706476</c:v>
                </c:pt>
                <c:pt idx="8">
                  <c:v>6141.9528959673726</c:v>
                </c:pt>
                <c:pt idx="9">
                  <c:v>6178.5739018524373</c:v>
                </c:pt>
                <c:pt idx="10">
                  <c:v>6388.152355453517</c:v>
                </c:pt>
                <c:pt idx="11">
                  <c:v>6890.1258058811509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C3-4EC1-88F6-6FF16AACE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908975"/>
        <c:axId val="1915441455"/>
      </c:lineChart>
      <c:catAx>
        <c:axId val="161590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5441455"/>
        <c:crosses val="autoZero"/>
        <c:auto val="1"/>
        <c:lblAlgn val="ctr"/>
        <c:lblOffset val="100"/>
        <c:noMultiLvlLbl val="0"/>
      </c:catAx>
      <c:valAx>
        <c:axId val="1915441455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0"/>
                  <a:t>million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5908975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42946369203849522"/>
          <c:y val="0.69752843394575681"/>
          <c:w val="0.51694313210848641"/>
          <c:h val="0.13870990084572762"/>
        </c:manualLayout>
      </c:layout>
      <c:overlay val="0"/>
      <c:spPr>
        <a:noFill/>
        <a:ln w="222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US Domestic Renewable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17191601049868"/>
          <c:y val="0.14933373111320583"/>
          <c:w val="0.82258486439195111"/>
          <c:h val="0.7042297317002042"/>
        </c:manualLayout>
      </c:layout>
      <c:areaChart>
        <c:grouping val="standard"/>
        <c:varyColors val="0"/>
        <c:ser>
          <c:idx val="0"/>
          <c:order val="0"/>
          <c:tx>
            <c:v>5-Yr Range</c:v>
          </c:tx>
          <c:spPr>
            <a:solidFill>
              <a:srgbClr val="ECECEC"/>
            </a:solidFill>
            <a:ln>
              <a:noFill/>
            </a:ln>
            <a:effectLst/>
          </c:spPr>
          <c:cat>
            <c:strRef>
              <c:f>Diesel!$AJ$21:$AJ$32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RD!$AK$25:$AK$36</c:f>
              <c:numCache>
                <c:formatCode>#,##0</c:formatCode>
                <c:ptCount val="12"/>
                <c:pt idx="0">
                  <c:v>167.74199999999999</c:v>
                </c:pt>
                <c:pt idx="1">
                  <c:v>157.56800000000001</c:v>
                </c:pt>
                <c:pt idx="2">
                  <c:v>199.101</c:v>
                </c:pt>
                <c:pt idx="3">
                  <c:v>201.11699999999999</c:v>
                </c:pt>
                <c:pt idx="4">
                  <c:v>225.84</c:v>
                </c:pt>
                <c:pt idx="5">
                  <c:v>230.23400000000001</c:v>
                </c:pt>
                <c:pt idx="6">
                  <c:v>213.59399999999999</c:v>
                </c:pt>
                <c:pt idx="7">
                  <c:v>243.501</c:v>
                </c:pt>
                <c:pt idx="8">
                  <c:v>250.65600000000001</c:v>
                </c:pt>
                <c:pt idx="9">
                  <c:v>210.74600000000001</c:v>
                </c:pt>
                <c:pt idx="10">
                  <c:v>223.488</c:v>
                </c:pt>
                <c:pt idx="11">
                  <c:v>269.65499999999997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2-45D7-AE81-95F5C463C012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cat>
            <c:strRef>
              <c:f>Diesel!$AJ$21:$AJ$32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RD!$AL$25:$AL$36</c:f>
              <c:numCache>
                <c:formatCode>#,##0</c:formatCode>
                <c:ptCount val="12"/>
                <c:pt idx="0">
                  <c:v>36.487000000000002</c:v>
                </c:pt>
                <c:pt idx="1">
                  <c:v>37.301000000000002</c:v>
                </c:pt>
                <c:pt idx="2">
                  <c:v>35.74</c:v>
                </c:pt>
                <c:pt idx="3">
                  <c:v>38.557000000000002</c:v>
                </c:pt>
                <c:pt idx="4">
                  <c:v>40.383000000000003</c:v>
                </c:pt>
                <c:pt idx="5">
                  <c:v>39.761000000000003</c:v>
                </c:pt>
                <c:pt idx="6">
                  <c:v>46.281999999999996</c:v>
                </c:pt>
                <c:pt idx="7">
                  <c:v>30.18</c:v>
                </c:pt>
                <c:pt idx="8">
                  <c:v>40.692</c:v>
                </c:pt>
                <c:pt idx="9">
                  <c:v>25.23</c:v>
                </c:pt>
                <c:pt idx="10">
                  <c:v>42.389000000000003</c:v>
                </c:pt>
                <c:pt idx="11">
                  <c:v>52.795999999999999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2-45D7-AE81-95F5C463C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908975"/>
        <c:axId val="1915441455"/>
      </c:areaChart>
      <c:lineChart>
        <c:grouping val="standard"/>
        <c:varyColors val="0"/>
        <c:ser>
          <c:idx val="2"/>
          <c:order val="2"/>
          <c:tx>
            <c:v>5-Yr Avg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RD!$AM$25:$AM$36</c:f>
              <c:numCache>
                <c:formatCode>#,##0</c:formatCode>
                <c:ptCount val="12"/>
                <c:pt idx="0">
                  <c:v>83.218599999999995</c:v>
                </c:pt>
                <c:pt idx="1">
                  <c:v>76.979799999999997</c:v>
                </c:pt>
                <c:pt idx="2">
                  <c:v>89.2136</c:v>
                </c:pt>
                <c:pt idx="3">
                  <c:v>90.113799999999998</c:v>
                </c:pt>
                <c:pt idx="4">
                  <c:v>101.0172</c:v>
                </c:pt>
                <c:pt idx="5">
                  <c:v>101.75319999999999</c:v>
                </c:pt>
                <c:pt idx="6">
                  <c:v>103.1018</c:v>
                </c:pt>
                <c:pt idx="7">
                  <c:v>102.43320000000001</c:v>
                </c:pt>
                <c:pt idx="8">
                  <c:v>107.81440000000001</c:v>
                </c:pt>
                <c:pt idx="9">
                  <c:v>99.807400000000001</c:v>
                </c:pt>
                <c:pt idx="10">
                  <c:v>111.03240000000001</c:v>
                </c:pt>
                <c:pt idx="11">
                  <c:v>129.29900000000001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82-45D7-AE81-95F5C463C012}"/>
            </c:ext>
          </c:extLst>
        </c:ser>
        <c:ser>
          <c:idx val="3"/>
          <c:order val="3"/>
          <c:tx>
            <c:v>2023</c:v>
          </c:tx>
          <c:spPr>
            <a:ln w="22225" cap="rnd" cmpd="sng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circle"/>
              <c:size val="9"/>
              <c:spPr>
                <a:noFill/>
                <a:ln w="15875">
                  <a:noFill/>
                </a:ln>
                <a:effectLst/>
              </c:spPr>
            </c:marker>
            <c:bubble3D val="0"/>
            <c:spPr>
              <a:ln w="22225" cap="rnd" cmpd="sng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82-45D7-AE81-95F5C463C012}"/>
              </c:ext>
            </c:extLst>
          </c:dPt>
          <c:dPt>
            <c:idx val="4"/>
            <c:marker>
              <c:symbol val="circle"/>
              <c:size val="9"/>
              <c:spPr>
                <a:noFill/>
                <a:ln w="15875">
                  <a:noFill/>
                </a:ln>
                <a:effectLst/>
              </c:spPr>
            </c:marker>
            <c:bubble3D val="0"/>
            <c:spPr>
              <a:ln w="22225" cap="rnd" cmpd="sng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82-45D7-AE81-95F5C463C012}"/>
              </c:ext>
            </c:extLst>
          </c:dPt>
          <c:dPt>
            <c:idx val="5"/>
            <c:marker>
              <c:symbol val="circle"/>
              <c:size val="9"/>
              <c:spPr>
                <a:noFill/>
                <a:ln w="15875">
                  <a:noFill/>
                </a:ln>
                <a:effectLst/>
              </c:spPr>
            </c:marker>
            <c:bubble3D val="0"/>
            <c:spPr>
              <a:ln w="22225" cap="rnd" cmpd="sng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82-45D7-AE81-95F5C463C012}"/>
              </c:ext>
            </c:extLst>
          </c:dPt>
          <c:dPt>
            <c:idx val="6"/>
            <c:marker>
              <c:symbol val="circle"/>
              <c:size val="9"/>
              <c:spPr>
                <a:noFill/>
                <a:ln w="15875">
                  <a:noFill/>
                </a:ln>
                <a:effectLst/>
              </c:spPr>
            </c:marker>
            <c:bubble3D val="0"/>
            <c:spPr>
              <a:ln w="22225" cap="rnd" cmpd="sng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D782-45D7-AE81-95F5C463C012}"/>
              </c:ext>
            </c:extLst>
          </c:dPt>
          <c:dPt>
            <c:idx val="7"/>
            <c:marker>
              <c:symbol val="circle"/>
              <c:size val="9"/>
              <c:spPr>
                <a:noFill/>
                <a:ln w="15875">
                  <a:noFill/>
                </a:ln>
                <a:effectLst/>
              </c:spPr>
            </c:marker>
            <c:bubble3D val="0"/>
            <c:spPr>
              <a:ln w="22225" cap="rnd" cmpd="sng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82-45D7-AE81-95F5C463C012}"/>
              </c:ext>
            </c:extLst>
          </c:dPt>
          <c:dPt>
            <c:idx val="8"/>
            <c:marker>
              <c:symbol val="circle"/>
              <c:size val="9"/>
              <c:spPr>
                <a:noFill/>
                <a:ln w="15875">
                  <a:noFill/>
                </a:ln>
                <a:effectLst/>
              </c:spPr>
            </c:marker>
            <c:bubble3D val="0"/>
            <c:spPr>
              <a:ln w="22225" cap="rnd" cmpd="sng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D782-45D7-AE81-95F5C463C012}"/>
              </c:ext>
            </c:extLst>
          </c:dPt>
          <c:val>
            <c:numRef>
              <c:f>RD!$X$24:$X$35</c:f>
              <c:numCache>
                <c:formatCode>#,##0_);[Red]\(#,##0\)</c:formatCode>
                <c:ptCount val="12"/>
                <c:pt idx="0">
                  <c:v>167.74199999999999</c:v>
                </c:pt>
                <c:pt idx="1">
                  <c:v>157.56800000000001</c:v>
                </c:pt>
                <c:pt idx="2">
                  <c:v>199.101</c:v>
                </c:pt>
                <c:pt idx="3">
                  <c:v>201.11699999999999</c:v>
                </c:pt>
                <c:pt idx="4">
                  <c:v>225.84</c:v>
                </c:pt>
                <c:pt idx="5">
                  <c:v>230.23400000000001</c:v>
                </c:pt>
                <c:pt idx="6">
                  <c:v>213.59399999999999</c:v>
                </c:pt>
                <c:pt idx="7">
                  <c:v>243.501</c:v>
                </c:pt>
                <c:pt idx="8">
                  <c:v>250.65600000000001</c:v>
                </c:pt>
                <c:pt idx="9">
                  <c:v>210.74600000000001</c:v>
                </c:pt>
                <c:pt idx="10">
                  <c:v>223.488</c:v>
                </c:pt>
                <c:pt idx="11">
                  <c:v>269.65499999999997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782-45D7-AE81-95F5C463C012}"/>
            </c:ext>
          </c:extLst>
        </c:ser>
        <c:ser>
          <c:idx val="4"/>
          <c:order val="4"/>
          <c:tx>
            <c:v>2024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RD!$Y$24:$Y$35</c:f>
              <c:numCache>
                <c:formatCode>#,##0_);[Red]\(#,##0\)</c:formatCode>
                <c:ptCount val="12"/>
                <c:pt idx="0">
                  <c:v>237.262</c:v>
                </c:pt>
                <c:pt idx="1">
                  <c:v>236.21799999999999</c:v>
                </c:pt>
                <c:pt idx="2">
                  <c:v>251.34800000000001</c:v>
                </c:pt>
                <c:pt idx="3">
                  <c:v>261.32400000000001</c:v>
                </c:pt>
                <c:pt idx="4">
                  <c:v>220.40273500000001</c:v>
                </c:pt>
                <c:pt idx="5">
                  <c:v>282.589564</c:v>
                </c:pt>
                <c:pt idx="6">
                  <c:v>292.63335999999998</c:v>
                </c:pt>
                <c:pt idx="7">
                  <c:v>260.49037299999998</c:v>
                </c:pt>
                <c:pt idx="8">
                  <c:v>257.92793699999999</c:v>
                </c:pt>
                <c:pt idx="9">
                  <c:v>289.55729300000002</c:v>
                </c:pt>
                <c:pt idx="10">
                  <c:v>261.18942399999997</c:v>
                </c:pt>
                <c:pt idx="11">
                  <c:v>314.11158899999998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782-45D7-AE81-95F5C463C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908975"/>
        <c:axId val="1915441455"/>
      </c:lineChart>
      <c:catAx>
        <c:axId val="161590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5441455"/>
        <c:crosses val="autoZero"/>
        <c:auto val="1"/>
        <c:lblAlgn val="ctr"/>
        <c:lblOffset val="0"/>
        <c:noMultiLvlLbl val="0"/>
      </c:catAx>
      <c:valAx>
        <c:axId val="19154414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0"/>
                  <a:t>million gallons</a:t>
                </a:r>
              </a:p>
            </c:rich>
          </c:tx>
          <c:layout>
            <c:manualLayout>
              <c:xMode val="edge"/>
              <c:yMode val="edge"/>
              <c:x val="2.4636920384951862E-3"/>
              <c:y val="0.283601268591426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5908975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16835258092738409"/>
          <c:y val="0.78549139690871972"/>
          <c:w val="0.77527646544181972"/>
          <c:h val="6.463582677165354E-2"/>
        </c:manualLayout>
      </c:layout>
      <c:overlay val="0"/>
      <c:spPr>
        <a:noFill/>
        <a:ln w="222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US Domestic Renewable Diesel Imports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2830271216098"/>
          <c:y val="0.12155584718576842"/>
          <c:w val="0.83647375328083984"/>
          <c:h val="0.71811862058909304"/>
        </c:manualLayout>
      </c:layout>
      <c:areaChart>
        <c:grouping val="standard"/>
        <c:varyColors val="0"/>
        <c:ser>
          <c:idx val="0"/>
          <c:order val="0"/>
          <c:tx>
            <c:v>5-Yr Range</c:v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cat>
            <c:strRef>
              <c:f>Diesel!$AJ$21:$AJ$32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RD!$AK$40:$AK$51</c:f>
              <c:numCache>
                <c:formatCode>#,##0</c:formatCode>
                <c:ptCount val="12"/>
                <c:pt idx="0">
                  <c:v>32.381999999999998</c:v>
                </c:pt>
                <c:pt idx="1">
                  <c:v>31.122</c:v>
                </c:pt>
                <c:pt idx="2">
                  <c:v>37.506</c:v>
                </c:pt>
                <c:pt idx="3">
                  <c:v>42.545999999999999</c:v>
                </c:pt>
                <c:pt idx="4">
                  <c:v>48.258000000000003</c:v>
                </c:pt>
                <c:pt idx="5">
                  <c:v>45.863999999999997</c:v>
                </c:pt>
                <c:pt idx="6">
                  <c:v>32.886000000000003</c:v>
                </c:pt>
                <c:pt idx="7">
                  <c:v>42.125999999999998</c:v>
                </c:pt>
                <c:pt idx="8">
                  <c:v>26.712</c:v>
                </c:pt>
                <c:pt idx="9">
                  <c:v>33.39</c:v>
                </c:pt>
                <c:pt idx="10">
                  <c:v>37.380000000000003</c:v>
                </c:pt>
                <c:pt idx="11">
                  <c:v>44.183999999999997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6-41A6-B093-75CE34590E36}"/>
            </c:ext>
          </c:extLst>
        </c:ser>
        <c:ser>
          <c:idx val="1"/>
          <c:order val="1"/>
          <c:spPr>
            <a:solidFill>
              <a:schemeClr val="bg1"/>
            </a:solidFill>
            <a:ln w="25400">
              <a:noFill/>
            </a:ln>
            <a:effectLst/>
          </c:spPr>
          <c:cat>
            <c:strRef>
              <c:f>Diesel!$AJ$21:$AJ$32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RD!$AL$40:$AL$51</c:f>
              <c:numCache>
                <c:formatCode>#,##0</c:formatCode>
                <c:ptCount val="12"/>
                <c:pt idx="0">
                  <c:v>22.806000000000001</c:v>
                </c:pt>
                <c:pt idx="1">
                  <c:v>12.768000000000001</c:v>
                </c:pt>
                <c:pt idx="2">
                  <c:v>18.984000000000002</c:v>
                </c:pt>
                <c:pt idx="3">
                  <c:v>16.463999999999999</c:v>
                </c:pt>
                <c:pt idx="4">
                  <c:v>21.21</c:v>
                </c:pt>
                <c:pt idx="5">
                  <c:v>22.512</c:v>
                </c:pt>
                <c:pt idx="6">
                  <c:v>13.356</c:v>
                </c:pt>
                <c:pt idx="7">
                  <c:v>17.681999999999999</c:v>
                </c:pt>
                <c:pt idx="8">
                  <c:v>12.768000000000001</c:v>
                </c:pt>
                <c:pt idx="9">
                  <c:v>14.742000000000001</c:v>
                </c:pt>
                <c:pt idx="10">
                  <c:v>20.957999999999998</c:v>
                </c:pt>
                <c:pt idx="11">
                  <c:v>20.706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6-41A6-B093-75CE34590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908975"/>
        <c:axId val="1915441455"/>
      </c:areaChart>
      <c:lineChart>
        <c:grouping val="standard"/>
        <c:varyColors val="0"/>
        <c:ser>
          <c:idx val="2"/>
          <c:order val="2"/>
          <c:tx>
            <c:v>5-Yr Avg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RD!$AM$40:$AM$51</c:f>
              <c:numCache>
                <c:formatCode>#,##0</c:formatCode>
                <c:ptCount val="12"/>
                <c:pt idx="0">
                  <c:v>26.745600000000003</c:v>
                </c:pt>
                <c:pt idx="1">
                  <c:v>19.8324</c:v>
                </c:pt>
                <c:pt idx="2">
                  <c:v>26.417999999999999</c:v>
                </c:pt>
                <c:pt idx="3">
                  <c:v>24.3264</c:v>
                </c:pt>
                <c:pt idx="4">
                  <c:v>32.079599999999999</c:v>
                </c:pt>
                <c:pt idx="5">
                  <c:v>29.601600000000001</c:v>
                </c:pt>
                <c:pt idx="6">
                  <c:v>23.427600000000002</c:v>
                </c:pt>
                <c:pt idx="7">
                  <c:v>24.267599999999998</c:v>
                </c:pt>
                <c:pt idx="8">
                  <c:v>18.370799999999999</c:v>
                </c:pt>
                <c:pt idx="9">
                  <c:v>24.444000000000003</c:v>
                </c:pt>
                <c:pt idx="10">
                  <c:v>29.727599999999995</c:v>
                </c:pt>
                <c:pt idx="11">
                  <c:v>31.701599999999996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56-41A6-B093-75CE34590E36}"/>
            </c:ext>
          </c:extLst>
        </c:ser>
        <c:ser>
          <c:idx val="3"/>
          <c:order val="3"/>
          <c:tx>
            <c:v>2023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RD!$X$40:$X$51</c:f>
              <c:numCache>
                <c:formatCode>#,##0_);[Red]\(#,##0\)</c:formatCode>
                <c:ptCount val="12"/>
                <c:pt idx="0">
                  <c:v>26.585999999999999</c:v>
                </c:pt>
                <c:pt idx="1">
                  <c:v>22.931999999999999</c:v>
                </c:pt>
                <c:pt idx="2">
                  <c:v>33.012</c:v>
                </c:pt>
                <c:pt idx="3">
                  <c:v>17.64</c:v>
                </c:pt>
                <c:pt idx="4">
                  <c:v>48.258000000000003</c:v>
                </c:pt>
                <c:pt idx="5">
                  <c:v>28.602</c:v>
                </c:pt>
                <c:pt idx="6">
                  <c:v>32.886000000000003</c:v>
                </c:pt>
                <c:pt idx="7">
                  <c:v>42.125999999999998</c:v>
                </c:pt>
                <c:pt idx="8">
                  <c:v>17.010000000000002</c:v>
                </c:pt>
                <c:pt idx="9">
                  <c:v>14.742000000000001</c:v>
                </c:pt>
                <c:pt idx="10">
                  <c:v>34.146000000000001</c:v>
                </c:pt>
                <c:pt idx="11">
                  <c:v>44.183999999999997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56-41A6-B093-75CE34590E36}"/>
            </c:ext>
          </c:extLst>
        </c:ser>
        <c:ser>
          <c:idx val="4"/>
          <c:order val="4"/>
          <c:tx>
            <c:v>2024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56-41A6-B093-75CE34590E3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56-41A6-B093-75CE34590E3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256-41A6-B093-75CE34590E36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256-41A6-B093-75CE34590E36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256-41A6-B093-75CE34590E36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B256-41A6-B093-75CE34590E36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B256-41A6-B093-75CE34590E36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56-41A6-B093-75CE34590E36}"/>
              </c:ext>
            </c:extLst>
          </c:dPt>
          <c:val>
            <c:numRef>
              <c:f>RD!$Y$40:$Y$51</c:f>
              <c:numCache>
                <c:formatCode>#,##0_);[Red]\(#,##0\)</c:formatCode>
                <c:ptCount val="12"/>
                <c:pt idx="0">
                  <c:v>35.909999999999997</c:v>
                </c:pt>
                <c:pt idx="1">
                  <c:v>41.957999999999998</c:v>
                </c:pt>
                <c:pt idx="2">
                  <c:v>44.015999999999998</c:v>
                </c:pt>
                <c:pt idx="3">
                  <c:v>43.05</c:v>
                </c:pt>
                <c:pt idx="4">
                  <c:v>26.393370306913035</c:v>
                </c:pt>
                <c:pt idx="5">
                  <c:v>24.891133009049895</c:v>
                </c:pt>
                <c:pt idx="6">
                  <c:v>21.65674516522138</c:v>
                </c:pt>
                <c:pt idx="7">
                  <c:v>21.504961198395325</c:v>
                </c:pt>
                <c:pt idx="8">
                  <c:v>22.550484645514221</c:v>
                </c:pt>
                <c:pt idx="9">
                  <c:v>20.683086565361858</c:v>
                </c:pt>
                <c:pt idx="10">
                  <c:v>19.018365414025979</c:v>
                </c:pt>
                <c:pt idx="11">
                  <c:v>-7.6480173044816979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256-41A6-B093-75CE34590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908975"/>
        <c:axId val="1915441455"/>
      </c:lineChart>
      <c:catAx>
        <c:axId val="161590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5441455"/>
        <c:crosses val="autoZero"/>
        <c:auto val="1"/>
        <c:lblAlgn val="ctr"/>
        <c:lblOffset val="0"/>
        <c:noMultiLvlLbl val="0"/>
      </c:catAx>
      <c:valAx>
        <c:axId val="19154414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/>
                  <a:t>million gallons</a:t>
                </a:r>
              </a:p>
            </c:rich>
          </c:tx>
          <c:layout>
            <c:manualLayout>
              <c:xMode val="edge"/>
              <c:yMode val="edge"/>
              <c:x val="2.4636920384951862E-3"/>
              <c:y val="0.32063830562846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5908975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45168591426071741"/>
          <c:y val="0.72067658209390506"/>
          <c:w val="0.49749868766404187"/>
          <c:h val="0.11556175269757947"/>
        </c:manualLayout>
      </c:layout>
      <c:overlay val="0"/>
      <c:spPr>
        <a:noFill/>
        <a:ln w="222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0</xdr:rowOff>
    </xdr:from>
    <xdr:to>
      <xdr:col>8</xdr:col>
      <xdr:colOff>19050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F5689-4136-4539-B9B1-B29598F4E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352425</xdr:colOff>
      <xdr:row>15</xdr:row>
      <xdr:rowOff>171450</xdr:rowOff>
    </xdr:from>
    <xdr:to>
      <xdr:col>8</xdr:col>
      <xdr:colOff>47625</xdr:colOff>
      <xdr:row>30</xdr:row>
      <xdr:rowOff>57150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55B259C-CA59-4346-B5CC-FB3766FD5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585787</xdr:colOff>
      <xdr:row>1</xdr:row>
      <xdr:rowOff>0</xdr:rowOff>
    </xdr:from>
    <xdr:to>
      <xdr:col>16</xdr:col>
      <xdr:colOff>280987</xdr:colOff>
      <xdr:row>15</xdr:row>
      <xdr:rowOff>76200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BD2C828-4D55-4014-8F91-6AE38951D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604837</xdr:colOff>
      <xdr:row>15</xdr:row>
      <xdr:rowOff>171450</xdr:rowOff>
    </xdr:from>
    <xdr:to>
      <xdr:col>16</xdr:col>
      <xdr:colOff>300037</xdr:colOff>
      <xdr:row>30</xdr:row>
      <xdr:rowOff>57150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C391B00-6175-4E85-B3CE-1FD74A4F6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566737</xdr:colOff>
      <xdr:row>0</xdr:row>
      <xdr:rowOff>114300</xdr:rowOff>
    </xdr:from>
    <xdr:to>
      <xdr:col>24</xdr:col>
      <xdr:colOff>261937</xdr:colOff>
      <xdr:row>15</xdr:row>
      <xdr:rowOff>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4C0FCBA0-886C-49C8-A117-40463EEF4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200025</xdr:colOff>
      <xdr:row>30</xdr:row>
      <xdr:rowOff>171450</xdr:rowOff>
    </xdr:from>
    <xdr:to>
      <xdr:col>7</xdr:col>
      <xdr:colOff>504825</xdr:colOff>
      <xdr:row>45</xdr:row>
      <xdr:rowOff>57150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B81BBD0E-6790-4A55-AB06-69CF3872E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600075</xdr:colOff>
      <xdr:row>31</xdr:row>
      <xdr:rowOff>9525</xdr:rowOff>
    </xdr:from>
    <xdr:to>
      <xdr:col>16</xdr:col>
      <xdr:colOff>295275</xdr:colOff>
      <xdr:row>45</xdr:row>
      <xdr:rowOff>85725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205E83B5-5295-4D5B-B06A-84D0C49B9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0.77225</cdr:x>
      <cdr:y>0.11864</cdr:y>
    </cdr:from>
    <cdr:to>
      <cdr:x>1</cdr:x>
      <cdr:y>0.34722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CD3D5D4-07A6-977A-B4DA-761052FB1393}"/>
            </a:ext>
          </a:extLst>
        </cdr:cNvPr>
        <cdr:cNvSpPr txBox="1"/>
      </cdr:nvSpPr>
      <cdr:spPr>
        <a:xfrm xmlns:a="http://schemas.openxmlformats.org/drawingml/2006/main">
          <a:off x="3530726" y="325452"/>
          <a:ext cx="1041274" cy="627047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8C8C8C"/>
              </a:solidFill>
              <a:latin typeface="Aptos Display" panose="020B0004020202020204" pitchFamily="34" charset="0"/>
            </a:rPr>
            <a:t>Renewable Diesel</a:t>
          </a:r>
        </a:p>
      </cdr:txBody>
    </cdr:sp>
  </cdr:relSizeAnchor>
  <cdr:relSizeAnchor xmlns:cdr="http://schemas.openxmlformats.org/drawingml/2006/chartDrawing">
    <cdr:from>
      <cdr:x>0.80308</cdr:x>
      <cdr:y>0.2813</cdr:y>
    </cdr:from>
    <cdr:to>
      <cdr:x>0.8426</cdr:x>
      <cdr:y>0.32652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8864AC88-D1D2-E08D-020A-734601712BC2}"/>
            </a:ext>
          </a:extLst>
        </cdr:cNvPr>
        <cdr:cNvCxnSpPr/>
      </cdr:nvCxnSpPr>
      <cdr:spPr>
        <a:xfrm xmlns:a="http://schemas.openxmlformats.org/drawingml/2006/main" flipH="1">
          <a:off x="3671682" y="771662"/>
          <a:ext cx="180685" cy="124048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8C8C8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0.1454</cdr:x>
      <cdr:y>0.45274</cdr:y>
    </cdr:from>
    <cdr:to>
      <cdr:x>0.37292</cdr:x>
      <cdr:y>0.53472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D97E5996-3916-F991-4B3D-BB8821B4F9BD}"/>
            </a:ext>
          </a:extLst>
        </cdr:cNvPr>
        <cdr:cNvSpPr txBox="1"/>
      </cdr:nvSpPr>
      <cdr:spPr>
        <a:xfrm xmlns:a="http://schemas.openxmlformats.org/drawingml/2006/main">
          <a:off x="664769" y="1241966"/>
          <a:ext cx="1040206" cy="224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CF3C3C"/>
              </a:solidFill>
              <a:latin typeface="Aptos Display" panose="020B0004020202020204" pitchFamily="34" charset="0"/>
            </a:rPr>
            <a:t>Biodiesel</a:t>
          </a:r>
        </a:p>
      </cdr:txBody>
    </cdr:sp>
  </cdr:relSizeAnchor>
  <cdr:relSizeAnchor xmlns:cdr="http://schemas.openxmlformats.org/drawingml/2006/chartDrawing">
    <cdr:from>
      <cdr:x>0.27235</cdr:x>
      <cdr:y>0.53484</cdr:y>
    </cdr:from>
    <cdr:to>
      <cdr:x>0.33779</cdr:x>
      <cdr:y>0.62421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BA13CFBC-C812-8998-870D-444139CA7C3C}"/>
            </a:ext>
          </a:extLst>
        </cdr:cNvPr>
        <cdr:cNvCxnSpPr/>
      </cdr:nvCxnSpPr>
      <cdr:spPr>
        <a:xfrm xmlns:a="http://schemas.openxmlformats.org/drawingml/2006/main">
          <a:off x="1245184" y="1467182"/>
          <a:ext cx="299192" cy="24516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CF3C3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0.16264</cdr:x>
      <cdr:y>0.62536</cdr:y>
    </cdr:from>
    <cdr:to>
      <cdr:x>0.29027</cdr:x>
      <cdr:y>0.65463</cdr:y>
    </cdr:to>
    <cdr:sp macro="" textlink="">
      <cdr:nvSpPr>
        <cdr:cNvPr id="15" name="Left Brace 14">
          <a:extLst xmlns:a="http://schemas.openxmlformats.org/drawingml/2006/main">
            <a:ext uri="{FF2B5EF4-FFF2-40B4-BE49-F238E27FC236}">
              <a16:creationId xmlns:a16="http://schemas.microsoft.com/office/drawing/2014/main" id="{2E40E0CC-5C1D-76B5-01B3-962F0C911FB0}"/>
            </a:ext>
          </a:extLst>
        </cdr:cNvPr>
        <cdr:cNvSpPr/>
      </cdr:nvSpPr>
      <cdr:spPr>
        <a:xfrm xmlns:a="http://schemas.openxmlformats.org/drawingml/2006/main" rot="5400000">
          <a:off x="995221" y="1463863"/>
          <a:ext cx="80294" cy="583525"/>
        </a:xfrm>
        <a:prstGeom xmlns:a="http://schemas.openxmlformats.org/drawingml/2006/main" prst="leftBrace">
          <a:avLst/>
        </a:prstGeom>
        <a:ln xmlns:a="http://schemas.openxmlformats.org/drawingml/2006/main" w="22225">
          <a:solidFill>
            <a:srgbClr val="CF3C3C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0.22827</cdr:x>
      <cdr:y>0.53214</cdr:y>
    </cdr:from>
    <cdr:to>
      <cdr:x>0.23125</cdr:x>
      <cdr:y>0.60764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CB8395E0-FC85-FC30-B506-20B120EA8085}"/>
            </a:ext>
          </a:extLst>
        </cdr:cNvPr>
        <cdr:cNvCxnSpPr/>
      </cdr:nvCxnSpPr>
      <cdr:spPr>
        <a:xfrm xmlns:a="http://schemas.openxmlformats.org/drawingml/2006/main">
          <a:off x="1043650" y="1459757"/>
          <a:ext cx="13625" cy="207118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CF3C3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</cdr:x>
      <cdr:y>0.90278</cdr:y>
    </cdr:from>
    <cdr:to>
      <cdr:x>0.4625</cdr:x>
      <cdr:y>1</cdr:y>
    </cdr:to>
    <cdr:sp macro="" textlink="">
      <cdr:nvSpPr>
        <cdr:cNvPr id="23" name="TextBox 22">
          <a:extLst xmlns:a="http://schemas.openxmlformats.org/drawingml/2006/main">
            <a:ext uri="{FF2B5EF4-FFF2-40B4-BE49-F238E27FC236}">
              <a16:creationId xmlns:a16="http://schemas.microsoft.com/office/drawing/2014/main" id="{32E19758-2015-C96F-E9F9-109825D69BE9}"/>
            </a:ext>
          </a:extLst>
        </cdr:cNvPr>
        <cdr:cNvSpPr txBox="1"/>
      </cdr:nvSpPr>
      <cdr:spPr>
        <a:xfrm xmlns:a="http://schemas.openxmlformats.org/drawingml/2006/main">
          <a:off x="0" y="2476501"/>
          <a:ext cx="2114550" cy="2666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solidFill>
                <a:srgbClr val="323232"/>
              </a:solidFill>
              <a:latin typeface="Aptos Display" panose="020B0004020202020204" pitchFamily="34" charset="0"/>
            </a:rPr>
            <a:t>Source: GTT,</a:t>
          </a:r>
          <a:r>
            <a:rPr lang="en-US" sz="1050" b="1" baseline="0">
              <a:solidFill>
                <a:srgbClr val="323232"/>
              </a:solidFill>
              <a:latin typeface="Aptos Display" panose="020B0004020202020204" pitchFamily="34" charset="0"/>
            </a:rPr>
            <a:t> Fastmarkets</a:t>
          </a:r>
          <a:endParaRPr lang="en-US" sz="1050" b="1">
            <a:solidFill>
              <a:srgbClr val="323232"/>
            </a:solidFill>
            <a:latin typeface="Aptos Display" panose="020B00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0.91667</cdr:y>
    </cdr:from>
    <cdr:to>
      <cdr:x>0.38438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E8F8EF-E2C5-2262-898A-36532FEB4752}"/>
            </a:ext>
          </a:extLst>
        </cdr:cNvPr>
        <cdr:cNvSpPr txBox="1"/>
      </cdr:nvSpPr>
      <cdr:spPr>
        <a:xfrm xmlns:a="http://schemas.openxmlformats.org/drawingml/2006/main">
          <a:off x="0" y="2514600"/>
          <a:ext cx="175738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323232"/>
              </a:solidFill>
              <a:latin typeface="Aptos Display" panose="020B0004020202020204" pitchFamily="34" charset="0"/>
            </a:rPr>
            <a:t>Source: EIA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0.92361</cdr:y>
    </cdr:from>
    <cdr:to>
      <cdr:x>0.30017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E8F8EF-E2C5-2262-898A-36532FEB4752}"/>
            </a:ext>
          </a:extLst>
        </cdr:cNvPr>
        <cdr:cNvSpPr txBox="1"/>
      </cdr:nvSpPr>
      <cdr:spPr>
        <a:xfrm xmlns:a="http://schemas.openxmlformats.org/drawingml/2006/main">
          <a:off x="0" y="2533651"/>
          <a:ext cx="1372377" cy="209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323232"/>
              </a:solidFill>
              <a:latin typeface="Aptos Display" panose="020B0004020202020204" pitchFamily="34" charset="0"/>
            </a:rPr>
            <a:t>Source: EIA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0.00517</cdr:x>
      <cdr:y>0.92118</cdr:y>
    </cdr:from>
    <cdr:to>
      <cdr:x>0.71979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7095EE3-46F2-6A86-099B-1352F0656E60}"/>
            </a:ext>
          </a:extLst>
        </cdr:cNvPr>
        <cdr:cNvSpPr txBox="1"/>
      </cdr:nvSpPr>
      <cdr:spPr>
        <a:xfrm xmlns:a="http://schemas.openxmlformats.org/drawingml/2006/main">
          <a:off x="23637" y="2526980"/>
          <a:ext cx="3267251" cy="21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EIA, Fastmarkets Fats,</a:t>
          </a:r>
          <a:r>
            <a:rPr lang="en-US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Fuels, and Oils Weekly Forecasting Report</a:t>
          </a:r>
          <a:endParaRPr lang="en-US" sz="10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0.00517</cdr:x>
      <cdr:y>0.92118</cdr:y>
    </cdr:from>
    <cdr:to>
      <cdr:x>0.71979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7095EE3-46F2-6A86-099B-1352F0656E60}"/>
            </a:ext>
          </a:extLst>
        </cdr:cNvPr>
        <cdr:cNvSpPr txBox="1"/>
      </cdr:nvSpPr>
      <cdr:spPr>
        <a:xfrm xmlns:a="http://schemas.openxmlformats.org/drawingml/2006/main">
          <a:off x="23637" y="2526980"/>
          <a:ext cx="3267251" cy="21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EIA, Fastmarkets Fats,</a:t>
          </a:r>
          <a:r>
            <a:rPr lang="en-US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Fuels, and Oils Weekly Forecasting Report</a:t>
          </a:r>
          <a:endParaRPr lang="en-US" sz="10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0.00517</cdr:x>
      <cdr:y>0.92118</cdr:y>
    </cdr:from>
    <cdr:to>
      <cdr:x>0.71979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7095EE3-46F2-6A86-099B-1352F0656E60}"/>
            </a:ext>
          </a:extLst>
        </cdr:cNvPr>
        <cdr:cNvSpPr txBox="1"/>
      </cdr:nvSpPr>
      <cdr:spPr>
        <a:xfrm xmlns:a="http://schemas.openxmlformats.org/drawingml/2006/main">
          <a:off x="23637" y="2526980"/>
          <a:ext cx="3267251" cy="21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EIA, Fastmarkets Fats,</a:t>
          </a:r>
          <a:r>
            <a:rPr lang="en-US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Fuels, and Oils Weekly Forecasting Report</a:t>
          </a:r>
          <a:endParaRPr lang="en-US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S%20Fuel%20Pric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S%20BBD%20Feedstock%20Profitabil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US%20Biofuel%20Pric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Renewable%20Diesel%20Feedstock%20Usage.xlsx" TargetMode="External"/><Relationship Id="rId1" Type="http://schemas.openxmlformats.org/officeDocument/2006/relationships/externalLinkPath" Target="Renewable%20Diesel%20Feedstock%20Usag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US%20Oilseed%20Balance%20Sheet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Fat%20and%20Grease%20Balance%20Sheets.xlsx" TargetMode="External"/><Relationship Id="rId1" Type="http://schemas.openxmlformats.org/officeDocument/2006/relationships/externalLinkPath" Target="US%20Fat%20and%20Grease%20Balance%20Sheet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Biodiesel%20Feedstock%20Usage.xlsx" TargetMode="External"/><Relationship Id="rId1" Type="http://schemas.openxmlformats.org/officeDocument/2006/relationships/externalLinkPath" Target="US%20Biodiesel%20Feedstock%20Us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Credit%20Generation%20and%20Tracking.xlsx" TargetMode="External"/><Relationship Id="rId1" Type="http://schemas.openxmlformats.org/officeDocument/2006/relationships/externalLinkPath" Target="US%20Credit%20Generation%20and%20Trac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Fuel Prices"/>
      <sheetName val="Forecast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BBD Feedstock Profitability"/>
      <sheetName val="Forecast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Forecasts"/>
      <sheetName val="AnnualForecast"/>
      <sheetName val="Sheet2"/>
      <sheetName val="Chart1"/>
      <sheetName val="Chart2"/>
      <sheetName val="Historical Comp"/>
      <sheetName val="US Biofuel Prices"/>
    </sheetNames>
    <sheetDataSet>
      <sheetData sheetId="0"/>
      <sheetData sheetId="1">
        <row r="2">
          <cell r="C2">
            <v>1.8632</v>
          </cell>
        </row>
        <row r="3">
          <cell r="C3">
            <v>1.6326000000000001</v>
          </cell>
          <cell r="G3">
            <v>0.37382052635725016</v>
          </cell>
        </row>
        <row r="4">
          <cell r="C4">
            <v>1.1818</v>
          </cell>
          <cell r="G4">
            <v>0.45743632442406268</v>
          </cell>
        </row>
        <row r="5">
          <cell r="C5">
            <v>0.87690000000000001</v>
          </cell>
          <cell r="G5">
            <v>0.47833293067984406</v>
          </cell>
        </row>
        <row r="6">
          <cell r="C6">
            <v>0.92020000000000002</v>
          </cell>
          <cell r="G6">
            <v>0.37915358278987521</v>
          </cell>
        </row>
        <row r="7">
          <cell r="C7">
            <v>1.1539999999999999</v>
          </cell>
          <cell r="G7">
            <v>0.43185317597242201</v>
          </cell>
        </row>
        <row r="8">
          <cell r="C8">
            <v>1.2476</v>
          </cell>
          <cell r="G8">
            <v>0.51716392611812534</v>
          </cell>
        </row>
        <row r="9">
          <cell r="C9">
            <v>1.2482</v>
          </cell>
          <cell r="G9">
            <v>0.51147596117500016</v>
          </cell>
        </row>
        <row r="10">
          <cell r="C10">
            <v>1.1354</v>
          </cell>
          <cell r="G10">
            <v>0.54982079988726562</v>
          </cell>
        </row>
        <row r="11">
          <cell r="C11">
            <v>1.1605000000000001</v>
          </cell>
          <cell r="G11">
            <v>0.61278013549275001</v>
          </cell>
        </row>
        <row r="12">
          <cell r="C12">
            <v>1.2509999999999999</v>
          </cell>
          <cell r="G12">
            <v>0.59844353171781695</v>
          </cell>
        </row>
        <row r="13">
          <cell r="C13">
            <v>1.4568000000000001</v>
          </cell>
          <cell r="G13">
            <v>0.74391555154515654</v>
          </cell>
        </row>
        <row r="14">
          <cell r="C14">
            <v>1.5874999999999999</v>
          </cell>
        </row>
        <row r="15">
          <cell r="C15">
            <v>1.7950999999999999</v>
          </cell>
          <cell r="G15">
            <v>1.2268009429640627</v>
          </cell>
        </row>
        <row r="16">
          <cell r="C16">
            <v>1.8698999999999999</v>
          </cell>
          <cell r="G16">
            <v>1.2103607574107815</v>
          </cell>
        </row>
        <row r="17">
          <cell r="C17">
            <v>1.8716999999999999</v>
          </cell>
          <cell r="G17">
            <v>1.5065667111645002</v>
          </cell>
        </row>
        <row r="18">
          <cell r="C18">
            <v>2.0308999999999999</v>
          </cell>
          <cell r="G18">
            <v>1.2096897435385003</v>
          </cell>
        </row>
        <row r="19">
          <cell r="C19">
            <v>2.1303999999999998</v>
          </cell>
          <cell r="G19">
            <v>1.6552803692895313</v>
          </cell>
        </row>
        <row r="20">
          <cell r="C20">
            <v>2.1139999999999999</v>
          </cell>
          <cell r="G20">
            <v>1.8380847997845002</v>
          </cell>
        </row>
        <row r="21">
          <cell r="C21">
            <v>2.0815000000000001</v>
          </cell>
          <cell r="G21">
            <v>1.7168598157978132</v>
          </cell>
        </row>
        <row r="22">
          <cell r="C22">
            <v>2.2090999999999998</v>
          </cell>
          <cell r="G22">
            <v>1.8660540980699376</v>
          </cell>
        </row>
        <row r="23">
          <cell r="C23">
            <v>2.5255999999999998</v>
          </cell>
          <cell r="G23">
            <v>1.8703441645247505</v>
          </cell>
        </row>
        <row r="24">
          <cell r="C24">
            <v>2.3986000000000001</v>
          </cell>
          <cell r="G24">
            <v>2.508785299785</v>
          </cell>
        </row>
        <row r="25">
          <cell r="C25">
            <v>2.2559</v>
          </cell>
          <cell r="G25">
            <v>2.3890110591559375</v>
          </cell>
        </row>
        <row r="26">
          <cell r="C26">
            <v>2.6183000000000001</v>
          </cell>
          <cell r="G26">
            <v>2.2699875251370627</v>
          </cell>
        </row>
        <row r="27">
          <cell r="C27">
            <v>2.8553999999999999</v>
          </cell>
          <cell r="G27">
            <v>2.6164661636718751</v>
          </cell>
        </row>
        <row r="28">
          <cell r="C28">
            <v>3.6623000000000001</v>
          </cell>
          <cell r="G28">
            <v>3.2548560126521875</v>
          </cell>
        </row>
        <row r="29">
          <cell r="C29">
            <v>3.8795000000000002</v>
          </cell>
          <cell r="G29">
            <v>3.7298203072097502</v>
          </cell>
        </row>
        <row r="30">
          <cell r="C30">
            <v>3.9176000000000002</v>
          </cell>
          <cell r="G30">
            <v>3.7191981844797652</v>
          </cell>
        </row>
        <row r="31">
          <cell r="C31">
            <v>4.3010999999999999</v>
          </cell>
          <cell r="G31">
            <v>3.9572046083717187</v>
          </cell>
        </row>
        <row r="32">
          <cell r="C32">
            <v>3.6501999999999999</v>
          </cell>
          <cell r="G32">
            <v>3.7202026297145006</v>
          </cell>
        </row>
        <row r="33">
          <cell r="C33">
            <v>3.6059999999999999</v>
          </cell>
          <cell r="G33">
            <v>3.3245347878546876</v>
          </cell>
        </row>
        <row r="34">
          <cell r="C34">
            <v>3.4216000000000002</v>
          </cell>
          <cell r="G34">
            <v>3.3245347878546876</v>
          </cell>
        </row>
        <row r="35">
          <cell r="C35">
            <v>3.9615785714285709</v>
          </cell>
          <cell r="G35">
            <v>3.8472365381502498</v>
          </cell>
        </row>
        <row r="36">
          <cell r="C36">
            <v>3.5769000000000002</v>
          </cell>
          <cell r="G36">
            <v>3.8472365381502498</v>
          </cell>
        </row>
        <row r="37">
          <cell r="C37">
            <v>2.9495</v>
          </cell>
          <cell r="G37">
            <v>3.7106194895280624</v>
          </cell>
        </row>
        <row r="38">
          <cell r="C38">
            <v>2.9518</v>
          </cell>
          <cell r="G38">
            <v>3.5535684345340628</v>
          </cell>
        </row>
        <row r="39">
          <cell r="C39">
            <v>2.8294000000000001</v>
          </cell>
          <cell r="G39">
            <v>3.332536634955781</v>
          </cell>
        </row>
        <row r="40">
          <cell r="C40">
            <v>2.6103000000000001</v>
          </cell>
          <cell r="G40">
            <v>2.7414457314490623</v>
          </cell>
        </row>
        <row r="41">
          <cell r="C41">
            <v>2.3999000000000001</v>
          </cell>
          <cell r="G41">
            <v>2.2833527645293747</v>
          </cell>
        </row>
        <row r="42">
          <cell r="C42">
            <v>2.1654</v>
          </cell>
          <cell r="G42">
            <v>2.1804004741771879</v>
          </cell>
        </row>
        <row r="43">
          <cell r="C43">
            <v>2.2235999999999998</v>
          </cell>
          <cell r="G43">
            <v>2.197786817252422</v>
          </cell>
        </row>
        <row r="44">
          <cell r="C44">
            <v>2.5154999999999998</v>
          </cell>
          <cell r="G44">
            <v>2.1653838241446874</v>
          </cell>
        </row>
        <row r="45">
          <cell r="C45">
            <v>3.1316000000000002</v>
          </cell>
          <cell r="G45">
            <v>2.98110994324625</v>
          </cell>
        </row>
        <row r="46">
          <cell r="C46">
            <v>3.7347999999999999</v>
          </cell>
          <cell r="G46">
            <v>3.232403167131094</v>
          </cell>
        </row>
        <row r="47">
          <cell r="C47">
            <v>3.2168000000000001</v>
          </cell>
          <cell r="G47">
            <v>3.2225846168725001</v>
          </cell>
        </row>
        <row r="48">
          <cell r="C48">
            <v>2.944</v>
          </cell>
          <cell r="G48">
            <v>2.9984840224057501</v>
          </cell>
        </row>
        <row r="49">
          <cell r="C49">
            <v>2.5878999999999999</v>
          </cell>
          <cell r="G49">
            <v>2.8554678180845312</v>
          </cell>
        </row>
        <row r="50">
          <cell r="C50">
            <v>2.5011000000000001</v>
          </cell>
          <cell r="G50">
            <v>2.7617393873552216</v>
          </cell>
        </row>
        <row r="51">
          <cell r="C51">
            <v>2.5948000000000002</v>
          </cell>
          <cell r="G51">
            <v>2.9281327310226564</v>
          </cell>
        </row>
        <row r="52">
          <cell r="C52">
            <v>2.6656</v>
          </cell>
          <cell r="G52">
            <v>2.55675304940875</v>
          </cell>
        </row>
        <row r="53">
          <cell r="C53">
            <v>2.6368</v>
          </cell>
          <cell r="G53">
            <v>2.6215420558218749</v>
          </cell>
        </row>
        <row r="54">
          <cell r="C54">
            <v>2.4277000000000002</v>
          </cell>
          <cell r="G54">
            <v>2.4313457317656249</v>
          </cell>
        </row>
        <row r="55">
          <cell r="C55">
            <v>2.4277000000000002</v>
          </cell>
          <cell r="G55">
            <v>2.3479876207913652</v>
          </cell>
        </row>
        <row r="56">
          <cell r="C56">
            <v>2.3199999999999998</v>
          </cell>
          <cell r="G56">
            <v>2.5143675800112497</v>
          </cell>
        </row>
        <row r="57">
          <cell r="C57">
            <v>2.11</v>
          </cell>
          <cell r="G57">
            <v>2.3097106565812497</v>
          </cell>
        </row>
        <row r="58">
          <cell r="C58">
            <v>2.02</v>
          </cell>
          <cell r="G58">
            <v>2.1314703314242185</v>
          </cell>
        </row>
        <row r="59">
          <cell r="C59">
            <v>2.17</v>
          </cell>
          <cell r="G59">
            <v>2.2325323760174998</v>
          </cell>
        </row>
        <row r="60">
          <cell r="C60">
            <v>2.29</v>
          </cell>
          <cell r="G60">
            <v>2.4390338017789062</v>
          </cell>
        </row>
        <row r="61">
          <cell r="C61">
            <v>2.5099999999999998</v>
          </cell>
          <cell r="G61">
            <v>2.5148179093137504</v>
          </cell>
        </row>
        <row r="62">
          <cell r="C62">
            <v>2.76</v>
          </cell>
          <cell r="G62">
            <v>2.0072675986513135</v>
          </cell>
        </row>
        <row r="63">
          <cell r="C63">
            <v>2.7</v>
          </cell>
          <cell r="G63">
            <v>1.7561055181408647</v>
          </cell>
        </row>
        <row r="64">
          <cell r="C64">
            <v>2.4500000000000002</v>
          </cell>
          <cell r="G64">
            <v>1.512941044456654</v>
          </cell>
        </row>
        <row r="65">
          <cell r="C65">
            <v>2.5731999999999999</v>
          </cell>
          <cell r="G65">
            <v>1.5178214361020856</v>
          </cell>
        </row>
        <row r="66">
          <cell r="C66">
            <v>2.5461999999999998</v>
          </cell>
          <cell r="G66">
            <v>1.6317828275280513</v>
          </cell>
        </row>
        <row r="67">
          <cell r="C67">
            <v>2.6409000000000002</v>
          </cell>
          <cell r="G67">
            <v>1.677433307158513</v>
          </cell>
        </row>
        <row r="68">
          <cell r="C68">
            <v>2.6913</v>
          </cell>
          <cell r="G68">
            <v>1.7608804274017595</v>
          </cell>
        </row>
        <row r="69">
          <cell r="C69">
            <v>2.7498</v>
          </cell>
          <cell r="G69">
            <v>1.8649845881891087</v>
          </cell>
        </row>
        <row r="70">
          <cell r="C70">
            <v>2.6375000000000002</v>
          </cell>
          <cell r="G70">
            <v>1.6939522431212002</v>
          </cell>
        </row>
        <row r="71">
          <cell r="C71">
            <v>2.7104999999999997</v>
          </cell>
          <cell r="G71">
            <v>1.6939522431212002</v>
          </cell>
        </row>
        <row r="72">
          <cell r="C72">
            <v>2.7595000000000001</v>
          </cell>
          <cell r="G72">
            <v>1.6939522431212002</v>
          </cell>
        </row>
        <row r="73">
          <cell r="C73">
            <v>2.7111000000000001</v>
          </cell>
          <cell r="G73">
            <v>1.6939522431212002</v>
          </cell>
        </row>
        <row r="74">
          <cell r="C74">
            <v>2.6727888000000002</v>
          </cell>
          <cell r="G74">
            <v>2.2933192678346006</v>
          </cell>
        </row>
        <row r="75">
          <cell r="C75">
            <v>2.6968438992000001</v>
          </cell>
          <cell r="G75">
            <v>2.405163420065743</v>
          </cell>
        </row>
        <row r="76">
          <cell r="C76">
            <v>2.7238123381920003</v>
          </cell>
          <cell r="G76">
            <v>2.4697905032631855</v>
          </cell>
        </row>
        <row r="77">
          <cell r="C77">
            <v>2.7483266492357283</v>
          </cell>
          <cell r="G77">
            <v>2.4578187530165532</v>
          </cell>
        </row>
        <row r="78">
          <cell r="C78">
            <v>2.7703132624296143</v>
          </cell>
          <cell r="G78">
            <v>2.4630967705183342</v>
          </cell>
        </row>
        <row r="79">
          <cell r="C79">
            <v>2.7897054552666214</v>
          </cell>
          <cell r="G79">
            <v>2.4494184727430741</v>
          </cell>
        </row>
        <row r="80">
          <cell r="C80">
            <v>2.8064436879982213</v>
          </cell>
          <cell r="G80">
            <v>2.4698325427986312</v>
          </cell>
        </row>
        <row r="81">
          <cell r="C81">
            <v>2.8204759064382126</v>
          </cell>
          <cell r="G81">
            <v>2.4955982100198106</v>
          </cell>
        </row>
        <row r="82">
          <cell r="C82">
            <v>2.8317578100639653</v>
          </cell>
          <cell r="G82">
            <v>2.4884099520769145</v>
          </cell>
        </row>
        <row r="83">
          <cell r="C83">
            <v>2.8459165991142852</v>
          </cell>
          <cell r="G83">
            <v>2.5204900145989586</v>
          </cell>
        </row>
        <row r="84">
          <cell r="C84">
            <v>2.862992098708971</v>
          </cell>
          <cell r="G84">
            <v>2.5277104099191363</v>
          </cell>
        </row>
        <row r="85">
          <cell r="C85">
            <v>2.8830330433999336</v>
          </cell>
          <cell r="G85">
            <v>2.5076448331555241</v>
          </cell>
        </row>
        <row r="86">
          <cell r="C86">
            <v>2.906097307747133</v>
          </cell>
          <cell r="G86">
            <v>2.6276102361879192</v>
          </cell>
        </row>
        <row r="87">
          <cell r="C87">
            <v>2.9264399889013628</v>
          </cell>
          <cell r="G87">
            <v>2.7020179532774784</v>
          </cell>
        </row>
        <row r="88">
          <cell r="C88">
            <v>2.943998628834771</v>
          </cell>
          <cell r="G88">
            <v>2.7379891421866773</v>
          </cell>
        </row>
        <row r="89">
          <cell r="C89">
            <v>2.958718621978945</v>
          </cell>
          <cell r="G89">
            <v>2.5823309074112988</v>
          </cell>
        </row>
        <row r="90">
          <cell r="C90">
            <v>2.9705534964668607</v>
          </cell>
          <cell r="G90">
            <v>2.5839296909643044</v>
          </cell>
        </row>
        <row r="91">
          <cell r="C91">
            <v>2.9824357104527284</v>
          </cell>
          <cell r="G91">
            <v>2.551119821254233</v>
          </cell>
        </row>
        <row r="92">
          <cell r="C92">
            <v>2.9943654532945394</v>
          </cell>
          <cell r="G92">
            <v>2.7698030391267214</v>
          </cell>
        </row>
        <row r="93">
          <cell r="C93">
            <v>3.0063429151077177</v>
          </cell>
          <cell r="G93">
            <v>2.8172330666645182</v>
          </cell>
        </row>
        <row r="94">
          <cell r="C94">
            <v>3.0183682867681485</v>
          </cell>
          <cell r="G94">
            <v>2.7406049542547817</v>
          </cell>
        </row>
        <row r="95">
          <cell r="C95">
            <v>3.0304417599152211</v>
          </cell>
          <cell r="G95">
            <v>2.7083912348556849</v>
          </cell>
        </row>
        <row r="96">
          <cell r="C96">
            <v>3.045593968714797</v>
          </cell>
          <cell r="G96">
            <v>2.744428936702012</v>
          </cell>
        </row>
        <row r="97">
          <cell r="C97">
            <v>3.0638675325270857</v>
          </cell>
          <cell r="G97">
            <v>2.7467933874761967</v>
          </cell>
        </row>
        <row r="98">
          <cell r="C98">
            <v>3.0853146052547751</v>
          </cell>
          <cell r="G98">
            <v>3.072277942783145</v>
          </cell>
        </row>
        <row r="99">
          <cell r="C99">
            <v>3.1038264928863035</v>
          </cell>
          <cell r="G99">
            <v>3.1702621329774705</v>
          </cell>
        </row>
        <row r="100">
          <cell r="C100">
            <v>2.9193456253507351</v>
          </cell>
          <cell r="G100">
            <v>3.1989413669262468</v>
          </cell>
        </row>
        <row r="101">
          <cell r="C101">
            <v>2.9310230078521382</v>
          </cell>
          <cell r="G101">
            <v>2.7583787992810742</v>
          </cell>
        </row>
        <row r="102">
          <cell r="C102">
            <v>2.9486091458992512</v>
          </cell>
          <cell r="G102">
            <v>2.9365763663870839</v>
          </cell>
        </row>
        <row r="103">
          <cell r="C103">
            <v>2.972198019066445</v>
          </cell>
          <cell r="G103">
            <v>3.0377590598609334</v>
          </cell>
        </row>
        <row r="104">
          <cell r="C104">
            <v>3.0019199992571095</v>
          </cell>
          <cell r="G104">
            <v>3.5126651152905195</v>
          </cell>
        </row>
        <row r="105">
          <cell r="C105">
            <v>3.0379430392481948</v>
          </cell>
          <cell r="G105">
            <v>3.561693926381321</v>
          </cell>
        </row>
        <row r="106">
          <cell r="C106">
            <v>3.0804742417976696</v>
          </cell>
          <cell r="G106">
            <v>3.1232280693442296</v>
          </cell>
        </row>
        <row r="107">
          <cell r="C107">
            <v>3.1297618296664322</v>
          </cell>
          <cell r="G107">
            <v>3.6988034669429335</v>
          </cell>
        </row>
        <row r="108">
          <cell r="C108">
            <v>3.1860975426004279</v>
          </cell>
          <cell r="G108">
            <v>3.8466798495901329</v>
          </cell>
        </row>
        <row r="109">
          <cell r="C109">
            <v>3.7498194934524363</v>
          </cell>
          <cell r="G109">
            <v>3.9311619348404849</v>
          </cell>
        </row>
        <row r="110">
          <cell r="C110">
            <v>3.8135664248411278</v>
          </cell>
          <cell r="G110">
            <v>3.7591794855055141</v>
          </cell>
        </row>
        <row r="111">
          <cell r="C111">
            <v>3.8669563547889036</v>
          </cell>
          <cell r="G111">
            <v>3.6598717207394156</v>
          </cell>
        </row>
        <row r="112">
          <cell r="C112">
            <v>3.7094928746915814</v>
          </cell>
          <cell r="G112">
            <v>3.6989014680037333</v>
          </cell>
        </row>
        <row r="113">
          <cell r="C113">
            <v>3.5391688176891138</v>
          </cell>
          <cell r="G113">
            <v>3.4678018728947846</v>
          </cell>
        </row>
        <row r="114">
          <cell r="C114">
            <v>3.5568646617775594</v>
          </cell>
          <cell r="G114">
            <v>3.7639845663686344</v>
          </cell>
        </row>
        <row r="115">
          <cell r="C115">
            <v>3.5639783911011147</v>
          </cell>
          <cell r="G115">
            <v>3.7396121610124409</v>
          </cell>
        </row>
        <row r="116">
          <cell r="C116">
            <v>3.6104144127100133</v>
          </cell>
          <cell r="G116">
            <v>4.4346914295432267</v>
          </cell>
        </row>
        <row r="117">
          <cell r="C117">
            <v>3.7959727550591733</v>
          </cell>
          <cell r="G117">
            <v>4.395180015436142</v>
          </cell>
        </row>
        <row r="118">
          <cell r="C118">
            <v>3.7694009457737589</v>
          </cell>
          <cell r="G118">
            <v>4.2210209869916318</v>
          </cell>
        </row>
        <row r="119">
          <cell r="C119">
            <v>3.7317069363160216</v>
          </cell>
          <cell r="G119">
            <v>4.2497846849266381</v>
          </cell>
        </row>
        <row r="120">
          <cell r="C120">
            <v>3.6831947461439132</v>
          </cell>
          <cell r="G120">
            <v>4.2104062966938116</v>
          </cell>
        </row>
        <row r="121">
          <cell r="C121">
            <v>3.9242636302056102</v>
          </cell>
          <cell r="G121">
            <v>4.1599627501049579</v>
          </cell>
        </row>
        <row r="122">
          <cell r="C122">
            <v>3.9949003755493111</v>
          </cell>
          <cell r="G122">
            <v>4.2132308790679431</v>
          </cell>
        </row>
        <row r="123">
          <cell r="C123">
            <v>4.0548238811825508</v>
          </cell>
          <cell r="G123">
            <v>4.3465958476080591</v>
          </cell>
        </row>
        <row r="124">
          <cell r="C124">
            <v>4.1034817677567412</v>
          </cell>
          <cell r="G124">
            <v>4.3783698878188337</v>
          </cell>
        </row>
        <row r="125">
          <cell r="C125">
            <v>4.1404131036665524</v>
          </cell>
          <cell r="G125">
            <v>3.8107992620885951</v>
          </cell>
        </row>
        <row r="126">
          <cell r="C126">
            <v>4.1652555822885518</v>
          </cell>
          <cell r="G126">
            <v>3.8202813473389465</v>
          </cell>
        </row>
        <row r="127">
          <cell r="C127">
            <v>3.9777513490354171</v>
          </cell>
          <cell r="G127">
            <v>3.7927848068640215</v>
          </cell>
        </row>
        <row r="128">
          <cell r="C128">
            <v>3.9777513490354171</v>
          </cell>
          <cell r="G128">
            <v>4.524347759725905</v>
          </cell>
        </row>
        <row r="129">
          <cell r="C129">
            <v>3.9658180949883106</v>
          </cell>
          <cell r="G129">
            <v>4.4803914444488662</v>
          </cell>
        </row>
        <row r="130">
          <cell r="C130">
            <v>3.9420231864183806</v>
          </cell>
          <cell r="G130">
            <v>4.3762305436573214</v>
          </cell>
        </row>
        <row r="131">
          <cell r="C131">
            <v>3.9065449777406154</v>
          </cell>
          <cell r="G131">
            <v>4.3325770652414182</v>
          </cell>
        </row>
        <row r="132">
          <cell r="C132">
            <v>3.8596664380077281</v>
          </cell>
          <cell r="G132">
            <v>4.3252781912308471</v>
          </cell>
        </row>
        <row r="133">
          <cell r="C133">
            <v>4.0017714414376124</v>
          </cell>
          <cell r="G133">
            <v>3.9532349249154723</v>
          </cell>
        </row>
        <row r="134">
          <cell r="C134">
            <v>4.0297838415276761</v>
          </cell>
          <cell r="G134">
            <v>4.0269223486642796</v>
          </cell>
        </row>
        <row r="135">
          <cell r="C135">
            <v>4.0539625445768426</v>
          </cell>
          <cell r="G135">
            <v>4.0745941457969757</v>
          </cell>
        </row>
        <row r="136">
          <cell r="C136">
            <v>4.074232357299727</v>
          </cell>
          <cell r="G136">
            <v>4.1014700106782449</v>
          </cell>
        </row>
        <row r="137">
          <cell r="C137">
            <v>4.090529286728926</v>
          </cell>
          <cell r="G137">
            <v>3.6569795667970597</v>
          </cell>
        </row>
        <row r="138">
          <cell r="C138">
            <v>4.1150724624492998</v>
          </cell>
          <cell r="G138">
            <v>3.6494467784152533</v>
          </cell>
        </row>
        <row r="139">
          <cell r="C139">
            <v>4.1479930421488946</v>
          </cell>
          <cell r="G139">
            <v>3.652366328019482</v>
          </cell>
        </row>
        <row r="140">
          <cell r="C140">
            <v>4.1894729725703836</v>
          </cell>
          <cell r="G140">
            <v>4.1109957695434449</v>
          </cell>
        </row>
        <row r="141">
          <cell r="C141">
            <v>4.239746648241228</v>
          </cell>
          <cell r="G141">
            <v>4.1688790712407924</v>
          </cell>
        </row>
        <row r="142">
          <cell r="C142">
            <v>4.2991031013166054</v>
          </cell>
          <cell r="G142">
            <v>4.1824624633957077</v>
          </cell>
        </row>
        <row r="143">
          <cell r="C143">
            <v>4.3678887509376709</v>
          </cell>
          <cell r="G143">
            <v>4.4686067550223063</v>
          </cell>
        </row>
        <row r="144">
          <cell r="C144">
            <v>4.446510748454549</v>
          </cell>
          <cell r="G144">
            <v>4.2658917909325798</v>
          </cell>
        </row>
        <row r="145">
          <cell r="C145">
            <v>4.5354409634236399</v>
          </cell>
          <cell r="G145">
            <v>4.3556872054180777</v>
          </cell>
        </row>
        <row r="146">
          <cell r="C146">
            <v>4.6125434598018415</v>
          </cell>
          <cell r="G146">
            <v>4.20878498908524</v>
          </cell>
        </row>
        <row r="147">
          <cell r="C147">
            <v>4.6771190682390671</v>
          </cell>
          <cell r="G147">
            <v>4.1681573944414341</v>
          </cell>
        </row>
        <row r="148">
          <cell r="C148">
            <v>4.7285673779896973</v>
          </cell>
          <cell r="G148">
            <v>3.9314930341248169</v>
          </cell>
        </row>
        <row r="149">
          <cell r="C149">
            <v>4.7663959170136145</v>
          </cell>
          <cell r="G149">
            <v>3.6354236486942728</v>
          </cell>
        </row>
        <row r="150">
          <cell r="C150">
            <v>4.2902278965986822</v>
          </cell>
          <cell r="G150">
            <v>3.6215035813241139</v>
          </cell>
        </row>
        <row r="151">
          <cell r="C151">
            <v>3.7644865292190905</v>
          </cell>
          <cell r="G151">
            <v>3.5075472660470735</v>
          </cell>
        </row>
        <row r="152">
          <cell r="C152">
            <v>3.7607220426898715</v>
          </cell>
          <cell r="G152">
            <v>3.9176294333454815</v>
          </cell>
        </row>
        <row r="153">
          <cell r="C153">
            <v>3.7456791545191122</v>
          </cell>
          <cell r="G153">
            <v>3.8592644648053662</v>
          </cell>
        </row>
        <row r="154">
          <cell r="C154">
            <v>3.7194594004374784</v>
          </cell>
          <cell r="G154">
            <v>3.7361472487367835</v>
          </cell>
        </row>
        <row r="155">
          <cell r="C155">
            <v>3.6822648064331034</v>
          </cell>
          <cell r="G155">
            <v>3.6337409386430828</v>
          </cell>
        </row>
        <row r="156">
          <cell r="C156">
            <v>3.6343953639494733</v>
          </cell>
          <cell r="G156">
            <v>3.6238730283438243</v>
          </cell>
        </row>
        <row r="157">
          <cell r="C157">
            <v>4.0762450381262818</v>
          </cell>
          <cell r="G157">
            <v>3.4966898171040435</v>
          </cell>
        </row>
        <row r="158">
          <cell r="C158">
            <v>4.1496174488125552</v>
          </cell>
          <cell r="G158">
            <v>3.6573305044062869</v>
          </cell>
        </row>
        <row r="159">
          <cell r="C159">
            <v>3.7118617105447438</v>
          </cell>
          <cell r="G159">
            <v>3.7167029097624811</v>
          </cell>
        </row>
        <row r="160">
          <cell r="C160">
            <v>3.7564040510712808</v>
          </cell>
          <cell r="G160">
            <v>3.7842063692875554</v>
          </cell>
        </row>
        <row r="161">
          <cell r="C161">
            <v>3.7902116875309222</v>
          </cell>
          <cell r="G161">
            <v>3.4560229632798909</v>
          </cell>
        </row>
        <row r="162">
          <cell r="C162">
            <v>3.3129529576561079</v>
          </cell>
          <cell r="G162">
            <v>3.335818377765388</v>
          </cell>
        </row>
        <row r="163">
          <cell r="C163">
            <v>3.3427695342750128</v>
          </cell>
          <cell r="G163">
            <v>3.3095701075279256</v>
          </cell>
        </row>
        <row r="164">
          <cell r="C164">
            <v>3.3628261514806628</v>
          </cell>
          <cell r="G164">
            <v>3.363606744683898</v>
          </cell>
        </row>
        <row r="165">
          <cell r="C165">
            <v>3.3527376730262208</v>
          </cell>
          <cell r="G165">
            <v>3.2205188574720474</v>
          </cell>
        </row>
        <row r="166">
          <cell r="C166">
            <v>3.3326212469880634</v>
          </cell>
          <cell r="G166">
            <v>3.1332338215617725</v>
          </cell>
        </row>
        <row r="167">
          <cell r="C167">
            <v>3.3026276557651708</v>
          </cell>
          <cell r="G167">
            <v>3.4351417416680272</v>
          </cell>
        </row>
        <row r="168">
          <cell r="C168">
            <v>3.2629961238959888</v>
          </cell>
          <cell r="G168">
            <v>3.3126020342360727</v>
          </cell>
        </row>
        <row r="169">
          <cell r="C169">
            <v>3.214051182037549</v>
          </cell>
          <cell r="G169">
            <v>3.0942733136028382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RD Feedstock Use"/>
      <sheetName val="SAF Feedstock Use"/>
      <sheetName val="Renewable Diesel Feedstock Usag"/>
    </sheetNames>
    <sheetDataSet>
      <sheetData sheetId="0"/>
      <sheetData sheetId="1"/>
      <sheetData sheetId="2"/>
      <sheetData sheetId="3"/>
      <sheetData sheetId="4">
        <row r="13">
          <cell r="AX13"/>
        </row>
        <row r="14">
          <cell r="AX14"/>
        </row>
        <row r="15">
          <cell r="AX15"/>
        </row>
        <row r="16">
          <cell r="AX16"/>
        </row>
        <row r="17">
          <cell r="AX17"/>
        </row>
        <row r="18">
          <cell r="AX18"/>
        </row>
        <row r="19">
          <cell r="AX19"/>
        </row>
        <row r="20">
          <cell r="AX20"/>
        </row>
        <row r="21">
          <cell r="AX21">
            <v>40</v>
          </cell>
        </row>
        <row r="22">
          <cell r="AX22">
            <v>40</v>
          </cell>
        </row>
        <row r="23">
          <cell r="AX23">
            <v>120</v>
          </cell>
        </row>
        <row r="24">
          <cell r="AX24">
            <v>120</v>
          </cell>
        </row>
        <row r="25">
          <cell r="AX25">
            <v>160</v>
          </cell>
        </row>
        <row r="26">
          <cell r="AX26">
            <v>160</v>
          </cell>
        </row>
        <row r="27">
          <cell r="AX27">
            <v>160</v>
          </cell>
        </row>
        <row r="28">
          <cell r="AX28">
            <v>160</v>
          </cell>
        </row>
        <row r="29">
          <cell r="AX29">
            <v>160</v>
          </cell>
        </row>
        <row r="30">
          <cell r="AX30">
            <v>160</v>
          </cell>
        </row>
        <row r="31">
          <cell r="AX31">
            <v>160</v>
          </cell>
        </row>
        <row r="32">
          <cell r="AX32">
            <v>160</v>
          </cell>
        </row>
        <row r="33">
          <cell r="AX33">
            <v>160</v>
          </cell>
        </row>
        <row r="34">
          <cell r="AX34">
            <v>160</v>
          </cell>
        </row>
        <row r="35">
          <cell r="AX35">
            <v>160</v>
          </cell>
        </row>
        <row r="36">
          <cell r="AX36">
            <v>160</v>
          </cell>
        </row>
        <row r="37">
          <cell r="AX37">
            <v>160</v>
          </cell>
        </row>
        <row r="38">
          <cell r="AX38">
            <v>160</v>
          </cell>
        </row>
        <row r="39">
          <cell r="AX39">
            <v>160</v>
          </cell>
        </row>
        <row r="40">
          <cell r="AX40">
            <v>160</v>
          </cell>
        </row>
        <row r="41">
          <cell r="AX41">
            <v>160</v>
          </cell>
        </row>
        <row r="42">
          <cell r="AX42">
            <v>160</v>
          </cell>
        </row>
        <row r="43">
          <cell r="AX43">
            <v>160</v>
          </cell>
        </row>
        <row r="44">
          <cell r="AX44">
            <v>160</v>
          </cell>
        </row>
        <row r="45">
          <cell r="AX45">
            <v>160</v>
          </cell>
        </row>
        <row r="46">
          <cell r="AX46">
            <v>160</v>
          </cell>
        </row>
        <row r="47">
          <cell r="AX47">
            <v>160</v>
          </cell>
        </row>
        <row r="48">
          <cell r="AX48">
            <v>160</v>
          </cell>
        </row>
        <row r="49">
          <cell r="AX49">
            <v>160</v>
          </cell>
        </row>
        <row r="50">
          <cell r="AX50">
            <v>160</v>
          </cell>
        </row>
        <row r="51">
          <cell r="AX51">
            <v>160</v>
          </cell>
        </row>
        <row r="52">
          <cell r="AX52">
            <v>160</v>
          </cell>
        </row>
        <row r="53">
          <cell r="AX53">
            <v>160</v>
          </cell>
        </row>
        <row r="54">
          <cell r="AX54">
            <v>160</v>
          </cell>
        </row>
        <row r="55">
          <cell r="AX55">
            <v>160</v>
          </cell>
        </row>
        <row r="56">
          <cell r="AX56">
            <v>160</v>
          </cell>
        </row>
        <row r="57">
          <cell r="AX57">
            <v>160</v>
          </cell>
        </row>
        <row r="58">
          <cell r="AX58">
            <v>160</v>
          </cell>
        </row>
        <row r="59">
          <cell r="AX59">
            <v>185</v>
          </cell>
        </row>
        <row r="60">
          <cell r="AX60">
            <v>210</v>
          </cell>
        </row>
        <row r="61">
          <cell r="AX61">
            <v>255</v>
          </cell>
        </row>
        <row r="62">
          <cell r="AX62">
            <v>255</v>
          </cell>
        </row>
        <row r="63">
          <cell r="AX63">
            <v>255</v>
          </cell>
        </row>
        <row r="64">
          <cell r="AX64">
            <v>255</v>
          </cell>
        </row>
        <row r="65">
          <cell r="AX65">
            <v>255</v>
          </cell>
        </row>
        <row r="66">
          <cell r="AX66">
            <v>255</v>
          </cell>
        </row>
        <row r="67">
          <cell r="AX67">
            <v>255</v>
          </cell>
        </row>
        <row r="68">
          <cell r="AX68">
            <v>255</v>
          </cell>
        </row>
        <row r="69">
          <cell r="AX69">
            <v>255</v>
          </cell>
        </row>
        <row r="70">
          <cell r="AX70">
            <v>255</v>
          </cell>
        </row>
        <row r="71">
          <cell r="AX71">
            <v>255</v>
          </cell>
        </row>
        <row r="72">
          <cell r="AX72">
            <v>255</v>
          </cell>
        </row>
        <row r="73">
          <cell r="AX73">
            <v>266</v>
          </cell>
        </row>
        <row r="74">
          <cell r="AX74">
            <v>277</v>
          </cell>
        </row>
        <row r="75">
          <cell r="AX75">
            <v>308</v>
          </cell>
        </row>
        <row r="76">
          <cell r="AX76">
            <v>333</v>
          </cell>
        </row>
        <row r="77">
          <cell r="AX77">
            <v>358</v>
          </cell>
        </row>
        <row r="78">
          <cell r="AX78">
            <v>408</v>
          </cell>
        </row>
        <row r="79">
          <cell r="AX79">
            <v>408</v>
          </cell>
        </row>
        <row r="80">
          <cell r="AX80">
            <v>408</v>
          </cell>
        </row>
        <row r="81">
          <cell r="AX81">
            <v>408</v>
          </cell>
        </row>
        <row r="82">
          <cell r="AX82">
            <v>408</v>
          </cell>
        </row>
        <row r="83">
          <cell r="AX83">
            <v>408</v>
          </cell>
        </row>
        <row r="84">
          <cell r="AX84">
            <v>408</v>
          </cell>
        </row>
        <row r="85">
          <cell r="AX85">
            <v>408</v>
          </cell>
        </row>
        <row r="86">
          <cell r="AX86">
            <v>408</v>
          </cell>
        </row>
        <row r="87">
          <cell r="AX87">
            <v>408</v>
          </cell>
        </row>
        <row r="88">
          <cell r="AX88">
            <v>408</v>
          </cell>
        </row>
        <row r="89">
          <cell r="AX89">
            <v>408</v>
          </cell>
        </row>
        <row r="90">
          <cell r="AX90">
            <v>408</v>
          </cell>
        </row>
        <row r="91">
          <cell r="AX91">
            <v>408</v>
          </cell>
        </row>
        <row r="92">
          <cell r="AX92">
            <v>408</v>
          </cell>
        </row>
        <row r="93">
          <cell r="AX93">
            <v>408</v>
          </cell>
        </row>
        <row r="94">
          <cell r="AX94">
            <v>408</v>
          </cell>
        </row>
        <row r="95">
          <cell r="AX95">
            <v>408</v>
          </cell>
        </row>
        <row r="96">
          <cell r="AX96">
            <v>408</v>
          </cell>
        </row>
        <row r="97">
          <cell r="AX97">
            <v>408</v>
          </cell>
        </row>
        <row r="98">
          <cell r="AX98">
            <v>408</v>
          </cell>
        </row>
        <row r="99">
          <cell r="AX99">
            <v>408</v>
          </cell>
        </row>
        <row r="100">
          <cell r="AX100">
            <v>408</v>
          </cell>
        </row>
        <row r="101">
          <cell r="AX101">
            <v>418</v>
          </cell>
        </row>
        <row r="102">
          <cell r="AX102">
            <v>428</v>
          </cell>
        </row>
        <row r="103">
          <cell r="AX103">
            <v>268</v>
          </cell>
        </row>
        <row r="104">
          <cell r="AX104">
            <v>456.75</v>
          </cell>
        </row>
        <row r="105">
          <cell r="AX105">
            <v>485.5</v>
          </cell>
        </row>
        <row r="106">
          <cell r="AX106">
            <v>514.29999999999995</v>
          </cell>
        </row>
        <row r="107">
          <cell r="AX107">
            <v>558</v>
          </cell>
        </row>
        <row r="108">
          <cell r="AX108">
            <v>558</v>
          </cell>
        </row>
        <row r="109">
          <cell r="AX109">
            <v>558</v>
          </cell>
        </row>
        <row r="110">
          <cell r="AX110">
            <v>558</v>
          </cell>
        </row>
        <row r="111">
          <cell r="AX111">
            <v>558</v>
          </cell>
        </row>
        <row r="112">
          <cell r="AX112">
            <v>558</v>
          </cell>
        </row>
        <row r="113">
          <cell r="AX113">
            <v>558</v>
          </cell>
        </row>
        <row r="114">
          <cell r="AX114">
            <v>558</v>
          </cell>
        </row>
        <row r="115">
          <cell r="AX115">
            <v>558</v>
          </cell>
        </row>
        <row r="116">
          <cell r="AX116">
            <v>558</v>
          </cell>
        </row>
        <row r="117">
          <cell r="AX117">
            <v>558</v>
          </cell>
        </row>
        <row r="118">
          <cell r="AX118">
            <v>558</v>
          </cell>
        </row>
        <row r="119">
          <cell r="AX119">
            <v>558</v>
          </cell>
        </row>
        <row r="120">
          <cell r="AX120">
            <v>558</v>
          </cell>
        </row>
        <row r="121">
          <cell r="AX121">
            <v>558</v>
          </cell>
        </row>
        <row r="122">
          <cell r="AX122">
            <v>558</v>
          </cell>
        </row>
        <row r="123">
          <cell r="AX123">
            <v>558</v>
          </cell>
        </row>
        <row r="124">
          <cell r="AX124">
            <v>558</v>
          </cell>
        </row>
        <row r="125">
          <cell r="AX125">
            <v>558</v>
          </cell>
        </row>
        <row r="126">
          <cell r="AX126">
            <v>558</v>
          </cell>
        </row>
        <row r="127">
          <cell r="AX127">
            <v>618</v>
          </cell>
        </row>
        <row r="128">
          <cell r="AX128">
            <v>678</v>
          </cell>
        </row>
        <row r="129">
          <cell r="AX129">
            <v>738</v>
          </cell>
        </row>
        <row r="130">
          <cell r="AX130">
            <v>738</v>
          </cell>
        </row>
        <row r="131">
          <cell r="AX131">
            <v>738</v>
          </cell>
        </row>
        <row r="132">
          <cell r="AX132">
            <v>738</v>
          </cell>
        </row>
        <row r="133">
          <cell r="AX133">
            <v>791</v>
          </cell>
        </row>
        <row r="134">
          <cell r="AX134">
            <v>791</v>
          </cell>
        </row>
        <row r="135">
          <cell r="AX135">
            <v>791</v>
          </cell>
        </row>
        <row r="136">
          <cell r="AX136">
            <v>971</v>
          </cell>
        </row>
        <row r="137">
          <cell r="AX137">
            <v>971</v>
          </cell>
        </row>
        <row r="138">
          <cell r="AX138">
            <v>911</v>
          </cell>
        </row>
        <row r="139">
          <cell r="AX139">
            <v>911</v>
          </cell>
        </row>
        <row r="140">
          <cell r="AX140">
            <v>911</v>
          </cell>
        </row>
        <row r="141">
          <cell r="AX141">
            <v>911</v>
          </cell>
        </row>
        <row r="142">
          <cell r="AX142">
            <v>1014</v>
          </cell>
        </row>
        <row r="143">
          <cell r="AX143">
            <v>1017</v>
          </cell>
        </row>
        <row r="144">
          <cell r="AX144">
            <v>1106</v>
          </cell>
        </row>
        <row r="145">
          <cell r="AX145">
            <v>1750</v>
          </cell>
        </row>
        <row r="146">
          <cell r="AX146">
            <v>1750</v>
          </cell>
        </row>
        <row r="147">
          <cell r="AX147">
            <v>1750</v>
          </cell>
        </row>
        <row r="148">
          <cell r="AX148">
            <v>1922</v>
          </cell>
        </row>
        <row r="149">
          <cell r="AX149">
            <v>1947</v>
          </cell>
        </row>
        <row r="150">
          <cell r="AX150">
            <v>1947</v>
          </cell>
        </row>
        <row r="151">
          <cell r="AX151">
            <v>2174</v>
          </cell>
        </row>
        <row r="152">
          <cell r="AX152">
            <v>2219</v>
          </cell>
        </row>
        <row r="153">
          <cell r="AX153">
            <v>2219</v>
          </cell>
        </row>
        <row r="154">
          <cell r="AX154">
            <v>2219</v>
          </cell>
        </row>
        <row r="155">
          <cell r="AX155">
            <v>2755</v>
          </cell>
        </row>
        <row r="156">
          <cell r="AX156">
            <v>2939</v>
          </cell>
        </row>
        <row r="157">
          <cell r="AX157">
            <v>2999</v>
          </cell>
        </row>
        <row r="158">
          <cell r="AX158">
            <v>3278</v>
          </cell>
        </row>
        <row r="159">
          <cell r="AX159">
            <v>3278</v>
          </cell>
        </row>
        <row r="160">
          <cell r="AX160">
            <v>3278</v>
          </cell>
        </row>
        <row r="161">
          <cell r="AX161">
            <v>3278</v>
          </cell>
        </row>
        <row r="162">
          <cell r="AX162">
            <v>3700</v>
          </cell>
        </row>
        <row r="163">
          <cell r="AX163">
            <v>3704</v>
          </cell>
        </row>
        <row r="164">
          <cell r="AX164">
            <v>3704</v>
          </cell>
        </row>
        <row r="165">
          <cell r="AX165">
            <v>3704</v>
          </cell>
        </row>
        <row r="166">
          <cell r="AX166">
            <v>3857</v>
          </cell>
        </row>
        <row r="167">
          <cell r="AX167">
            <v>3897</v>
          </cell>
        </row>
        <row r="168">
          <cell r="AX168">
            <v>3857</v>
          </cell>
        </row>
        <row r="169">
          <cell r="AX169">
            <v>3857</v>
          </cell>
        </row>
        <row r="170">
          <cell r="AX170">
            <v>3857</v>
          </cell>
        </row>
        <row r="171">
          <cell r="AX171">
            <v>3857</v>
          </cell>
        </row>
        <row r="172">
          <cell r="AX172">
            <v>4129</v>
          </cell>
        </row>
        <row r="173">
          <cell r="AX173">
            <v>4575</v>
          </cell>
        </row>
        <row r="174">
          <cell r="AX174">
            <v>4897</v>
          </cell>
        </row>
        <row r="175">
          <cell r="AX175">
            <v>4598</v>
          </cell>
        </row>
        <row r="176">
          <cell r="AX176">
            <v>4598</v>
          </cell>
        </row>
        <row r="177">
          <cell r="AX177">
            <v>4580</v>
          </cell>
        </row>
        <row r="178">
          <cell r="AX178">
            <v>4235.9999999999991</v>
          </cell>
        </row>
        <row r="179">
          <cell r="AX179">
            <v>4256</v>
          </cell>
        </row>
        <row r="180">
          <cell r="AX180">
            <v>4282</v>
          </cell>
        </row>
        <row r="181">
          <cell r="AX181">
            <v>4589.5</v>
          </cell>
        </row>
        <row r="182">
          <cell r="AX182">
            <v>4620.75</v>
          </cell>
        </row>
        <row r="183">
          <cell r="AX183">
            <v>4652</v>
          </cell>
        </row>
        <row r="184">
          <cell r="AX184">
            <v>4652.8000000000011</v>
          </cell>
        </row>
        <row r="185">
          <cell r="AX185">
            <v>4681.1000000000004</v>
          </cell>
        </row>
        <row r="186">
          <cell r="AX186">
            <v>4782.6000000000004</v>
          </cell>
        </row>
        <row r="187">
          <cell r="AX187">
            <v>4826.6000000000004</v>
          </cell>
        </row>
        <row r="188">
          <cell r="AX188">
            <v>4865.6000000000004</v>
          </cell>
        </row>
        <row r="189">
          <cell r="AX189">
            <v>4865.6000000000004</v>
          </cell>
        </row>
        <row r="190">
          <cell r="AX190">
            <v>4865.6000000000004</v>
          </cell>
        </row>
        <row r="191">
          <cell r="AX191">
            <v>4865.6000000000004</v>
          </cell>
        </row>
        <row r="192">
          <cell r="AX192">
            <v>4865.6000000000004</v>
          </cell>
        </row>
        <row r="193">
          <cell r="AX193">
            <v>4925.6000000000004</v>
          </cell>
        </row>
        <row r="194">
          <cell r="AX194">
            <v>4974.3500000000004</v>
          </cell>
        </row>
        <row r="195">
          <cell r="AX195">
            <v>5065.6000000000004</v>
          </cell>
        </row>
        <row r="196">
          <cell r="AX196">
            <v>5088.1000000000004</v>
          </cell>
        </row>
        <row r="197">
          <cell r="AX197">
            <v>5133.1000000000004</v>
          </cell>
        </row>
        <row r="198">
          <cell r="AX198">
            <v>5138.1000000000004</v>
          </cell>
        </row>
        <row r="199">
          <cell r="AX199">
            <v>5148.1000000000004</v>
          </cell>
        </row>
        <row r="200">
          <cell r="AX200">
            <v>5155.6000000000004</v>
          </cell>
        </row>
        <row r="201">
          <cell r="AX201">
            <v>5168.1000000000004</v>
          </cell>
        </row>
        <row r="202">
          <cell r="AX202">
            <v>5168.1000000000004</v>
          </cell>
        </row>
        <row r="203">
          <cell r="AX203">
            <v>5168.1000000000004</v>
          </cell>
        </row>
        <row r="204">
          <cell r="AX204">
            <v>5168.1000000000004</v>
          </cell>
        </row>
        <row r="205">
          <cell r="AX205">
            <v>5170.1000000000004</v>
          </cell>
        </row>
        <row r="206">
          <cell r="AX206">
            <v>5173.1000000000004</v>
          </cell>
        </row>
        <row r="207">
          <cell r="AX207">
            <v>5182.8500000000004</v>
          </cell>
        </row>
        <row r="208">
          <cell r="AX208">
            <v>5182.8500000000004</v>
          </cell>
        </row>
        <row r="209">
          <cell r="AX209">
            <v>5182.8500000000004</v>
          </cell>
        </row>
        <row r="210">
          <cell r="AX210">
            <v>5190.3500000000004</v>
          </cell>
        </row>
        <row r="211">
          <cell r="AX211">
            <v>5195.3500000000004</v>
          </cell>
        </row>
        <row r="212">
          <cell r="AX212">
            <v>5197.3500000000004</v>
          </cell>
        </row>
        <row r="213">
          <cell r="AX213">
            <v>5206.8500000000004</v>
          </cell>
        </row>
        <row r="214">
          <cell r="AX214">
            <v>5206.8500000000004</v>
          </cell>
        </row>
        <row r="215">
          <cell r="AX215">
            <v>5206.8500000000004</v>
          </cell>
        </row>
        <row r="216">
          <cell r="AX216">
            <v>5206.8500000000004</v>
          </cell>
        </row>
        <row r="217">
          <cell r="AX217">
            <v>5331.8500000000022</v>
          </cell>
        </row>
        <row r="218">
          <cell r="AX218">
            <v>5350.6000000000013</v>
          </cell>
        </row>
        <row r="219">
          <cell r="AX219">
            <v>5389.3500000000013</v>
          </cell>
        </row>
        <row r="220">
          <cell r="AX220">
            <v>5389.3500000000013</v>
          </cell>
        </row>
        <row r="221">
          <cell r="AX221">
            <v>5389.3500000000013</v>
          </cell>
        </row>
        <row r="222">
          <cell r="AX222">
            <v>5389.3500000000013</v>
          </cell>
        </row>
        <row r="223">
          <cell r="AX223">
            <v>5389.3500000000013</v>
          </cell>
        </row>
        <row r="224">
          <cell r="AX224">
            <v>5389.3500000000013</v>
          </cell>
        </row>
        <row r="225">
          <cell r="AX225">
            <v>5389.3500000000013</v>
          </cell>
        </row>
        <row r="226">
          <cell r="AX226">
            <v>5389.3500000000013</v>
          </cell>
        </row>
        <row r="227">
          <cell r="AX227">
            <v>5389.3500000000013</v>
          </cell>
        </row>
        <row r="228">
          <cell r="AX228">
            <v>5389.3500000000013</v>
          </cell>
        </row>
        <row r="229">
          <cell r="AX229">
            <v>5389.3500000000013</v>
          </cell>
        </row>
        <row r="230">
          <cell r="AX230">
            <v>5389.3500000000013</v>
          </cell>
        </row>
        <row r="231">
          <cell r="AX231">
            <v>5389.3500000000013</v>
          </cell>
        </row>
        <row r="232">
          <cell r="AX232">
            <v>5389.3500000000013</v>
          </cell>
        </row>
        <row r="233">
          <cell r="AX233">
            <v>5389.3500000000013</v>
          </cell>
        </row>
        <row r="234">
          <cell r="AX234">
            <v>5389.3500000000013</v>
          </cell>
        </row>
        <row r="235">
          <cell r="AX235">
            <v>5389.3500000000013</v>
          </cell>
        </row>
        <row r="236">
          <cell r="AX236">
            <v>5389.3500000000013</v>
          </cell>
        </row>
        <row r="237">
          <cell r="AX237">
            <v>5389.3500000000013</v>
          </cell>
        </row>
        <row r="238">
          <cell r="AX238">
            <v>5389.3500000000013</v>
          </cell>
        </row>
        <row r="239">
          <cell r="AX239">
            <v>5389.3500000000013</v>
          </cell>
        </row>
        <row r="240">
          <cell r="AX240">
            <v>5389.3500000000013</v>
          </cell>
        </row>
        <row r="241">
          <cell r="AX241">
            <v>5389.3500000000013</v>
          </cell>
        </row>
        <row r="242">
          <cell r="AX242">
            <v>5389.3500000000013</v>
          </cell>
        </row>
        <row r="243">
          <cell r="AX243">
            <v>5389.3500000000013</v>
          </cell>
        </row>
        <row r="244">
          <cell r="AX244">
            <v>5389.3500000000013</v>
          </cell>
        </row>
        <row r="245">
          <cell r="AX245">
            <v>5389.3500000000013</v>
          </cell>
        </row>
        <row r="246">
          <cell r="AX246">
            <v>5389.3500000000013</v>
          </cell>
        </row>
        <row r="247">
          <cell r="AX247">
            <v>5389.3500000000013</v>
          </cell>
        </row>
        <row r="248">
          <cell r="AX248">
            <v>5389.3500000000013</v>
          </cell>
        </row>
        <row r="249">
          <cell r="AX249">
            <v>5389.3500000000013</v>
          </cell>
        </row>
        <row r="250">
          <cell r="AX250">
            <v>5389.3500000000013</v>
          </cell>
        </row>
        <row r="251">
          <cell r="AX251">
            <v>5389.3500000000013</v>
          </cell>
        </row>
        <row r="252">
          <cell r="AX252">
            <v>5389.3500000000013</v>
          </cell>
        </row>
        <row r="253">
          <cell r="AX253">
            <v>5389.3500000000013</v>
          </cell>
        </row>
        <row r="254">
          <cell r="AX254">
            <v>5408.1000000000013</v>
          </cell>
        </row>
        <row r="255">
          <cell r="AX255">
            <v>5446.8500000000013</v>
          </cell>
        </row>
        <row r="256">
          <cell r="AX256">
            <v>5446.8500000000013</v>
          </cell>
        </row>
        <row r="257">
          <cell r="AX257">
            <v>5446.8500000000013</v>
          </cell>
        </row>
        <row r="258">
          <cell r="AX258">
            <v>5446.8500000000013</v>
          </cell>
        </row>
        <row r="259">
          <cell r="AX259">
            <v>5446.8500000000013</v>
          </cell>
        </row>
        <row r="260">
          <cell r="AX260">
            <v>5446.8500000000013</v>
          </cell>
        </row>
        <row r="261">
          <cell r="AX261">
            <v>5446.8500000000013</v>
          </cell>
        </row>
        <row r="262">
          <cell r="AX262">
            <v>5446.8500000000013</v>
          </cell>
        </row>
        <row r="263">
          <cell r="AX263">
            <v>5446.8500000000013</v>
          </cell>
        </row>
        <row r="264">
          <cell r="AX264">
            <v>5446.8500000000013</v>
          </cell>
        </row>
        <row r="265">
          <cell r="AX265">
            <v>5446.8500000000013</v>
          </cell>
        </row>
        <row r="266">
          <cell r="AX266">
            <v>5446.8500000000013</v>
          </cell>
        </row>
        <row r="267">
          <cell r="AX267">
            <v>5446.8500000000013</v>
          </cell>
        </row>
        <row r="268">
          <cell r="AX268">
            <v>5446.8500000000013</v>
          </cell>
        </row>
        <row r="269">
          <cell r="AX269">
            <v>5446.8500000000013</v>
          </cell>
        </row>
        <row r="270">
          <cell r="AX270">
            <v>5446.8500000000013</v>
          </cell>
        </row>
        <row r="271">
          <cell r="AX271">
            <v>5446.8500000000013</v>
          </cell>
        </row>
        <row r="272">
          <cell r="AX272">
            <v>5446.8500000000013</v>
          </cell>
        </row>
        <row r="273">
          <cell r="AX273">
            <v>5446.8500000000013</v>
          </cell>
        </row>
        <row r="274">
          <cell r="AX274">
            <v>5446.8500000000013</v>
          </cell>
        </row>
        <row r="275">
          <cell r="AX275">
            <v>5446.8500000000013</v>
          </cell>
        </row>
        <row r="276">
          <cell r="AX276">
            <v>5446.8500000000013</v>
          </cell>
        </row>
        <row r="277">
          <cell r="AX277">
            <v>5446.8500000000013</v>
          </cell>
        </row>
        <row r="278">
          <cell r="AX278">
            <v>5446.8500000000013</v>
          </cell>
        </row>
        <row r="279">
          <cell r="AX279">
            <v>5446.8500000000013</v>
          </cell>
        </row>
        <row r="280">
          <cell r="AX280">
            <v>5446.8500000000013</v>
          </cell>
        </row>
        <row r="281">
          <cell r="AX281">
            <v>5446.8500000000013</v>
          </cell>
        </row>
        <row r="282">
          <cell r="AX282">
            <v>5446.8500000000013</v>
          </cell>
        </row>
        <row r="283">
          <cell r="AX283">
            <v>5446.8500000000013</v>
          </cell>
        </row>
        <row r="284">
          <cell r="AX284">
            <v>5446.8500000000013</v>
          </cell>
        </row>
        <row r="285">
          <cell r="AX285">
            <v>5446.8500000000013</v>
          </cell>
        </row>
        <row r="286">
          <cell r="AX286">
            <v>5446.8500000000013</v>
          </cell>
        </row>
        <row r="287">
          <cell r="AX287">
            <v>5446.8500000000013</v>
          </cell>
        </row>
        <row r="288">
          <cell r="AX288">
            <v>5446.8500000000013</v>
          </cell>
        </row>
      </sheetData>
      <sheetData sheetId="5">
        <row r="13">
          <cell r="EK13">
            <v>8.8824043025948303</v>
          </cell>
        </row>
      </sheetData>
      <sheetData sheetId="6">
        <row r="47">
          <cell r="V47"/>
        </row>
      </sheetData>
      <sheetData sheetId="7">
        <row r="57">
          <cell r="Z57">
            <v>5.7260476065573771</v>
          </cell>
        </row>
      </sheetData>
      <sheetData sheetId="8"/>
      <sheetData sheetId="9"/>
      <sheetData sheetId="10"/>
      <sheetData sheetId="11">
        <row r="132">
          <cell r="D132">
            <v>100</v>
          </cell>
        </row>
      </sheetData>
      <sheetData sheetId="12">
        <row r="63">
          <cell r="B63">
            <v>0</v>
          </cell>
        </row>
      </sheetData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/>
      <sheetData sheetId="1"/>
      <sheetData sheetId="2"/>
      <sheetData sheetId="3">
        <row r="354">
          <cell r="AU354">
            <v>1812.7403983730342</v>
          </cell>
          <cell r="AV354">
            <v>3187.4999999999995</v>
          </cell>
          <cell r="AW354">
            <v>4119.5</v>
          </cell>
          <cell r="AX354">
            <v>2297</v>
          </cell>
          <cell r="AY354">
            <v>1389</v>
          </cell>
          <cell r="AZ354">
            <v>5000</v>
          </cell>
          <cell r="BA354">
            <v>4833</v>
          </cell>
          <cell r="BB354">
            <v>6154</v>
          </cell>
          <cell r="BC354">
            <v>5849.74</v>
          </cell>
          <cell r="BD354">
            <v>5656.2</v>
          </cell>
          <cell r="BE354">
            <v>7306.12</v>
          </cell>
          <cell r="BF354">
            <v>7705.93</v>
          </cell>
          <cell r="BG354">
            <v>8799.4032910156257</v>
          </cell>
          <cell r="BH354">
            <v>8583.3963120268199</v>
          </cell>
          <cell r="BI354">
            <v>9641.4498306650494</v>
          </cell>
          <cell r="BJ354">
            <v>8248.598237923683</v>
          </cell>
          <cell r="BK354">
            <v>8443.858088212748</v>
          </cell>
          <cell r="BL354">
            <v>9206.5236084459957</v>
          </cell>
          <cell r="BM354">
            <v>8598.8660320250001</v>
          </cell>
          <cell r="BN354">
            <v>8659.8993594492895</v>
          </cell>
          <cell r="BO354">
            <v>7862.2784688618449</v>
          </cell>
          <cell r="BP354">
            <v>7780.1946090996889</v>
          </cell>
          <cell r="BQ354">
            <v>6189.5470348551562</v>
          </cell>
          <cell r="BR354">
            <v>6881.8568580559422</v>
          </cell>
          <cell r="BS354">
            <v>6815.6502541925029</v>
          </cell>
          <cell r="BT354">
            <v>6639.6075060696885</v>
          </cell>
          <cell r="BU354">
            <v>6858.1572273546926</v>
          </cell>
          <cell r="BV354">
            <v>5052.5601301842662</v>
          </cell>
          <cell r="BW354">
            <v>6101.704535638346</v>
          </cell>
          <cell r="BX354">
            <v>6090.779560913028</v>
          </cell>
          <cell r="BY354">
            <v>5313.4782992053288</v>
          </cell>
          <cell r="BZ354">
            <v>4367.4182862353809</v>
          </cell>
          <cell r="CA354">
            <v>4302.3689429551332</v>
          </cell>
          <cell r="CB354">
            <v>4130.8220121355307</v>
          </cell>
          <cell r="CC354">
            <v>2373.4829801687533</v>
          </cell>
          <cell r="CD354">
            <v>2490.3821537601639</v>
          </cell>
          <cell r="CE354">
            <v>2291.4592555716054</v>
          </cell>
          <cell r="CF354">
            <v>1786.2143094701089</v>
          </cell>
          <cell r="CG354">
            <v>1685.6804506507972</v>
          </cell>
          <cell r="CH354">
            <v>1571.8166983646297</v>
          </cell>
          <cell r="CI354">
            <v>1441.6528609554334</v>
          </cell>
          <cell r="CJ354">
            <v>1316.0001456300627</v>
          </cell>
          <cell r="CK354">
            <v>1278.5361929872774</v>
          </cell>
          <cell r="CL354">
            <v>1197.0825384652621</v>
          </cell>
          <cell r="CM354">
            <v>1265.2657910829764</v>
          </cell>
        </row>
        <row r="370">
          <cell r="AZ370">
            <v>60</v>
          </cell>
          <cell r="BA370">
            <v>175</v>
          </cell>
          <cell r="BB370">
            <v>451</v>
          </cell>
          <cell r="BC370">
            <v>337</v>
          </cell>
          <cell r="BD370">
            <v>370</v>
          </cell>
          <cell r="BE370">
            <v>550</v>
          </cell>
          <cell r="BF370">
            <v>670</v>
          </cell>
          <cell r="BG370">
            <v>1060</v>
          </cell>
          <cell r="BH370">
            <v>2000</v>
          </cell>
          <cell r="BI370">
            <v>2230</v>
          </cell>
          <cell r="BJ370">
            <v>2625</v>
          </cell>
          <cell r="BK370">
            <v>1626.5565724996895</v>
          </cell>
          <cell r="BL370">
            <v>4968.4109674218571</v>
          </cell>
          <cell r="BM370">
            <v>7738.2806924788456</v>
          </cell>
          <cell r="BN370">
            <v>4539.473892332373</v>
          </cell>
          <cell r="BO370">
            <v>5348.425345912985</v>
          </cell>
          <cell r="BP370">
            <v>7006.0332316669119</v>
          </cell>
          <cell r="BQ370">
            <v>7947.9209129485007</v>
          </cell>
          <cell r="BR370">
            <v>6968.4118581231605</v>
          </cell>
          <cell r="BS370">
            <v>7384.2524552718633</v>
          </cell>
          <cell r="BT370">
            <v>8078.8159292780592</v>
          </cell>
          <cell r="BU370">
            <v>9617.8036184936755</v>
          </cell>
          <cell r="BV370">
            <v>10125.783478205838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 refreshError="1"/>
      <sheetData sheetId="1">
        <row r="74">
          <cell r="AD74">
            <v>11350.167842737355</v>
          </cell>
          <cell r="AE74">
            <v>16144.05597240912</v>
          </cell>
        </row>
      </sheetData>
      <sheetData sheetId="2">
        <row r="134">
          <cell r="S134">
            <v>2.9200218389999995</v>
          </cell>
        </row>
      </sheetData>
      <sheetData sheetId="3">
        <row r="39">
          <cell r="S39">
            <v>0</v>
          </cell>
        </row>
      </sheetData>
      <sheetData sheetId="4" refreshError="1"/>
      <sheetData sheetId="5">
        <row r="31">
          <cell r="S31">
            <v>82.89025980480001</v>
          </cell>
        </row>
      </sheetData>
      <sheetData sheetId="6">
        <row r="18">
          <cell r="S18">
            <v>74.060748694799997</v>
          </cell>
        </row>
      </sheetData>
      <sheetData sheetId="7">
        <row r="66">
          <cell r="B66">
            <v>199.83863125699997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118">
          <cell r="Y118">
            <v>54.386776459977902</v>
          </cell>
        </row>
      </sheetData>
      <sheetData sheetId="13" refreshError="1"/>
      <sheetData sheetId="14" refreshError="1"/>
      <sheetData sheetId="15">
        <row r="119">
          <cell r="Y119">
            <v>12.287952426892769</v>
          </cell>
        </row>
      </sheetData>
      <sheetData sheetId="16">
        <row r="119">
          <cell r="Y119">
            <v>22.713687847246391</v>
          </cell>
        </row>
      </sheetData>
      <sheetData sheetId="17">
        <row r="121">
          <cell r="Y121">
            <v>8.1239342468021096</v>
          </cell>
        </row>
      </sheetData>
      <sheetData sheetId="18" refreshError="1"/>
      <sheetData sheetId="19">
        <row r="82">
          <cell r="B82">
            <v>50.53604167621706</v>
          </cell>
        </row>
      </sheetData>
      <sheetData sheetId="20" refreshError="1"/>
      <sheetData sheetId="21" refreshError="1"/>
      <sheetData sheetId="22">
        <row r="99">
          <cell r="B99">
            <v>56.662541489965335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 EIA"/>
      <sheetName val="SBO Fuel Value"/>
      <sheetName val="US LCFS"/>
      <sheetName val="Days of Sales Chart"/>
      <sheetName val="Sheet1"/>
      <sheetName val="Balance Sheet"/>
      <sheetName val="EPA Requirements"/>
      <sheetName val="Brazil"/>
      <sheetName val="Malaysia"/>
      <sheetName val="Thailand"/>
      <sheetName val="Philippines"/>
      <sheetName val="Peru"/>
      <sheetName val="European Union"/>
      <sheetName val="EU Plant List"/>
      <sheetName val="Australia"/>
      <sheetName val="Colombia"/>
      <sheetName val="Canada Biofuel Bal Sheets"/>
      <sheetName val="Canada"/>
      <sheetName val="Canada Biodiesel Plants"/>
      <sheetName val="Indonesia"/>
      <sheetName val="China"/>
      <sheetName val="Argentina"/>
      <sheetName val="India"/>
      <sheetName val="Brazil - GAIN"/>
      <sheetName val="Japan"/>
      <sheetName val="Sheet2"/>
      <sheetName val="World"/>
      <sheetName val="US Biodiesel Imports"/>
      <sheetName val="US Biodiesel Exports"/>
      <sheetName val="US Biodiesel Feedstock Usage"/>
    </sheetNames>
    <sheetDataSet>
      <sheetData sheetId="0">
        <row r="3">
          <cell r="C3">
            <v>0</v>
          </cell>
        </row>
        <row r="150">
          <cell r="R150">
            <v>2114.4475000000002</v>
          </cell>
        </row>
        <row r="151">
          <cell r="R151">
            <v>2103.5974999999999</v>
          </cell>
        </row>
        <row r="152">
          <cell r="R152">
            <v>2081.4974999999999</v>
          </cell>
        </row>
        <row r="153">
          <cell r="R153">
            <v>2101.3975</v>
          </cell>
        </row>
        <row r="154">
          <cell r="R154">
            <v>2064.3975</v>
          </cell>
        </row>
        <row r="155">
          <cell r="R155">
            <v>2068.9974999999999</v>
          </cell>
        </row>
        <row r="156">
          <cell r="R156">
            <v>1958.4974999999999</v>
          </cell>
        </row>
        <row r="157">
          <cell r="R157">
            <v>2007.6575</v>
          </cell>
        </row>
        <row r="158">
          <cell r="R158">
            <v>2087.0946509999999</v>
          </cell>
        </row>
        <row r="159">
          <cell r="R159">
            <v>2118.9381509999998</v>
          </cell>
        </row>
        <row r="160">
          <cell r="R160">
            <v>2097.7631510000001</v>
          </cell>
        </row>
        <row r="161">
          <cell r="R161">
            <v>2089.9381509999998</v>
          </cell>
        </row>
        <row r="162">
          <cell r="R162">
            <v>2248</v>
          </cell>
        </row>
        <row r="163">
          <cell r="R163">
            <v>2248</v>
          </cell>
        </row>
        <row r="164">
          <cell r="R164">
            <v>2233</v>
          </cell>
        </row>
        <row r="165">
          <cell r="R165">
            <v>2203</v>
          </cell>
        </row>
        <row r="166">
          <cell r="R166">
            <v>2199</v>
          </cell>
        </row>
        <row r="167">
          <cell r="R167">
            <v>2183</v>
          </cell>
        </row>
        <row r="168">
          <cell r="R168">
            <v>2180</v>
          </cell>
        </row>
        <row r="169">
          <cell r="R169">
            <v>2180</v>
          </cell>
        </row>
        <row r="170">
          <cell r="R170">
            <v>2210</v>
          </cell>
        </row>
        <row r="171">
          <cell r="R171">
            <v>2210</v>
          </cell>
        </row>
        <row r="172">
          <cell r="R172">
            <v>2172</v>
          </cell>
        </row>
        <row r="173">
          <cell r="R173">
            <v>2104</v>
          </cell>
        </row>
        <row r="174">
          <cell r="R174">
            <v>2112</v>
          </cell>
        </row>
        <row r="175">
          <cell r="R175">
            <v>2121</v>
          </cell>
        </row>
        <row r="176">
          <cell r="R176">
            <v>2140</v>
          </cell>
        </row>
        <row r="177">
          <cell r="R177">
            <v>2141</v>
          </cell>
        </row>
        <row r="178">
          <cell r="R178">
            <v>2153</v>
          </cell>
        </row>
        <row r="179">
          <cell r="R179">
            <v>2162</v>
          </cell>
        </row>
        <row r="180">
          <cell r="R180">
            <v>2156</v>
          </cell>
        </row>
        <row r="181">
          <cell r="R181">
            <v>2153</v>
          </cell>
        </row>
        <row r="182">
          <cell r="R182">
            <v>2153</v>
          </cell>
        </row>
        <row r="183">
          <cell r="R183">
            <v>2137</v>
          </cell>
        </row>
        <row r="184">
          <cell r="R184">
            <v>2136</v>
          </cell>
        </row>
        <row r="185">
          <cell r="R185">
            <v>2116</v>
          </cell>
        </row>
        <row r="186">
          <cell r="R186">
            <v>1959</v>
          </cell>
        </row>
        <row r="187">
          <cell r="R187">
            <v>2102</v>
          </cell>
        </row>
        <row r="188">
          <cell r="R188">
            <v>2073</v>
          </cell>
        </row>
        <row r="189">
          <cell r="R189">
            <v>2079</v>
          </cell>
        </row>
        <row r="190">
          <cell r="R190">
            <v>2120</v>
          </cell>
        </row>
        <row r="191">
          <cell r="R191">
            <v>2002</v>
          </cell>
        </row>
        <row r="192">
          <cell r="R192">
            <v>2106</v>
          </cell>
        </row>
        <row r="193">
          <cell r="R193">
            <v>2118</v>
          </cell>
        </row>
        <row r="194">
          <cell r="R194">
            <v>2131</v>
          </cell>
        </row>
        <row r="195">
          <cell r="R195">
            <v>2146</v>
          </cell>
        </row>
        <row r="196">
          <cell r="R196">
            <v>2131</v>
          </cell>
        </row>
        <row r="197">
          <cell r="R197">
            <v>2145</v>
          </cell>
        </row>
        <row r="198">
          <cell r="R198">
            <v>2106</v>
          </cell>
        </row>
        <row r="199">
          <cell r="R199">
            <v>2155</v>
          </cell>
        </row>
        <row r="200">
          <cell r="R200">
            <v>2160</v>
          </cell>
        </row>
        <row r="201">
          <cell r="R201">
            <v>2209</v>
          </cell>
        </row>
        <row r="202">
          <cell r="R202">
            <v>2168</v>
          </cell>
        </row>
        <row r="203">
          <cell r="R203">
            <v>2151</v>
          </cell>
        </row>
        <row r="204">
          <cell r="R204">
            <v>2131</v>
          </cell>
        </row>
        <row r="205">
          <cell r="R205">
            <v>2134</v>
          </cell>
        </row>
        <row r="206">
          <cell r="R206">
            <v>2154</v>
          </cell>
        </row>
        <row r="207">
          <cell r="R207">
            <v>2166</v>
          </cell>
        </row>
        <row r="208">
          <cell r="R208">
            <v>2122</v>
          </cell>
        </row>
        <row r="209">
          <cell r="R209">
            <v>2029</v>
          </cell>
        </row>
        <row r="210">
          <cell r="R210">
            <v>2270</v>
          </cell>
        </row>
        <row r="211">
          <cell r="R211">
            <v>2270</v>
          </cell>
        </row>
        <row r="212">
          <cell r="R212">
            <v>2299</v>
          </cell>
        </row>
        <row r="213">
          <cell r="R213">
            <v>2290</v>
          </cell>
        </row>
        <row r="214">
          <cell r="R214">
            <v>2275</v>
          </cell>
        </row>
        <row r="215">
          <cell r="R215">
            <v>2275</v>
          </cell>
        </row>
        <row r="216">
          <cell r="R216">
            <v>2275</v>
          </cell>
        </row>
        <row r="217">
          <cell r="R217">
            <v>2275</v>
          </cell>
        </row>
        <row r="218">
          <cell r="R218">
            <v>2279</v>
          </cell>
        </row>
        <row r="219">
          <cell r="R219">
            <v>2312</v>
          </cell>
        </row>
        <row r="220">
          <cell r="R220">
            <v>2312</v>
          </cell>
        </row>
        <row r="221">
          <cell r="R221">
            <v>2316</v>
          </cell>
        </row>
        <row r="222">
          <cell r="R222">
            <v>2316</v>
          </cell>
        </row>
        <row r="223">
          <cell r="R223">
            <v>2316</v>
          </cell>
        </row>
        <row r="224">
          <cell r="R224">
            <v>2362</v>
          </cell>
        </row>
        <row r="225">
          <cell r="R225">
            <v>2328</v>
          </cell>
        </row>
        <row r="226">
          <cell r="R226">
            <v>2329</v>
          </cell>
        </row>
        <row r="227">
          <cell r="R227">
            <v>2329</v>
          </cell>
        </row>
        <row r="228">
          <cell r="R228">
            <v>2330</v>
          </cell>
        </row>
        <row r="229">
          <cell r="R229">
            <v>2321</v>
          </cell>
        </row>
        <row r="230">
          <cell r="R230">
            <v>2350</v>
          </cell>
        </row>
        <row r="231">
          <cell r="R231">
            <v>2357</v>
          </cell>
        </row>
        <row r="232">
          <cell r="R232">
            <v>2417</v>
          </cell>
        </row>
        <row r="233">
          <cell r="R233">
            <v>2401</v>
          </cell>
        </row>
        <row r="234">
          <cell r="R234">
            <v>2549</v>
          </cell>
        </row>
        <row r="235">
          <cell r="R235">
            <v>2550</v>
          </cell>
        </row>
        <row r="236">
          <cell r="R236">
            <v>2548</v>
          </cell>
        </row>
        <row r="237">
          <cell r="R237">
            <v>2567</v>
          </cell>
        </row>
        <row r="238">
          <cell r="R238">
            <v>2511</v>
          </cell>
        </row>
        <row r="239">
          <cell r="R239">
            <v>2512</v>
          </cell>
        </row>
        <row r="240">
          <cell r="R240">
            <v>2512</v>
          </cell>
        </row>
        <row r="241">
          <cell r="R241">
            <v>2512</v>
          </cell>
        </row>
        <row r="242">
          <cell r="R242">
            <v>2512</v>
          </cell>
        </row>
        <row r="243">
          <cell r="R243">
            <v>2517</v>
          </cell>
        </row>
        <row r="244">
          <cell r="R244">
            <v>2502</v>
          </cell>
        </row>
        <row r="245">
          <cell r="R245">
            <v>2507</v>
          </cell>
        </row>
        <row r="246">
          <cell r="R246">
            <v>2564</v>
          </cell>
        </row>
        <row r="247">
          <cell r="R247">
            <v>2563</v>
          </cell>
        </row>
        <row r="248">
          <cell r="R248">
            <v>2563</v>
          </cell>
        </row>
        <row r="249">
          <cell r="R249">
            <v>2563</v>
          </cell>
        </row>
        <row r="250">
          <cell r="R250">
            <v>2553</v>
          </cell>
        </row>
        <row r="251">
          <cell r="R251">
            <v>2504</v>
          </cell>
        </row>
        <row r="252">
          <cell r="R252">
            <v>2561</v>
          </cell>
        </row>
        <row r="253">
          <cell r="R253">
            <v>2561</v>
          </cell>
        </row>
        <row r="254">
          <cell r="R254">
            <v>2547</v>
          </cell>
        </row>
        <row r="255">
          <cell r="R255">
            <v>2515</v>
          </cell>
        </row>
        <row r="256">
          <cell r="R256">
            <v>2510</v>
          </cell>
        </row>
        <row r="257">
          <cell r="R257">
            <v>2513</v>
          </cell>
        </row>
        <row r="258">
          <cell r="R258">
            <v>2515</v>
          </cell>
        </row>
        <row r="259">
          <cell r="R259">
            <v>2515</v>
          </cell>
        </row>
        <row r="260">
          <cell r="R260">
            <v>2514</v>
          </cell>
        </row>
        <row r="261">
          <cell r="R261">
            <v>2514</v>
          </cell>
        </row>
        <row r="262">
          <cell r="R262">
            <v>2514</v>
          </cell>
        </row>
        <row r="263">
          <cell r="R263">
            <v>2514</v>
          </cell>
        </row>
        <row r="264">
          <cell r="R264">
            <v>2509</v>
          </cell>
        </row>
        <row r="265">
          <cell r="R265">
            <v>2459</v>
          </cell>
        </row>
        <row r="266">
          <cell r="R266">
            <v>2460</v>
          </cell>
        </row>
        <row r="267">
          <cell r="R267">
            <v>2454</v>
          </cell>
        </row>
        <row r="268">
          <cell r="R268">
            <v>2451</v>
          </cell>
        </row>
        <row r="269">
          <cell r="R269">
            <v>2476</v>
          </cell>
        </row>
        <row r="270">
          <cell r="R270">
            <v>2394</v>
          </cell>
        </row>
        <row r="271">
          <cell r="R271">
            <v>2394</v>
          </cell>
        </row>
        <row r="272">
          <cell r="R272">
            <v>2410</v>
          </cell>
        </row>
        <row r="273">
          <cell r="R273">
            <v>2410</v>
          </cell>
        </row>
        <row r="274">
          <cell r="R274">
            <v>2428</v>
          </cell>
        </row>
        <row r="275">
          <cell r="R275">
            <v>2428</v>
          </cell>
        </row>
        <row r="276">
          <cell r="R276">
            <v>2430</v>
          </cell>
        </row>
        <row r="277">
          <cell r="R277">
            <v>2430</v>
          </cell>
        </row>
        <row r="278">
          <cell r="R278">
            <v>2462</v>
          </cell>
        </row>
        <row r="279">
          <cell r="R279">
            <v>2461</v>
          </cell>
        </row>
        <row r="280">
          <cell r="R280">
            <v>2389</v>
          </cell>
        </row>
        <row r="281">
          <cell r="R281">
            <v>2244</v>
          </cell>
        </row>
        <row r="282">
          <cell r="R282">
            <v>2263</v>
          </cell>
        </row>
        <row r="283">
          <cell r="R283">
            <v>2285</v>
          </cell>
        </row>
        <row r="284">
          <cell r="R284">
            <v>2284</v>
          </cell>
        </row>
        <row r="285">
          <cell r="R285">
            <v>2225</v>
          </cell>
        </row>
        <row r="286">
          <cell r="R286">
            <v>2223</v>
          </cell>
        </row>
        <row r="287">
          <cell r="R287">
            <v>2223</v>
          </cell>
        </row>
        <row r="288">
          <cell r="R288">
            <v>2097</v>
          </cell>
        </row>
        <row r="289">
          <cell r="R289">
            <v>2092</v>
          </cell>
        </row>
        <row r="290">
          <cell r="R290">
            <v>2092</v>
          </cell>
        </row>
        <row r="291">
          <cell r="R291">
            <v>2092</v>
          </cell>
        </row>
        <row r="292">
          <cell r="R292">
            <v>2092</v>
          </cell>
        </row>
        <row r="293">
          <cell r="R293">
            <v>2090</v>
          </cell>
        </row>
        <row r="294">
          <cell r="R294">
            <v>2051</v>
          </cell>
        </row>
        <row r="295">
          <cell r="R295">
            <v>2063</v>
          </cell>
        </row>
        <row r="296">
          <cell r="R296">
            <v>2087</v>
          </cell>
        </row>
        <row r="297">
          <cell r="R297">
            <v>2087</v>
          </cell>
        </row>
        <row r="298">
          <cell r="R298">
            <v>2082</v>
          </cell>
        </row>
        <row r="299">
          <cell r="R299">
            <v>2082</v>
          </cell>
        </row>
        <row r="300">
          <cell r="R300">
            <v>2080</v>
          </cell>
        </row>
        <row r="301">
          <cell r="R301">
            <v>2080</v>
          </cell>
        </row>
        <row r="302">
          <cell r="R302">
            <v>2070</v>
          </cell>
        </row>
        <row r="303">
          <cell r="R303">
            <v>2079</v>
          </cell>
        </row>
        <row r="304">
          <cell r="R304">
            <v>2079</v>
          </cell>
        </row>
        <row r="305">
          <cell r="R305">
            <v>2073</v>
          </cell>
        </row>
        <row r="306">
          <cell r="R306">
            <v>2073</v>
          </cell>
        </row>
        <row r="307">
          <cell r="R307">
            <v>1984</v>
          </cell>
        </row>
        <row r="308">
          <cell r="R308">
            <v>1984</v>
          </cell>
        </row>
        <row r="309">
          <cell r="R309">
            <v>1991</v>
          </cell>
        </row>
        <row r="310">
          <cell r="R310">
            <v>2022</v>
          </cell>
        </row>
        <row r="311">
          <cell r="R311">
            <v>2022</v>
          </cell>
        </row>
        <row r="312">
          <cell r="R312">
            <v>2022</v>
          </cell>
        </row>
        <row r="313">
          <cell r="R313">
            <v>1995</v>
          </cell>
        </row>
        <row r="314">
          <cell r="R314">
            <v>1995</v>
          </cell>
        </row>
        <row r="315">
          <cell r="R315">
            <v>1995</v>
          </cell>
        </row>
        <row r="316">
          <cell r="R316">
            <v>1995</v>
          </cell>
        </row>
        <row r="317">
          <cell r="R317">
            <v>1995</v>
          </cell>
        </row>
      </sheetData>
      <sheetData sheetId="1"/>
      <sheetData sheetId="2">
        <row r="2">
          <cell r="H2">
            <v>1954349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90">
          <cell r="MA290">
            <v>13555.3992</v>
          </cell>
          <cell r="MB290">
            <v>9605.6957999999995</v>
          </cell>
          <cell r="MG290">
            <v>12131.3274</v>
          </cell>
          <cell r="MH290">
            <v>16041.539699999999</v>
          </cell>
          <cell r="MI290">
            <v>14443.432500000001</v>
          </cell>
          <cell r="MJ290">
            <v>25168.2189</v>
          </cell>
          <cell r="MK290">
            <v>19646.1888</v>
          </cell>
          <cell r="ML290">
            <v>18146.7546</v>
          </cell>
          <cell r="MM290">
            <v>14889.155699999999</v>
          </cell>
          <cell r="MN290">
            <v>11198.966399999999</v>
          </cell>
          <cell r="MO290">
            <v>15465.6921</v>
          </cell>
          <cell r="MP290">
            <v>18805.693500000001</v>
          </cell>
          <cell r="MQ290">
            <v>24021.6672</v>
          </cell>
          <cell r="MR290">
            <v>12284.777700000001</v>
          </cell>
          <cell r="MS290">
            <v>9667.9002</v>
          </cell>
          <cell r="MT290">
            <v>10666.578299999999</v>
          </cell>
          <cell r="MU290">
            <v>14292.320400000001</v>
          </cell>
          <cell r="MV290">
            <v>20691.786899999999</v>
          </cell>
          <cell r="MW290">
            <v>12920.5362</v>
          </cell>
          <cell r="MX290">
            <v>18906.015899999999</v>
          </cell>
          <cell r="MY290">
            <v>13227.879300000001</v>
          </cell>
          <cell r="MZ290">
            <v>11211.591899999999</v>
          </cell>
          <cell r="NA290">
            <v>17396.634600000001</v>
          </cell>
          <cell r="NB290">
            <v>17735.6718</v>
          </cell>
          <cell r="NC290">
            <v>27819.3</v>
          </cell>
          <cell r="ND290">
            <v>27547.5</v>
          </cell>
          <cell r="NE290">
            <v>20306.7</v>
          </cell>
          <cell r="NF290">
            <v>5397.6</v>
          </cell>
          <cell r="NG290">
            <v>31581</v>
          </cell>
          <cell r="NH290">
            <v>22104</v>
          </cell>
          <cell r="NI290">
            <v>13065.9</v>
          </cell>
          <cell r="NJ290">
            <v>15013.5</v>
          </cell>
          <cell r="NK290">
            <v>9872.7000000000007</v>
          </cell>
          <cell r="NL290">
            <v>16724.400000000001</v>
          </cell>
          <cell r="NM290">
            <v>19553.400000000001</v>
          </cell>
          <cell r="NN290">
            <v>18722.099999999999</v>
          </cell>
          <cell r="NO290">
            <v>35607.300000000003</v>
          </cell>
          <cell r="NP290">
            <v>29738.7</v>
          </cell>
          <cell r="NQ290">
            <v>39911.1</v>
          </cell>
          <cell r="NR290">
            <v>36990.9</v>
          </cell>
          <cell r="NS290">
            <v>43928.7</v>
          </cell>
          <cell r="NT290">
            <v>40297.5</v>
          </cell>
          <cell r="NU290">
            <v>35722.5</v>
          </cell>
          <cell r="NV290">
            <v>41725.5</v>
          </cell>
          <cell r="NW290">
            <v>31413.3</v>
          </cell>
          <cell r="NX290">
            <v>41921.4</v>
          </cell>
          <cell r="NY290">
            <v>55035.6</v>
          </cell>
          <cell r="NZ290">
            <v>49617.3</v>
          </cell>
        </row>
      </sheetData>
      <sheetData sheetId="28">
        <row r="290">
          <cell r="IP290">
            <v>11477.781000000001</v>
          </cell>
          <cell r="IQ290">
            <v>5222.2137000000002</v>
          </cell>
          <cell r="IR290">
            <v>7963.8945000000003</v>
          </cell>
          <cell r="IS290">
            <v>9649.5653999999995</v>
          </cell>
          <cell r="IT290">
            <v>13369.1739</v>
          </cell>
          <cell r="IU290">
            <v>14516.463900000001</v>
          </cell>
          <cell r="IV290">
            <v>15941.796</v>
          </cell>
          <cell r="IW290">
            <v>15935.76</v>
          </cell>
          <cell r="IX290">
            <v>10126.984200000001</v>
          </cell>
          <cell r="IY290">
            <v>8758.0110000000004</v>
          </cell>
          <cell r="IZ290">
            <v>2735.2761</v>
          </cell>
          <cell r="JA290">
            <v>6051.9059999999999</v>
          </cell>
          <cell r="JB290">
            <v>691.13160000000005</v>
          </cell>
          <cell r="JC290">
            <v>1580.9513999999999</v>
          </cell>
          <cell r="JD290">
            <v>7446.7952999999998</v>
          </cell>
          <cell r="JE290">
            <v>15686.651400000001</v>
          </cell>
          <cell r="JF290">
            <v>23811.237000000001</v>
          </cell>
          <cell r="JG290">
            <v>24836.688900000001</v>
          </cell>
          <cell r="JH290">
            <v>18133.9107</v>
          </cell>
          <cell r="JI290">
            <v>29038.152600000001</v>
          </cell>
          <cell r="JJ290">
            <v>21594.147000000001</v>
          </cell>
          <cell r="JK290">
            <v>17531.290199999999</v>
          </cell>
          <cell r="JL290">
            <v>17245.996800000001</v>
          </cell>
          <cell r="JM290">
            <v>20115.0363</v>
          </cell>
          <cell r="JN290">
            <v>5677.4124000000002</v>
          </cell>
          <cell r="JO290">
            <v>5949.2316000000001</v>
          </cell>
          <cell r="JP290">
            <v>3866.3771999999999</v>
          </cell>
          <cell r="JQ290">
            <v>11040.236999999999</v>
          </cell>
          <cell r="JR290">
            <v>8777.2248</v>
          </cell>
          <cell r="JS290">
            <v>11137.843500000001</v>
          </cell>
          <cell r="JT290">
            <v>13537.134899999999</v>
          </cell>
          <cell r="JU290">
            <v>11171.9982</v>
          </cell>
          <cell r="JV290">
            <v>5762.1356999999998</v>
          </cell>
          <cell r="JW290">
            <v>1670.7999</v>
          </cell>
          <cell r="JX290">
            <v>2751.9105</v>
          </cell>
          <cell r="JY290">
            <v>2137.4025000000001</v>
          </cell>
          <cell r="JZ290">
            <v>929.14110000000005</v>
          </cell>
          <cell r="KA290">
            <v>989.87760000000003</v>
          </cell>
          <cell r="KB290">
            <v>8063.7573000000002</v>
          </cell>
          <cell r="KC290">
            <v>10153.9398</v>
          </cell>
          <cell r="KD290">
            <v>10774.4355</v>
          </cell>
          <cell r="KE290">
            <v>10988.6235</v>
          </cell>
          <cell r="KF290">
            <v>10784.4141</v>
          </cell>
          <cell r="KG290">
            <v>11609.990400000001</v>
          </cell>
          <cell r="KH290">
            <v>8524.6805999999997</v>
          </cell>
          <cell r="KI290">
            <v>6796.6316999999999</v>
          </cell>
          <cell r="KJ290">
            <v>3205.2062999999998</v>
          </cell>
          <cell r="KK290">
            <v>5644.1495999999997</v>
          </cell>
          <cell r="KL290">
            <v>1793.8239000000001</v>
          </cell>
          <cell r="KM290">
            <v>2075.0594999999998</v>
          </cell>
          <cell r="KN290">
            <v>9878.2422000000006</v>
          </cell>
          <cell r="KO290">
            <v>10385.972400000001</v>
          </cell>
          <cell r="KP290">
            <v>14178.622499999999</v>
          </cell>
          <cell r="KQ290">
            <v>9316.4915999999994</v>
          </cell>
          <cell r="KR290">
            <v>10869.3675</v>
          </cell>
          <cell r="KS290">
            <v>10482.067800000001</v>
          </cell>
          <cell r="KT290">
            <v>6350.4539999999997</v>
          </cell>
          <cell r="KU290">
            <v>4794.7040999999999</v>
          </cell>
          <cell r="KV290">
            <v>5912.1849000000002</v>
          </cell>
          <cell r="KW290">
            <v>4296.9039000000002</v>
          </cell>
          <cell r="KX290">
            <v>1797.1940999999999</v>
          </cell>
          <cell r="KY290">
            <v>2483.1423</v>
          </cell>
          <cell r="KZ290">
            <v>5771.5685999999996</v>
          </cell>
          <cell r="LA290">
            <v>11984.480100000001</v>
          </cell>
          <cell r="LB290">
            <v>10119.583199999999</v>
          </cell>
          <cell r="LC290">
            <v>9556.4799000000003</v>
          </cell>
          <cell r="LD290">
            <v>19160.4624</v>
          </cell>
          <cell r="LE290">
            <v>16418.9499</v>
          </cell>
          <cell r="LF290">
            <v>4243.7559000000001</v>
          </cell>
          <cell r="LG290">
            <v>9203.1152999999995</v>
          </cell>
          <cell r="LH290">
            <v>2088.7217999999998</v>
          </cell>
          <cell r="LI290">
            <v>1488.3876</v>
          </cell>
          <cell r="LJ290">
            <v>3565.1361000000002</v>
          </cell>
          <cell r="LK290">
            <v>4367.8901999999998</v>
          </cell>
          <cell r="LL290">
            <v>10870.1859</v>
          </cell>
          <cell r="LM290">
            <v>9197.01</v>
          </cell>
          <cell r="LN290">
            <v>16763.8122</v>
          </cell>
          <cell r="LO290">
            <v>11651.1549</v>
          </cell>
          <cell r="LP290">
            <v>10948.6764</v>
          </cell>
          <cell r="LQ290">
            <v>11133.420599999999</v>
          </cell>
          <cell r="LR290">
            <v>8070.6351000000004</v>
          </cell>
          <cell r="LS290">
            <v>8612.3721000000005</v>
          </cell>
          <cell r="LT290">
            <v>6027.5222999999996</v>
          </cell>
          <cell r="LU290">
            <v>3257.6421</v>
          </cell>
          <cell r="LV290">
            <v>3047.7141000000001</v>
          </cell>
          <cell r="LW290">
            <v>3885.0668999999998</v>
          </cell>
          <cell r="LX290">
            <v>10147.7844</v>
          </cell>
          <cell r="LY290">
            <v>15661.9629</v>
          </cell>
          <cell r="LZ290">
            <v>17735.1417</v>
          </cell>
          <cell r="MA290">
            <v>12694.0203</v>
          </cell>
          <cell r="MB290">
            <v>16570.667399999998</v>
          </cell>
          <cell r="MC290">
            <v>12281.7192</v>
          </cell>
          <cell r="MD290">
            <v>10056.3858</v>
          </cell>
          <cell r="ME290">
            <v>6677.7794999999996</v>
          </cell>
          <cell r="MF290">
            <v>2365.3112999999998</v>
          </cell>
          <cell r="MG290">
            <v>3503.8679999999999</v>
          </cell>
          <cell r="MH290">
            <v>1336.6796999999999</v>
          </cell>
          <cell r="MI290">
            <v>3215.3780999999999</v>
          </cell>
          <cell r="MJ290">
            <v>9093.0002999999997</v>
          </cell>
          <cell r="MK290">
            <v>22260.470399999998</v>
          </cell>
          <cell r="ML290">
            <v>20992.098300000001</v>
          </cell>
          <cell r="MM290">
            <v>20900.039100000002</v>
          </cell>
          <cell r="MN290">
            <v>14416.146000000001</v>
          </cell>
          <cell r="MO290">
            <v>22153.0998</v>
          </cell>
          <cell r="MP290">
            <v>17997.199199999999</v>
          </cell>
          <cell r="MQ290">
            <v>4768.0155000000004</v>
          </cell>
          <cell r="MR290">
            <v>3078.6950999999999</v>
          </cell>
          <cell r="MS290">
            <v>2726.4396000000002</v>
          </cell>
          <cell r="MT290">
            <v>7026.2415000000001</v>
          </cell>
          <cell r="MU290">
            <v>5146.7205000000004</v>
          </cell>
          <cell r="MV290">
            <v>11281.075800000001</v>
          </cell>
          <cell r="MW290">
            <v>20888.496299999999</v>
          </cell>
          <cell r="MX290">
            <v>23844.8328</v>
          </cell>
          <cell r="MY290">
            <v>27832.325700000001</v>
          </cell>
          <cell r="MZ290">
            <v>20695.796999999999</v>
          </cell>
          <cell r="NA290">
            <v>23209.7922</v>
          </cell>
          <cell r="NB290">
            <v>20029.416300000001</v>
          </cell>
          <cell r="NC290">
            <v>9025.3518000000004</v>
          </cell>
          <cell r="ND290">
            <v>3542.1</v>
          </cell>
          <cell r="NE290">
            <v>12948</v>
          </cell>
          <cell r="NF290">
            <v>8841.9</v>
          </cell>
          <cell r="NG290">
            <v>5237.1000000000004</v>
          </cell>
          <cell r="NH290">
            <v>7227.3</v>
          </cell>
          <cell r="NI290">
            <v>26743.8</v>
          </cell>
          <cell r="NJ290">
            <v>29575.200000000001</v>
          </cell>
          <cell r="NK290">
            <v>24887.1</v>
          </cell>
          <cell r="NL290">
            <v>26409.3</v>
          </cell>
          <cell r="NM290">
            <v>35150.400000000001</v>
          </cell>
          <cell r="NN290">
            <v>27090</v>
          </cell>
          <cell r="NO290">
            <v>19795.2</v>
          </cell>
          <cell r="NP290">
            <v>9339.2999999999993</v>
          </cell>
          <cell r="NQ290">
            <v>19512</v>
          </cell>
          <cell r="NR290">
            <v>3876.3</v>
          </cell>
          <cell r="NS290">
            <v>5574.6</v>
          </cell>
          <cell r="NT290">
            <v>11017.5</v>
          </cell>
          <cell r="NU290">
            <v>44164.5</v>
          </cell>
          <cell r="NV290">
            <v>32023.8</v>
          </cell>
          <cell r="NW290">
            <v>35464.5</v>
          </cell>
          <cell r="NX290">
            <v>29238.6</v>
          </cell>
          <cell r="NY290">
            <v>23363.7</v>
          </cell>
          <cell r="NZ290">
            <v>17322.599999999999</v>
          </cell>
          <cell r="OA290">
            <v>19055.400000000001</v>
          </cell>
          <cell r="OB290">
            <v>15262.5</v>
          </cell>
          <cell r="OC290">
            <v>16539.900000000001</v>
          </cell>
          <cell r="OD290">
            <v>5165.1000000000004</v>
          </cell>
        </row>
      </sheetData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stic BBD Production Chart"/>
      <sheetName val="Chart1"/>
      <sheetName val="Chart2"/>
      <sheetName val="Chart3"/>
      <sheetName val="Chart4"/>
      <sheetName val="Chart5"/>
      <sheetName val="Graph Dashboard"/>
      <sheetName val="Dom Production"/>
      <sheetName val="Feedstock Yields"/>
      <sheetName val="Feedstock Use"/>
      <sheetName val="Feedstock Use - chart data"/>
      <sheetName val="BBD Prod and Profit - data"/>
      <sheetName val="Biodiesel"/>
      <sheetName val="Renewable Diesel"/>
      <sheetName val="SAF"/>
      <sheetName val="Renewable Fuel - E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">
          <cell r="Q3">
            <v>65635810</v>
          </cell>
          <cell r="R3">
            <v>98015663.363137141</v>
          </cell>
          <cell r="S3">
            <v>90708468.784077719</v>
          </cell>
          <cell r="T3">
            <v>73650931.236886859</v>
          </cell>
          <cell r="U3">
            <v>82344485.293023407</v>
          </cell>
          <cell r="V3">
            <v>79639224.581323087</v>
          </cell>
          <cell r="W3">
            <v>84515444.617420524</v>
          </cell>
          <cell r="X3">
            <v>87891592.070975751</v>
          </cell>
          <cell r="Y3">
            <v>102340019.60040376</v>
          </cell>
          <cell r="Z3">
            <v>90837867.89552854</v>
          </cell>
          <cell r="AA3">
            <v>88430181.851996198</v>
          </cell>
          <cell r="AB3">
            <v>71413592.333132088</v>
          </cell>
          <cell r="AC3">
            <v>58726542.333007209</v>
          </cell>
          <cell r="AD3">
            <v>59072015.4489372</v>
          </cell>
          <cell r="AE3">
            <v>47974747.133285888</v>
          </cell>
          <cell r="AF3">
            <v>28531355.080727756</v>
          </cell>
          <cell r="AG3">
            <v>31542732.125062745</v>
          </cell>
          <cell r="AH3">
            <v>31214660.132799488</v>
          </cell>
          <cell r="AI3">
            <v>25749476.395661239</v>
          </cell>
          <cell r="AJ3">
            <v>25891829.24432179</v>
          </cell>
          <cell r="AK3">
            <v>26000662.669733964</v>
          </cell>
          <cell r="AL3">
            <v>25922451.198247306</v>
          </cell>
          <cell r="AM3">
            <v>25967186.327067997</v>
          </cell>
          <cell r="AN3">
            <v>26390790.205999963</v>
          </cell>
          <cell r="AO3">
            <v>26821854.340091936</v>
          </cell>
          <cell r="AP3">
            <v>27416523.334585477</v>
          </cell>
        </row>
        <row r="4">
          <cell r="Q4">
            <v>73721896</v>
          </cell>
          <cell r="R4">
            <v>103981212.43447548</v>
          </cell>
          <cell r="S4">
            <v>96954079.202789247</v>
          </cell>
          <cell r="T4">
            <v>76714622.401454777</v>
          </cell>
          <cell r="U4">
            <v>87564249.538713023</v>
          </cell>
          <cell r="V4">
            <v>85185989.865512088</v>
          </cell>
          <cell r="W4">
            <v>89701855.18186897</v>
          </cell>
          <cell r="X4">
            <v>93295735.701281473</v>
          </cell>
          <cell r="Y4">
            <v>87267964.936471209</v>
          </cell>
          <cell r="Z4">
            <v>85044385.679333374</v>
          </cell>
          <cell r="AA4">
            <v>81554784.995612815</v>
          </cell>
          <cell r="AB4">
            <v>68715950.345740765</v>
          </cell>
          <cell r="AC4">
            <v>55392132.165890269</v>
          </cell>
          <cell r="AD4">
            <v>54226728.147470638</v>
          </cell>
          <cell r="AE4">
            <v>44909117.337509483</v>
          </cell>
          <cell r="AF4">
            <v>26707199.550333399</v>
          </cell>
          <cell r="AG4">
            <v>29671057.187318135</v>
          </cell>
          <cell r="AH4">
            <v>29149623.400559571</v>
          </cell>
          <cell r="AI4">
            <v>23974497.788962215</v>
          </cell>
          <cell r="AJ4">
            <v>24228374.580098491</v>
          </cell>
          <cell r="AK4">
            <v>24327201.397123329</v>
          </cell>
          <cell r="AL4">
            <v>24251773.69634258</v>
          </cell>
          <cell r="AM4">
            <v>24262563.426456727</v>
          </cell>
          <cell r="AN4">
            <v>24661607.74265692</v>
          </cell>
          <cell r="AO4">
            <v>25082521.998701155</v>
          </cell>
          <cell r="AP4">
            <v>25635372.57692495</v>
          </cell>
        </row>
        <row r="5">
          <cell r="Q5">
            <v>95835418</v>
          </cell>
          <cell r="R5">
            <v>114303432.64373817</v>
          </cell>
          <cell r="S5">
            <v>111936384.2928541</v>
          </cell>
          <cell r="T5">
            <v>87324865.1273157</v>
          </cell>
          <cell r="U5">
            <v>99623800.395883515</v>
          </cell>
          <cell r="V5">
            <v>98788266.673304528</v>
          </cell>
          <cell r="W5">
            <v>101965483.45301311</v>
          </cell>
          <cell r="X5">
            <v>106883481.69804786</v>
          </cell>
          <cell r="Y5">
            <v>99804035.947552264</v>
          </cell>
          <cell r="Z5">
            <v>97339813.061025664</v>
          </cell>
          <cell r="AA5">
            <v>93456891.195951954</v>
          </cell>
          <cell r="AB5">
            <v>78560593.316256836</v>
          </cell>
          <cell r="AC5">
            <v>63406501.49846109</v>
          </cell>
          <cell r="AD5">
            <v>62059510.324372597</v>
          </cell>
          <cell r="AE5">
            <v>51405235.3040087</v>
          </cell>
          <cell r="AF5">
            <v>30571621.060393609</v>
          </cell>
          <cell r="AG5">
            <v>33951568.642657228</v>
          </cell>
          <cell r="AH5">
            <v>33362028.223447889</v>
          </cell>
          <cell r="AI5">
            <v>27438056.028013065</v>
          </cell>
          <cell r="AJ5">
            <v>27729128.821050435</v>
          </cell>
          <cell r="AK5">
            <v>27841295.12113066</v>
          </cell>
          <cell r="AL5">
            <v>27754142.022674315</v>
          </cell>
          <cell r="AM5">
            <v>27767748.944908731</v>
          </cell>
          <cell r="AN5">
            <v>28224200.055346448</v>
          </cell>
          <cell r="AO5">
            <v>28705872.786316611</v>
          </cell>
          <cell r="AP5">
            <v>29338421.152509019</v>
          </cell>
        </row>
        <row r="6">
          <cell r="Q6">
            <v>131791986.24915777</v>
          </cell>
          <cell r="R6">
            <v>122281171.98496304</v>
          </cell>
          <cell r="S6">
            <v>122758168.92761807</v>
          </cell>
          <cell r="T6">
            <v>96509092.511040851</v>
          </cell>
          <cell r="U6">
            <v>111919015.22006534</v>
          </cell>
          <cell r="V6">
            <v>113782283.60542427</v>
          </cell>
          <cell r="W6">
            <v>113073119.63273118</v>
          </cell>
          <cell r="X6">
            <v>119477064.91385268</v>
          </cell>
          <cell r="Y6">
            <v>112056825.71491881</v>
          </cell>
          <cell r="Z6">
            <v>109614254.34227626</v>
          </cell>
          <cell r="AA6">
            <v>105324396.1988731</v>
          </cell>
          <cell r="AB6">
            <v>88217466.968715161</v>
          </cell>
          <cell r="AC6">
            <v>71542870.744882554</v>
          </cell>
          <cell r="AD6">
            <v>70185048.72461839</v>
          </cell>
          <cell r="AE6">
            <v>58378337.975254469</v>
          </cell>
          <cell r="AF6">
            <v>35091486.525400743</v>
          </cell>
          <cell r="AG6">
            <v>38841382.892555535</v>
          </cell>
          <cell r="AH6">
            <v>37243943.818960853</v>
          </cell>
          <cell r="AI6">
            <v>30635596.394600052</v>
          </cell>
          <cell r="AJ6">
            <v>30958260.082361247</v>
          </cell>
          <cell r="AK6">
            <v>31078575.690346614</v>
          </cell>
          <cell r="AL6">
            <v>30980195.755365957</v>
          </cell>
          <cell r="AM6">
            <v>30999108.0758458</v>
          </cell>
          <cell r="AN6">
            <v>31508769.552715477</v>
          </cell>
          <cell r="AO6">
            <v>32045578.07429985</v>
          </cell>
          <cell r="AP6">
            <v>32751078.082785845</v>
          </cell>
        </row>
        <row r="7">
          <cell r="Q7">
            <v>137920236.89019856</v>
          </cell>
          <cell r="R7">
            <v>130181095.56558153</v>
          </cell>
          <cell r="S7">
            <v>131279988.11683463</v>
          </cell>
          <cell r="T7">
            <v>105356930.12711979</v>
          </cell>
          <cell r="U7">
            <v>118974466.32869288</v>
          </cell>
          <cell r="V7">
            <v>121238596.32327715</v>
          </cell>
          <cell r="W7">
            <v>121002717.39010131</v>
          </cell>
          <cell r="X7">
            <v>128000262.53811045</v>
          </cell>
          <cell r="Y7">
            <v>120098135.06316507</v>
          </cell>
          <cell r="Z7">
            <v>117111154.23524052</v>
          </cell>
          <cell r="AA7">
            <v>112638789.29393782</v>
          </cell>
          <cell r="AB7">
            <v>94413794.938598379</v>
          </cell>
          <cell r="AC7">
            <v>76569270.900004327</v>
          </cell>
          <cell r="AD7">
            <v>75097531.706504717</v>
          </cell>
          <cell r="AE7">
            <v>62438323.918578178</v>
          </cell>
          <cell r="AF7">
            <v>37542486.840689428</v>
          </cell>
          <cell r="AG7">
            <v>41560081.340554506</v>
          </cell>
          <cell r="AH7">
            <v>39850528.837245993</v>
          </cell>
          <cell r="AI7">
            <v>32776933.354852974</v>
          </cell>
          <cell r="AJ7">
            <v>33120783.036311284</v>
          </cell>
          <cell r="AK7">
            <v>33252379.61661933</v>
          </cell>
          <cell r="AL7">
            <v>33147359.576819479</v>
          </cell>
          <cell r="AM7">
            <v>33166859.407704063</v>
          </cell>
          <cell r="AN7">
            <v>33711726.135068618</v>
          </cell>
          <cell r="AO7">
            <v>34286183.663658626</v>
          </cell>
          <cell r="AP7">
            <v>35041442.155736245</v>
          </cell>
        </row>
        <row r="8">
          <cell r="Q8">
            <v>139596321.19621357</v>
          </cell>
          <cell r="R8">
            <v>128327443.75111075</v>
          </cell>
          <cell r="S8">
            <v>128291100.9364365</v>
          </cell>
          <cell r="T8">
            <v>102051082.81149849</v>
          </cell>
          <cell r="U8">
            <v>116194869.4194393</v>
          </cell>
          <cell r="V8">
            <v>119512100.43965368</v>
          </cell>
          <cell r="W8">
            <v>118507037.85269792</v>
          </cell>
          <cell r="X8">
            <v>125180524.38988824</v>
          </cell>
          <cell r="Y8">
            <v>117476305.05333263</v>
          </cell>
          <cell r="Z8">
            <v>114755553.80732942</v>
          </cell>
          <cell r="AA8">
            <v>110453656.59288941</v>
          </cell>
          <cell r="AB8">
            <v>92501679.595246017</v>
          </cell>
          <cell r="AC8">
            <v>75065601.182823285</v>
          </cell>
          <cell r="AD8">
            <v>73666915.683805659</v>
          </cell>
          <cell r="AE8">
            <v>61328921.064157829</v>
          </cell>
          <cell r="AF8">
            <v>36977278.917775065</v>
          </cell>
          <cell r="AG8">
            <v>40897147.789793655</v>
          </cell>
          <cell r="AH8">
            <v>38965802.95600643</v>
          </cell>
          <cell r="AI8">
            <v>32051867.174560521</v>
          </cell>
          <cell r="AJ8">
            <v>32389354.656997025</v>
          </cell>
          <cell r="AK8">
            <v>32516424.686103303</v>
          </cell>
          <cell r="AL8">
            <v>32412757.810343415</v>
          </cell>
          <cell r="AM8">
            <v>32432464.070917565</v>
          </cell>
          <cell r="AN8">
            <v>32965742.414035406</v>
          </cell>
          <cell r="AO8">
            <v>33527440.334387213</v>
          </cell>
          <cell r="AP8">
            <v>34265666.269287564</v>
          </cell>
        </row>
        <row r="9">
          <cell r="Q9">
            <v>137410035.36067736</v>
          </cell>
          <cell r="R9">
            <v>125884935.60488664</v>
          </cell>
          <cell r="S9">
            <v>126697521.14974993</v>
          </cell>
          <cell r="T9">
            <v>101311751.51358101</v>
          </cell>
          <cell r="U9">
            <v>117053362.6174828</v>
          </cell>
          <cell r="V9">
            <v>118250207.24527477</v>
          </cell>
          <cell r="W9">
            <v>117478901.26538534</v>
          </cell>
          <cell r="X9">
            <v>124378517.04396257</v>
          </cell>
          <cell r="Y9">
            <v>116880023.40248293</v>
          </cell>
          <cell r="Z9">
            <v>114216735.58585307</v>
          </cell>
          <cell r="AA9">
            <v>109676386.93365525</v>
          </cell>
          <cell r="AB9">
            <v>91919752.217968166</v>
          </cell>
          <cell r="AC9">
            <v>74637301.339815542</v>
          </cell>
          <cell r="AD9">
            <v>73259224.506927252</v>
          </cell>
          <cell r="AE9">
            <v>60987999.670774586</v>
          </cell>
          <cell r="AF9">
            <v>36774808.852375284</v>
          </cell>
          <cell r="AG9">
            <v>40679147.350639433</v>
          </cell>
          <cell r="AH9">
            <v>38724212.753602996</v>
          </cell>
          <cell r="AI9">
            <v>31852589.765391726</v>
          </cell>
          <cell r="AJ9">
            <v>32185768.911333382</v>
          </cell>
          <cell r="AK9">
            <v>32311149.362391438</v>
          </cell>
          <cell r="AL9">
            <v>32209745.326823406</v>
          </cell>
          <cell r="AM9">
            <v>32229637.889737874</v>
          </cell>
          <cell r="AN9">
            <v>32759154.547360282</v>
          </cell>
          <cell r="AO9">
            <v>33317006.187705301</v>
          </cell>
          <cell r="AP9">
            <v>34050660.30783283</v>
          </cell>
        </row>
        <row r="10">
          <cell r="P10">
            <v>139724190</v>
          </cell>
          <cell r="Q10">
            <v>143738699.39125273</v>
          </cell>
          <cell r="R10">
            <v>131459720.50294538</v>
          </cell>
          <cell r="S10">
            <v>132090665.22020352</v>
          </cell>
          <cell r="T10">
            <v>104368498.00468701</v>
          </cell>
          <cell r="U10">
            <v>119582994.88862705</v>
          </cell>
          <cell r="V10">
            <v>122698327.46870466</v>
          </cell>
          <cell r="W10">
            <v>121666952.63630889</v>
          </cell>
          <cell r="X10">
            <v>128579959.17383428</v>
          </cell>
          <cell r="Y10">
            <v>120603607.1044246</v>
          </cell>
          <cell r="Z10">
            <v>117888545.46712206</v>
          </cell>
          <cell r="AA10">
            <v>113430882.75858529</v>
          </cell>
          <cell r="AB10">
            <v>95003866.92825456</v>
          </cell>
          <cell r="AC10">
            <v>77109814.102692112</v>
          </cell>
          <cell r="AD10">
            <v>75674450.218948558</v>
          </cell>
          <cell r="AE10">
            <v>63016629.632883891</v>
          </cell>
          <cell r="AF10">
            <v>38011376.788413398</v>
          </cell>
          <cell r="AG10">
            <v>42036575.9503382</v>
          </cell>
          <cell r="AH10">
            <v>40005641.844131738</v>
          </cell>
          <cell r="AI10">
            <v>32907077.852865238</v>
          </cell>
          <cell r="AJ10">
            <v>33253921.295223381</v>
          </cell>
          <cell r="AK10">
            <v>33383945.108255003</v>
          </cell>
          <cell r="AL10">
            <v>33277636.783196837</v>
          </cell>
          <cell r="AM10">
            <v>33297917.420431193</v>
          </cell>
          <cell r="AN10">
            <v>33845417.055991583</v>
          </cell>
          <cell r="AO10">
            <v>34422119.610067606</v>
          </cell>
          <cell r="AP10">
            <v>35179991.315252721</v>
          </cell>
        </row>
        <row r="11">
          <cell r="P11">
            <v>134537885</v>
          </cell>
          <cell r="Q11">
            <v>135753181.58840644</v>
          </cell>
          <cell r="R11">
            <v>123115291.15353051</v>
          </cell>
          <cell r="S11">
            <v>124592502.84535326</v>
          </cell>
          <cell r="T11">
            <v>98648565.200392768</v>
          </cell>
          <cell r="U11">
            <v>113039666.74188949</v>
          </cell>
          <cell r="V11">
            <v>115693624.97106646</v>
          </cell>
          <cell r="W11">
            <v>114674093.80411504</v>
          </cell>
          <cell r="X11">
            <v>121357948.27251801</v>
          </cell>
          <cell r="Y11">
            <v>113846748.21757419</v>
          </cell>
          <cell r="Z11">
            <v>111261585.80869138</v>
          </cell>
          <cell r="AA11">
            <v>107023930.8665835</v>
          </cell>
          <cell r="AB11">
            <v>89654533.880206734</v>
          </cell>
          <cell r="AC11">
            <v>72798660.619198799</v>
          </cell>
          <cell r="AD11">
            <v>71448378.292235494</v>
          </cell>
          <cell r="AE11">
            <v>59510638.69116348</v>
          </cell>
          <cell r="AF11">
            <v>35924632.805718414</v>
          </cell>
          <cell r="AG11">
            <v>39723207.724703304</v>
          </cell>
          <cell r="AH11">
            <v>37734436.348292552</v>
          </cell>
          <cell r="AI11">
            <v>31038240.161159899</v>
          </cell>
          <cell r="AJ11">
            <v>31364826.100315414</v>
          </cell>
          <cell r="AK11">
            <v>31487545.255584102</v>
          </cell>
          <cell r="AL11">
            <v>31387598.449853819</v>
          </cell>
          <cell r="AM11">
            <v>31406801.185355742</v>
          </cell>
          <cell r="AN11">
            <v>31923029.354396719</v>
          </cell>
          <cell r="AO11">
            <v>32466923.571955193</v>
          </cell>
          <cell r="AP11">
            <v>33181800.741670121</v>
          </cell>
        </row>
        <row r="12">
          <cell r="P12">
            <v>148097836</v>
          </cell>
          <cell r="Q12">
            <v>134474043.6377117</v>
          </cell>
          <cell r="R12">
            <v>124925106.8480117</v>
          </cell>
          <cell r="S12">
            <v>126829966.22731104</v>
          </cell>
          <cell r="T12">
            <v>101367330.09276886</v>
          </cell>
          <cell r="U12">
            <v>116849668.93225507</v>
          </cell>
          <cell r="V12">
            <v>117497730.54929785</v>
          </cell>
          <cell r="W12">
            <v>117139597.50267988</v>
          </cell>
          <cell r="X12">
            <v>124146466.09239797</v>
          </cell>
          <cell r="Y12">
            <v>116588344.91828558</v>
          </cell>
          <cell r="Z12">
            <v>113874025.8621653</v>
          </cell>
          <cell r="AA12">
            <v>109321742.26348764</v>
          </cell>
          <cell r="AB12">
            <v>91684271.349957824</v>
          </cell>
          <cell r="AC12">
            <v>74459158.945197016</v>
          </cell>
          <cell r="AD12">
            <v>73075119.593821958</v>
          </cell>
          <cell r="AE12">
            <v>60841581.584413379</v>
          </cell>
          <cell r="AF12">
            <v>36707685.90450266</v>
          </cell>
          <cell r="AG12">
            <v>40604723.989099659</v>
          </cell>
          <cell r="AH12">
            <v>38603619.850421131</v>
          </cell>
          <cell r="AI12">
            <v>31751829.891655203</v>
          </cell>
          <cell r="AJ12">
            <v>32083795.3165773</v>
          </cell>
          <cell r="AK12">
            <v>32209528.331847917</v>
          </cell>
          <cell r="AL12">
            <v>32108873.618052717</v>
          </cell>
          <cell r="AM12">
            <v>32128331.047857922</v>
          </cell>
          <cell r="AN12">
            <v>32655953.421717301</v>
          </cell>
          <cell r="AO12">
            <v>33212133.111051768</v>
          </cell>
          <cell r="AP12">
            <v>33943616.186458252</v>
          </cell>
        </row>
        <row r="13">
          <cell r="P13">
            <v>133353588</v>
          </cell>
          <cell r="Q13">
            <v>129676507.59899189</v>
          </cell>
          <cell r="R13">
            <v>120705638.08168112</v>
          </cell>
          <cell r="S13">
            <v>121482247.02564251</v>
          </cell>
          <cell r="T13">
            <v>95745955.405538946</v>
          </cell>
          <cell r="U13">
            <v>110546272.79410225</v>
          </cell>
          <cell r="V13">
            <v>112401811.4875498</v>
          </cell>
          <cell r="W13">
            <v>111848852.90908106</v>
          </cell>
          <cell r="X13">
            <v>118234092.67355746</v>
          </cell>
          <cell r="Y13">
            <v>110897954.82215808</v>
          </cell>
          <cell r="Z13">
            <v>108448806.98004794</v>
          </cell>
          <cell r="AA13">
            <v>104253470.50167501</v>
          </cell>
          <cell r="AB13">
            <v>87385747.566454291</v>
          </cell>
          <cell r="AC13">
            <v>70958328.192763925</v>
          </cell>
          <cell r="AD13">
            <v>69650279.960373968</v>
          </cell>
          <cell r="AE13">
            <v>58034686.143140405</v>
          </cell>
          <cell r="AF13">
            <v>35061298.841105297</v>
          </cell>
          <cell r="AG13">
            <v>38764062.356217071</v>
          </cell>
          <cell r="AH13">
            <v>36747912.484966658</v>
          </cell>
          <cell r="AI13">
            <v>30226964.974622205</v>
          </cell>
          <cell r="AJ13">
            <v>30545251.233862162</v>
          </cell>
          <cell r="AK13">
            <v>30664468.706297193</v>
          </cell>
          <cell r="AL13">
            <v>30567447.781337548</v>
          </cell>
          <cell r="AM13">
            <v>30585933.259245329</v>
          </cell>
          <cell r="AN13">
            <v>31088724.560799327</v>
          </cell>
          <cell r="AO13">
            <v>31618423.586942941</v>
          </cell>
          <cell r="AP13">
            <v>32314592.314608969</v>
          </cell>
        </row>
        <row r="14">
          <cell r="P14">
            <v>174921835</v>
          </cell>
          <cell r="Q14">
            <v>258143861.5953773</v>
          </cell>
          <cell r="R14">
            <v>137661873.42641428</v>
          </cell>
          <cell r="S14">
            <v>156664967.74563795</v>
          </cell>
          <cell r="T14">
            <v>128908763.41894458</v>
          </cell>
          <cell r="U14">
            <v>157388593.25165468</v>
          </cell>
          <cell r="V14">
            <v>162967951.52164388</v>
          </cell>
          <cell r="W14">
            <v>148228949.52301049</v>
          </cell>
          <cell r="X14">
            <v>161466409.75747168</v>
          </cell>
          <cell r="Y14">
            <v>133302148.2602807</v>
          </cell>
          <cell r="Z14">
            <v>139720332.46357611</v>
          </cell>
          <cell r="AA14">
            <v>132278877.85477579</v>
          </cell>
          <cell r="AB14">
            <v>112741745.05760872</v>
          </cell>
          <cell r="AC14">
            <v>90947849.359370142</v>
          </cell>
          <cell r="AD14">
            <v>87846989.776406243</v>
          </cell>
          <cell r="AE14">
            <v>73988739.117500782</v>
          </cell>
          <cell r="AF14">
            <v>44431188.332845934</v>
          </cell>
          <cell r="AG14">
            <v>49274548.274698757</v>
          </cell>
          <cell r="AH14">
            <v>47032594.043637335</v>
          </cell>
          <cell r="AI14">
            <v>38618953.516545221</v>
          </cell>
          <cell r="AJ14">
            <v>39137372.258665383</v>
          </cell>
          <cell r="AK14">
            <v>39271537.727887392</v>
          </cell>
          <cell r="AL14">
            <v>39147222.456198752</v>
          </cell>
          <cell r="AM14">
            <v>39150969.880105853</v>
          </cell>
          <cell r="AN14">
            <v>39795762.014315486</v>
          </cell>
          <cell r="AO14">
            <v>40488998.933273315</v>
          </cell>
          <cell r="AP14">
            <v>41375746.977975965</v>
          </cell>
        </row>
        <row r="131">
          <cell r="P131">
            <v>398051318</v>
          </cell>
          <cell r="Q131">
            <v>340000000</v>
          </cell>
          <cell r="R131">
            <v>190000000.00000006</v>
          </cell>
          <cell r="S131">
            <v>200000000</v>
          </cell>
          <cell r="T131">
            <v>220000000</v>
          </cell>
          <cell r="U131">
            <v>219999999.99999997</v>
          </cell>
          <cell r="V131">
            <v>230000000.00000006</v>
          </cell>
          <cell r="W131">
            <v>210000000</v>
          </cell>
          <cell r="X131">
            <v>189999999.99999994</v>
          </cell>
          <cell r="Y131">
            <v>180000000</v>
          </cell>
          <cell r="Z131">
            <v>175000000</v>
          </cell>
          <cell r="AA131">
            <v>160000000</v>
          </cell>
          <cell r="AB131">
            <v>130000000</v>
          </cell>
          <cell r="AC131">
            <v>110000000</v>
          </cell>
          <cell r="AD131">
            <v>90000000.00000003</v>
          </cell>
          <cell r="AE131">
            <v>74999999.999999985</v>
          </cell>
          <cell r="AF131">
            <v>75000000</v>
          </cell>
        </row>
      </sheetData>
      <sheetData sheetId="13">
        <row r="49">
          <cell r="Q49">
            <v>217367275</v>
          </cell>
          <cell r="R49">
            <v>173301039.9201065</v>
          </cell>
          <cell r="S49">
            <v>190327727.21764925</v>
          </cell>
          <cell r="T49">
            <v>194312790.4450902</v>
          </cell>
          <cell r="U49">
            <v>196315383.19321719</v>
          </cell>
          <cell r="V49">
            <v>205707631.69478792</v>
          </cell>
          <cell r="W49">
            <v>222782293.77920413</v>
          </cell>
          <cell r="X49">
            <v>264059013.18170139</v>
          </cell>
          <cell r="Y49">
            <v>262890228.64060161</v>
          </cell>
        </row>
        <row r="50">
          <cell r="Q50">
            <v>186102792</v>
          </cell>
          <cell r="R50">
            <v>188920877.88275504</v>
          </cell>
          <cell r="S50">
            <v>208087458.74720728</v>
          </cell>
          <cell r="T50">
            <v>211940257.3015556</v>
          </cell>
          <cell r="U50">
            <v>214020412.68485782</v>
          </cell>
          <cell r="V50">
            <v>224248992.3909564</v>
          </cell>
          <cell r="W50">
            <v>242941688.091079</v>
          </cell>
          <cell r="X50">
            <v>288186763.80865526</v>
          </cell>
          <cell r="Y50">
            <v>286740408.06441188</v>
          </cell>
        </row>
        <row r="51">
          <cell r="Q51">
            <v>229400517</v>
          </cell>
          <cell r="R51">
            <v>201087551.47234574</v>
          </cell>
          <cell r="S51">
            <v>222331474.36161846</v>
          </cell>
          <cell r="T51">
            <v>227266907.74707708</v>
          </cell>
          <cell r="U51">
            <v>228580293.88394293</v>
          </cell>
          <cell r="V51">
            <v>239819467.50720793</v>
          </cell>
          <cell r="W51">
            <v>259742588.4406063</v>
          </cell>
          <cell r="X51">
            <v>308030377.58673579</v>
          </cell>
          <cell r="Y51">
            <v>306629223.56984639</v>
          </cell>
        </row>
        <row r="52">
          <cell r="Q52">
            <v>201331356.4815461</v>
          </cell>
          <cell r="R52">
            <v>193344202.49970382</v>
          </cell>
          <cell r="S52">
            <v>213396859.74068043</v>
          </cell>
          <cell r="T52">
            <v>217371467.25445896</v>
          </cell>
          <cell r="U52">
            <v>218955341.14504278</v>
          </cell>
          <cell r="V52">
            <v>229462278.14924833</v>
          </cell>
          <cell r="W52">
            <v>248826445.36842561</v>
          </cell>
          <cell r="X52">
            <v>295175326.88767368</v>
          </cell>
          <cell r="Y52">
            <v>293643197.48746473</v>
          </cell>
        </row>
        <row r="53">
          <cell r="P53">
            <v>220402735</v>
          </cell>
          <cell r="Q53">
            <v>198336988.21685207</v>
          </cell>
          <cell r="R53">
            <v>216099681.58198112</v>
          </cell>
          <cell r="S53">
            <v>238853185.10802394</v>
          </cell>
          <cell r="T53">
            <v>242702114.27576911</v>
          </cell>
          <cell r="U53">
            <v>244000037.58973342</v>
          </cell>
          <cell r="V53">
            <v>256351694.14983538</v>
          </cell>
          <cell r="W53">
            <v>277936054.80820769</v>
          </cell>
          <cell r="X53">
            <v>329674933.86319137</v>
          </cell>
          <cell r="Y53">
            <v>327838041.39430302</v>
          </cell>
        </row>
        <row r="54">
          <cell r="P54">
            <v>282589564</v>
          </cell>
          <cell r="Q54">
            <v>195595310.42807597</v>
          </cell>
          <cell r="R54">
            <v>215722928.55995023</v>
          </cell>
          <cell r="S54">
            <v>238366010.68480831</v>
          </cell>
          <cell r="T54">
            <v>243606682.90877292</v>
          </cell>
          <cell r="U54">
            <v>244970522.4732177</v>
          </cell>
          <cell r="V54">
            <v>256708443.04556444</v>
          </cell>
          <cell r="W54">
            <v>278342482.54892325</v>
          </cell>
          <cell r="X54">
            <v>330115541.04007667</v>
          </cell>
          <cell r="Y54">
            <v>328556808.6677587</v>
          </cell>
        </row>
        <row r="55">
          <cell r="P55">
            <v>292633360</v>
          </cell>
          <cell r="Q55">
            <v>192075200.21665865</v>
          </cell>
          <cell r="R55">
            <v>210519340.09415069</v>
          </cell>
          <cell r="S55">
            <v>232082093.56796181</v>
          </cell>
          <cell r="T55">
            <v>236773522.09535536</v>
          </cell>
          <cell r="U55">
            <v>238956910.24844706</v>
          </cell>
          <cell r="V55">
            <v>250033211.12136015</v>
          </cell>
          <cell r="W55">
            <v>271095635.63357651</v>
          </cell>
          <cell r="X55">
            <v>321538833.71866876</v>
          </cell>
          <cell r="Y55">
            <v>319993427.68153834</v>
          </cell>
        </row>
        <row r="56">
          <cell r="P56">
            <v>260490373</v>
          </cell>
          <cell r="Q56">
            <v>196758801.69768375</v>
          </cell>
          <cell r="R56">
            <v>216241453.26312792</v>
          </cell>
          <cell r="S56">
            <v>238636897.18670946</v>
          </cell>
          <cell r="T56">
            <v>243626568.18724155</v>
          </cell>
          <cell r="U56">
            <v>245851134.01359108</v>
          </cell>
          <cell r="V56">
            <v>257412084.30610371</v>
          </cell>
          <cell r="W56">
            <v>278979038.75780982</v>
          </cell>
          <cell r="X56">
            <v>330667683.35045755</v>
          </cell>
          <cell r="Y56">
            <v>329211311.18897265</v>
          </cell>
        </row>
        <row r="57">
          <cell r="P57">
            <v>257927937</v>
          </cell>
          <cell r="Q57">
            <v>199567496.23015037</v>
          </cell>
          <cell r="R57">
            <v>219228704.34448102</v>
          </cell>
          <cell r="S57">
            <v>242156755.52030525</v>
          </cell>
          <cell r="T57">
            <v>246630143.23247263</v>
          </cell>
          <cell r="U57">
            <v>248718331.233812</v>
          </cell>
          <cell r="V57">
            <v>260670373.02903578</v>
          </cell>
          <cell r="W57">
            <v>282559598.33993489</v>
          </cell>
          <cell r="X57">
            <v>334977538.00954771</v>
          </cell>
          <cell r="Y57">
            <v>333356989.57658458</v>
          </cell>
        </row>
        <row r="58">
          <cell r="P58">
            <v>289557293</v>
          </cell>
          <cell r="Q58">
            <v>216647542.43543953</v>
          </cell>
          <cell r="R58">
            <v>238583297.33016378</v>
          </cell>
          <cell r="S58">
            <v>263133733.24879843</v>
          </cell>
          <cell r="T58">
            <v>268323811.52612466</v>
          </cell>
          <cell r="U58">
            <v>270208426.65035695</v>
          </cell>
          <cell r="V58">
            <v>283206545.38055897</v>
          </cell>
          <cell r="W58">
            <v>307061170.11684263</v>
          </cell>
          <cell r="X58">
            <v>364211403.58770156</v>
          </cell>
          <cell r="Y58">
            <v>362381018.27605021</v>
          </cell>
        </row>
        <row r="59">
          <cell r="P59">
            <v>261189424</v>
          </cell>
          <cell r="Q59">
            <v>233980933.73434195</v>
          </cell>
          <cell r="R59">
            <v>288005904.49351925</v>
          </cell>
          <cell r="S59">
            <v>318437765.19553727</v>
          </cell>
          <cell r="T59">
            <v>324105784.34622979</v>
          </cell>
          <cell r="U59">
            <v>326915957.51048094</v>
          </cell>
          <cell r="V59">
            <v>342127884.18371904</v>
          </cell>
          <cell r="W59">
            <v>371062267.34164441</v>
          </cell>
          <cell r="X59">
            <v>440363381.72453421</v>
          </cell>
          <cell r="Y59">
            <v>438022232.40879124</v>
          </cell>
        </row>
        <row r="60">
          <cell r="P60">
            <v>314111589</v>
          </cell>
          <cell r="Q60">
            <v>283976602.73018843</v>
          </cell>
          <cell r="R60">
            <v>327988261.60637504</v>
          </cell>
          <cell r="S60">
            <v>360408804.48522425</v>
          </cell>
          <cell r="T60">
            <v>366605883.8644672</v>
          </cell>
          <cell r="U60">
            <v>369856670.91491246</v>
          </cell>
          <cell r="V60">
            <v>387299754.70567995</v>
          </cell>
          <cell r="W60">
            <v>420348949.46926063</v>
          </cell>
          <cell r="X60">
            <v>498475419.86634046</v>
          </cell>
          <cell r="Y60">
            <v>495804608.01874244</v>
          </cell>
        </row>
        <row r="95">
          <cell r="P95">
            <v>313984129</v>
          </cell>
          <cell r="Q95">
            <v>210580731.25</v>
          </cell>
          <cell r="R95">
            <v>273754344.125</v>
          </cell>
          <cell r="S95">
            <v>252696474.49999997</v>
          </cell>
          <cell r="T95">
            <v>231638604.87500003</v>
          </cell>
          <cell r="U95">
            <v>210580735.25</v>
          </cell>
          <cell r="V95">
            <v>189522865.625</v>
          </cell>
          <cell r="W95">
            <v>189522866.625</v>
          </cell>
          <cell r="X95">
            <v>168464997.00000003</v>
          </cell>
          <cell r="Y95">
            <v>160041849.75</v>
          </cell>
        </row>
      </sheetData>
      <sheetData sheetId="14" refreshError="1"/>
      <sheetData sheetId="15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21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totalenergy/data/browser/xls.php?tbl=T10.02A&amp;freq=m" TargetMode="External"/><Relationship Id="rId3" Type="http://schemas.openxmlformats.org/officeDocument/2006/relationships/hyperlink" Target="https://www.eia.gov/totalenergy/data/browser/xls.php?tbl=T10.04A&amp;freq=m" TargetMode="External"/><Relationship Id="rId7" Type="http://schemas.openxmlformats.org/officeDocument/2006/relationships/hyperlink" Target="https://www.eia.gov/totalenergy/data/browser/xls.php?tbl=T10.04C&amp;freq=m" TargetMode="External"/><Relationship Id="rId2" Type="http://schemas.openxmlformats.org/officeDocument/2006/relationships/hyperlink" Target="https://www.eia.gov/totalenergy/data/browser/xls.php?tbl=T10.01&amp;freq=m" TargetMode="External"/><Relationship Id="rId1" Type="http://schemas.openxmlformats.org/officeDocument/2006/relationships/hyperlink" Target="https://www.eia.gov/dnav/pet/pet_stoc_typ_d_nus_SAE_mbbl_m.htm" TargetMode="External"/><Relationship Id="rId6" Type="http://schemas.openxmlformats.org/officeDocument/2006/relationships/hyperlink" Target="https://www.eia.gov/totalenergy/data/monthly/" TargetMode="External"/><Relationship Id="rId5" Type="http://schemas.openxmlformats.org/officeDocument/2006/relationships/hyperlink" Target="https://www.eia.gov/outlooks/steo/data/browser/" TargetMode="External"/><Relationship Id="rId4" Type="http://schemas.openxmlformats.org/officeDocument/2006/relationships/hyperlink" Target="https://www.eia.gov/totalenergy/data/browser/xls.php?tbl=T10.04B&amp;freq=m" TargetMode="External"/><Relationship Id="rId9" Type="http://schemas.openxmlformats.org/officeDocument/2006/relationships/hyperlink" Target="https://www.eia.gov/totalenergy/data/browser/xls.php?tbl=T10.02C&amp;freq=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dnav/pet/hist/LeafHandler.ashx?n=PET&amp;s=MDIIMUS1&amp;f=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eia.gov/dnav/pet/hist/LeafHandler.ashx?n=PET&amp;s=MDIRPUS1&amp;f=M" TargetMode="External"/><Relationship Id="rId1" Type="http://schemas.openxmlformats.org/officeDocument/2006/relationships/hyperlink" Target="https://www.eia.gov/dnav/pet/hist/LeafHandler.ashx?n=PET&amp;s=MDIUPUS1&amp;f=M" TargetMode="External"/><Relationship Id="rId6" Type="http://schemas.openxmlformats.org/officeDocument/2006/relationships/hyperlink" Target="https://www.eia.gov/dnav/pet/hist/LeafHandler.ashx?n=PET&amp;s=MD0RX_NUS_1&amp;f=M" TargetMode="External"/><Relationship Id="rId5" Type="http://schemas.openxmlformats.org/officeDocument/2006/relationships/hyperlink" Target="https://www.eia.gov/dnav/pet/hist/LeafHandler.ashx?n=PET&amp;s=MDIEXUS1&amp;f=M" TargetMode="External"/><Relationship Id="rId4" Type="http://schemas.openxmlformats.org/officeDocument/2006/relationships/hyperlink" Target="https://www.eia.gov/dnav/pet/hist/LeafHandler.ashx?n=pet&amp;s=mdistus1&amp;f=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1A38-9C90-49D7-8AE3-89DE35D7951F}">
  <dimension ref="A2:G27"/>
  <sheetViews>
    <sheetView workbookViewId="0">
      <selection activeCell="B7" sqref="B7"/>
    </sheetView>
  </sheetViews>
  <sheetFormatPr defaultColWidth="9.140625" defaultRowHeight="15"/>
  <cols>
    <col min="1" max="1" width="47.5703125" style="4" bestFit="1" customWidth="1"/>
    <col min="2" max="2" width="38.5703125" style="4" bestFit="1" customWidth="1"/>
    <col min="3" max="16384" width="9.140625" style="4"/>
  </cols>
  <sheetData>
    <row r="2" spans="1:7" s="3" customFormat="1" ht="39" customHeight="1">
      <c r="A2" s="1" t="s">
        <v>0</v>
      </c>
      <c r="B2" s="2" t="s">
        <v>1</v>
      </c>
      <c r="C2" s="196" t="s">
        <v>2</v>
      </c>
      <c r="D2" s="196"/>
      <c r="E2" s="196"/>
      <c r="F2" s="196"/>
    </row>
    <row r="3" spans="1:7">
      <c r="A3" s="4" t="s">
        <v>3</v>
      </c>
      <c r="B3" s="5" t="s">
        <v>4</v>
      </c>
      <c r="C3" s="4" t="s">
        <v>5</v>
      </c>
      <c r="G3" s="6" t="s">
        <v>6</v>
      </c>
    </row>
    <row r="4" spans="1:7">
      <c r="A4" s="4" t="s">
        <v>7</v>
      </c>
      <c r="B4" s="5" t="s">
        <v>8</v>
      </c>
      <c r="C4" s="4" t="s">
        <v>9</v>
      </c>
      <c r="G4" s="4" t="s">
        <v>10</v>
      </c>
    </row>
    <row r="5" spans="1:7">
      <c r="A5" s="4" t="s">
        <v>11</v>
      </c>
      <c r="B5" s="5" t="s">
        <v>12</v>
      </c>
      <c r="C5" s="4" t="s">
        <v>13</v>
      </c>
      <c r="G5" s="6" t="s">
        <v>6</v>
      </c>
    </row>
    <row r="6" spans="1:7">
      <c r="A6" s="4" t="s">
        <v>14</v>
      </c>
      <c r="B6" s="5" t="s">
        <v>15</v>
      </c>
      <c r="C6" s="4" t="s">
        <v>9</v>
      </c>
      <c r="G6" s="4" t="s">
        <v>16</v>
      </c>
    </row>
    <row r="7" spans="1:7">
      <c r="A7" s="4" t="s">
        <v>17</v>
      </c>
      <c r="B7" s="5" t="s">
        <v>18</v>
      </c>
      <c r="C7" s="4" t="s">
        <v>9</v>
      </c>
      <c r="G7" s="4" t="s">
        <v>19</v>
      </c>
    </row>
    <row r="8" spans="1:7">
      <c r="A8" s="4" t="s">
        <v>20</v>
      </c>
      <c r="B8" s="5" t="s">
        <v>21</v>
      </c>
      <c r="C8" s="4" t="s">
        <v>9</v>
      </c>
      <c r="G8" s="4" t="s">
        <v>22</v>
      </c>
    </row>
    <row r="9" spans="1:7">
      <c r="A9" s="4" t="s">
        <v>23</v>
      </c>
      <c r="B9" s="5" t="s">
        <v>24</v>
      </c>
      <c r="C9" s="4" t="s">
        <v>9</v>
      </c>
      <c r="G9" s="4" t="s">
        <v>25</v>
      </c>
    </row>
    <row r="10" spans="1:7">
      <c r="A10" s="4" t="s">
        <v>26</v>
      </c>
      <c r="B10" s="7" t="s">
        <v>27</v>
      </c>
      <c r="C10" s="4" t="s">
        <v>9</v>
      </c>
      <c r="G10" s="4" t="s">
        <v>28</v>
      </c>
    </row>
    <row r="11" spans="1:7">
      <c r="A11" s="4" t="s">
        <v>29</v>
      </c>
      <c r="B11" s="8"/>
    </row>
    <row r="12" spans="1:7">
      <c r="A12" s="4" t="s">
        <v>30</v>
      </c>
      <c r="B12" s="8"/>
      <c r="C12" s="4" t="s">
        <v>31</v>
      </c>
    </row>
    <row r="13" spans="1:7">
      <c r="A13" s="4" t="s">
        <v>32</v>
      </c>
      <c r="B13" s="8"/>
      <c r="C13" s="4" t="s">
        <v>33</v>
      </c>
    </row>
    <row r="14" spans="1:7">
      <c r="A14" s="9" t="s">
        <v>34</v>
      </c>
      <c r="B14" s="8"/>
    </row>
    <row r="15" spans="1:7">
      <c r="B15" s="8"/>
    </row>
    <row r="16" spans="1:7">
      <c r="B16" s="5"/>
    </row>
    <row r="17" spans="1:3">
      <c r="C17" s="5"/>
    </row>
    <row r="19" spans="1:3">
      <c r="A19" s="4" t="s">
        <v>35</v>
      </c>
    </row>
    <row r="20" spans="1:3">
      <c r="A20" s="6"/>
      <c r="B20" s="4" t="s">
        <v>36</v>
      </c>
    </row>
    <row r="21" spans="1:3">
      <c r="A21" s="10"/>
      <c r="B21" s="4" t="s">
        <v>37</v>
      </c>
    </row>
    <row r="22" spans="1:3">
      <c r="A22" s="11"/>
      <c r="B22" s="4" t="s">
        <v>38</v>
      </c>
    </row>
    <row r="23" spans="1:3">
      <c r="A23" s="12"/>
      <c r="B23" s="4" t="s">
        <v>39</v>
      </c>
    </row>
    <row r="24" spans="1:3">
      <c r="A24" s="13"/>
      <c r="B24" s="4" t="s">
        <v>40</v>
      </c>
    </row>
    <row r="25" spans="1:3">
      <c r="A25" s="14"/>
      <c r="B25" s="4" t="s">
        <v>41</v>
      </c>
    </row>
    <row r="26" spans="1:3">
      <c r="A26" s="15"/>
      <c r="B26" s="4" t="s">
        <v>42</v>
      </c>
    </row>
    <row r="27" spans="1:3">
      <c r="A27" s="3" t="s">
        <v>43</v>
      </c>
      <c r="B27" s="4" t="s">
        <v>43</v>
      </c>
    </row>
  </sheetData>
  <mergeCells count="1">
    <mergeCell ref="C2:F2"/>
  </mergeCells>
  <hyperlinks>
    <hyperlink ref="B5" r:id="rId1" xr:uid="{4D8BCCF7-E371-407C-A103-9753EDA5DDE7}"/>
    <hyperlink ref="B4" r:id="rId2" xr:uid="{5472FFC6-4C47-4D8C-9348-8B4E6526EB9F}"/>
    <hyperlink ref="B6" r:id="rId3" xr:uid="{E9B0105F-D014-4299-81FF-1A92FB8BC591}"/>
    <hyperlink ref="B7" r:id="rId4" xr:uid="{5229FF30-C565-4B49-811A-AEF98FBC6C51}"/>
    <hyperlink ref="B3" r:id="rId5" location="/?v=0&amp;f=M&amp;s=3g0000000000000000000000vo00001o000000000000000000000000600000001vg000000000000000000000000000000000000000000000001000000000000000000000100000000000000000000000000000000000000000000000000000000000000000000000000000000000000000001g00000000000000000000000000000000000000000000000000000000000000000000000000000000000000000000007s00000000&amp;start=201801&amp;end=202412&amp;id=&amp;maptype=0&amp;ctype=linechart&amp;linechart=" xr:uid="{3DABA0F0-67F7-4146-84A6-A959A46A9A9D}"/>
    <hyperlink ref="C6" r:id="rId6" xr:uid="{A153E6FD-D1A9-4475-A1B3-1E5EDD0B5BDD}"/>
    <hyperlink ref="B8" r:id="rId7" xr:uid="{79966A36-082C-4C7D-AB67-64C2D5EA3201}"/>
    <hyperlink ref="B9" r:id="rId8" xr:uid="{805BCE2E-2B1F-4A7D-93D4-76B08F673947}"/>
    <hyperlink ref="B10" r:id="rId9" xr:uid="{E3945B2C-70A2-4F57-B585-018C13CDCC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4D70-EE12-4FCA-9E7E-5E0744B3B533}">
  <dimension ref="A1"/>
  <sheetViews>
    <sheetView topLeftCell="A16" workbookViewId="0">
      <selection activeCell="I18" sqref="I18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D521-6CC1-42CD-91D5-24CC262977CD}">
  <sheetPr>
    <tabColor rgb="FFFF0000"/>
  </sheetPr>
  <dimension ref="A1:CF81"/>
  <sheetViews>
    <sheetView zoomScale="110" zoomScaleNormal="110" workbookViewId="0">
      <pane xSplit="1" ySplit="2" topLeftCell="B5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RowHeight="15"/>
  <cols>
    <col min="1" max="1" width="10.5703125" bestFit="1" customWidth="1"/>
    <col min="2" max="2" width="18.5703125" style="35" bestFit="1" customWidth="1"/>
    <col min="3" max="3" width="26.42578125" bestFit="1" customWidth="1"/>
    <col min="4" max="4" width="26.42578125" style="36" customWidth="1"/>
    <col min="5" max="7" width="16.7109375" bestFit="1" customWidth="1"/>
    <col min="8" max="9" width="15.28515625" bestFit="1" customWidth="1"/>
    <col min="10" max="10" width="17.42578125" bestFit="1" customWidth="1"/>
    <col min="11" max="11" width="15.28515625" bestFit="1" customWidth="1"/>
    <col min="12" max="14" width="18.5703125" bestFit="1" customWidth="1"/>
    <col min="15" max="15" width="18.5703125" style="35" bestFit="1" customWidth="1"/>
    <col min="16" max="16" width="20.140625" style="37" bestFit="1" customWidth="1"/>
    <col min="17" max="17" width="15.85546875" bestFit="1" customWidth="1"/>
    <col min="18" max="18" width="26.28515625" bestFit="1" customWidth="1"/>
    <col min="19" max="19" width="28.42578125" bestFit="1" customWidth="1"/>
    <col min="20" max="20" width="27.42578125" bestFit="1" customWidth="1"/>
    <col min="21" max="21" width="26.5703125" bestFit="1" customWidth="1"/>
    <col min="22" max="22" width="21.140625" bestFit="1" customWidth="1"/>
    <col min="23" max="23" width="21.42578125" bestFit="1" customWidth="1"/>
    <col min="24" max="24" width="22" bestFit="1" customWidth="1"/>
    <col min="25" max="25" width="22.140625" bestFit="1" customWidth="1"/>
    <col min="26" max="26" width="17.85546875" bestFit="1" customWidth="1"/>
    <col min="27" max="27" width="28.140625" bestFit="1" customWidth="1"/>
    <col min="28" max="28" width="30.42578125" style="37" bestFit="1" customWidth="1"/>
    <col min="29" max="29" width="27.28515625" style="38" bestFit="1" customWidth="1"/>
    <col min="30" max="31" width="27.28515625" bestFit="1" customWidth="1"/>
    <col min="32" max="32" width="24.5703125" bestFit="1" customWidth="1"/>
    <col min="33" max="33" width="23.5703125" bestFit="1" customWidth="1"/>
    <col min="34" max="34" width="29" bestFit="1" customWidth="1"/>
    <col min="35" max="36" width="29.140625" bestFit="1" customWidth="1"/>
    <col min="37" max="37" width="29.140625" style="38" bestFit="1" customWidth="1"/>
    <col min="38" max="38" width="20.140625" style="39" bestFit="1" customWidth="1"/>
    <col min="39" max="39" width="30.5703125" bestFit="1" customWidth="1"/>
    <col min="40" max="42" width="20.85546875" bestFit="1" customWidth="1"/>
    <col min="43" max="43" width="18.42578125" bestFit="1" customWidth="1"/>
    <col min="44" max="44" width="17.28515625" bestFit="1" customWidth="1"/>
    <col min="45" max="45" width="22.7109375" bestFit="1" customWidth="1"/>
    <col min="46" max="47" width="22.85546875" bestFit="1" customWidth="1"/>
    <col min="48" max="48" width="22.85546875" style="39" bestFit="1" customWidth="1"/>
    <col min="49" max="49" width="25.140625" style="40" customWidth="1"/>
    <col min="50" max="52" width="25.140625" customWidth="1"/>
    <col min="53" max="57" width="27.85546875" customWidth="1"/>
    <col min="58" max="60" width="23.7109375" customWidth="1"/>
    <col min="61" max="61" width="23.7109375" style="40" customWidth="1"/>
    <col min="62" max="62" width="25.140625" style="41" customWidth="1"/>
    <col min="63" max="73" width="25.140625" customWidth="1"/>
    <col min="74" max="74" width="25.140625" style="41" customWidth="1"/>
    <col min="75" max="78" width="25.140625" customWidth="1"/>
    <col min="79" max="82" width="25.140625" style="36" customWidth="1"/>
  </cols>
  <sheetData>
    <row r="1" spans="1:82" s="24" customFormat="1" ht="40.5">
      <c r="A1" s="16" t="s">
        <v>44</v>
      </c>
      <c r="B1" s="17" t="s">
        <v>45</v>
      </c>
      <c r="C1" s="16" t="s">
        <v>46</v>
      </c>
      <c r="D1" s="18" t="s">
        <v>46</v>
      </c>
      <c r="E1" s="16" t="s">
        <v>47</v>
      </c>
      <c r="F1" s="16" t="s">
        <v>47</v>
      </c>
      <c r="G1" s="16" t="s">
        <v>47</v>
      </c>
      <c r="H1" s="16" t="s">
        <v>48</v>
      </c>
      <c r="I1" s="16" t="s">
        <v>49</v>
      </c>
      <c r="J1" s="16" t="s">
        <v>50</v>
      </c>
      <c r="K1" s="16" t="s">
        <v>51</v>
      </c>
      <c r="L1" s="16" t="s">
        <v>52</v>
      </c>
      <c r="M1" s="16" t="s">
        <v>53</v>
      </c>
      <c r="N1" s="16" t="s">
        <v>53</v>
      </c>
      <c r="O1" s="17" t="s">
        <v>53</v>
      </c>
      <c r="P1" s="19" t="s">
        <v>54</v>
      </c>
      <c r="Q1" s="16" t="s">
        <v>55</v>
      </c>
      <c r="R1" s="16" t="s">
        <v>56</v>
      </c>
      <c r="S1" s="16" t="s">
        <v>57</v>
      </c>
      <c r="T1" s="16" t="s">
        <v>58</v>
      </c>
      <c r="U1" s="16" t="s">
        <v>59</v>
      </c>
      <c r="V1" s="16" t="s">
        <v>60</v>
      </c>
      <c r="W1" s="16" t="s">
        <v>61</v>
      </c>
      <c r="X1" s="16" t="s">
        <v>62</v>
      </c>
      <c r="Y1" s="16" t="s">
        <v>63</v>
      </c>
      <c r="Z1" s="16" t="s">
        <v>64</v>
      </c>
      <c r="AA1" s="16" t="s">
        <v>65</v>
      </c>
      <c r="AB1" s="19" t="s">
        <v>66</v>
      </c>
      <c r="AC1" s="20" t="s">
        <v>67</v>
      </c>
      <c r="AD1" s="16" t="s">
        <v>67</v>
      </c>
      <c r="AE1" s="16" t="s">
        <v>67</v>
      </c>
      <c r="AF1" s="16" t="s">
        <v>68</v>
      </c>
      <c r="AG1" s="16" t="s">
        <v>69</v>
      </c>
      <c r="AH1" s="16" t="s">
        <v>70</v>
      </c>
      <c r="AI1" s="16" t="s">
        <v>71</v>
      </c>
      <c r="AJ1" s="16" t="s">
        <v>71</v>
      </c>
      <c r="AK1" s="20" t="s">
        <v>71</v>
      </c>
      <c r="AL1" s="21" t="s">
        <v>72</v>
      </c>
      <c r="AM1" s="16" t="s">
        <v>73</v>
      </c>
      <c r="AN1" s="16" t="s">
        <v>74</v>
      </c>
      <c r="AO1" s="16" t="s">
        <v>74</v>
      </c>
      <c r="AP1" s="16" t="s">
        <v>74</v>
      </c>
      <c r="AQ1" s="16" t="s">
        <v>75</v>
      </c>
      <c r="AR1" s="16" t="s">
        <v>76</v>
      </c>
      <c r="AS1" s="16" t="s">
        <v>77</v>
      </c>
      <c r="AT1" s="16" t="s">
        <v>78</v>
      </c>
      <c r="AU1" s="16" t="s">
        <v>78</v>
      </c>
      <c r="AV1" s="21" t="s">
        <v>78</v>
      </c>
      <c r="AW1" s="22" t="s">
        <v>79</v>
      </c>
      <c r="AX1" s="16" t="s">
        <v>80</v>
      </c>
      <c r="AY1" s="16" t="s">
        <v>81</v>
      </c>
      <c r="AZ1" s="16" t="s">
        <v>82</v>
      </c>
      <c r="BA1" s="16" t="s">
        <v>83</v>
      </c>
      <c r="BB1" s="16" t="s">
        <v>84</v>
      </c>
      <c r="BC1" s="16" t="s">
        <v>85</v>
      </c>
      <c r="BD1" s="16" t="s">
        <v>86</v>
      </c>
      <c r="BE1" s="16" t="s">
        <v>87</v>
      </c>
      <c r="BF1" s="16" t="s">
        <v>88</v>
      </c>
      <c r="BG1" s="16" t="s">
        <v>89</v>
      </c>
      <c r="BH1" s="16" t="s">
        <v>90</v>
      </c>
      <c r="BI1" s="22" t="s">
        <v>91</v>
      </c>
      <c r="BJ1" s="23" t="s">
        <v>92</v>
      </c>
      <c r="BK1" s="16" t="s">
        <v>93</v>
      </c>
      <c r="BL1" s="16" t="s">
        <v>94</v>
      </c>
      <c r="BM1" s="16" t="s">
        <v>95</v>
      </c>
      <c r="BN1" s="16" t="s">
        <v>96</v>
      </c>
      <c r="BO1" s="16" t="s">
        <v>97</v>
      </c>
      <c r="BP1" s="16" t="s">
        <v>98</v>
      </c>
      <c r="BQ1" s="16" t="s">
        <v>99</v>
      </c>
      <c r="BR1" s="16" t="s">
        <v>100</v>
      </c>
      <c r="BS1" s="16" t="s">
        <v>101</v>
      </c>
      <c r="BT1" s="16" t="s">
        <v>102</v>
      </c>
      <c r="BU1" s="16" t="s">
        <v>103</v>
      </c>
      <c r="BV1" s="23" t="s">
        <v>104</v>
      </c>
      <c r="BW1" s="16" t="s">
        <v>105</v>
      </c>
      <c r="BX1" s="16" t="s">
        <v>106</v>
      </c>
      <c r="BY1" s="16" t="s">
        <v>107</v>
      </c>
      <c r="BZ1" s="16" t="s">
        <v>108</v>
      </c>
      <c r="CA1" s="18" t="s">
        <v>109</v>
      </c>
      <c r="CB1" s="18" t="s">
        <v>110</v>
      </c>
      <c r="CC1" s="18" t="s">
        <v>111</v>
      </c>
      <c r="CD1" s="18" t="s">
        <v>112</v>
      </c>
    </row>
    <row r="2" spans="1:82" ht="40.5">
      <c r="A2" s="25"/>
      <c r="B2" s="26" t="s">
        <v>113</v>
      </c>
      <c r="C2" s="25" t="s">
        <v>113</v>
      </c>
      <c r="D2" s="27" t="s">
        <v>114</v>
      </c>
      <c r="E2" s="25" t="s">
        <v>114</v>
      </c>
      <c r="F2" s="25" t="s">
        <v>115</v>
      </c>
      <c r="G2" s="25" t="s">
        <v>113</v>
      </c>
      <c r="H2" s="25" t="s">
        <v>114</v>
      </c>
      <c r="I2" s="25" t="s">
        <v>114</v>
      </c>
      <c r="J2" s="25" t="s">
        <v>114</v>
      </c>
      <c r="K2" s="25" t="s">
        <v>114</v>
      </c>
      <c r="L2" s="25" t="s">
        <v>114</v>
      </c>
      <c r="M2" s="25" t="s">
        <v>114</v>
      </c>
      <c r="N2" s="25" t="s">
        <v>115</v>
      </c>
      <c r="O2" s="26" t="s">
        <v>113</v>
      </c>
      <c r="P2" s="28" t="s">
        <v>113</v>
      </c>
      <c r="Q2" s="25" t="s">
        <v>113</v>
      </c>
      <c r="R2" s="25" t="s">
        <v>113</v>
      </c>
      <c r="S2" s="25" t="s">
        <v>113</v>
      </c>
      <c r="T2" s="25" t="s">
        <v>113</v>
      </c>
      <c r="U2" s="25" t="s">
        <v>113</v>
      </c>
      <c r="V2" s="25" t="s">
        <v>113</v>
      </c>
      <c r="W2" s="25" t="s">
        <v>113</v>
      </c>
      <c r="X2" s="25" t="s">
        <v>113</v>
      </c>
      <c r="Y2" s="25" t="s">
        <v>113</v>
      </c>
      <c r="Z2" s="25" t="s">
        <v>113</v>
      </c>
      <c r="AA2" s="25" t="s">
        <v>113</v>
      </c>
      <c r="AB2" s="28" t="s">
        <v>113</v>
      </c>
      <c r="AC2" s="29" t="s">
        <v>114</v>
      </c>
      <c r="AD2" s="25" t="s">
        <v>115</v>
      </c>
      <c r="AE2" s="25" t="s">
        <v>113</v>
      </c>
      <c r="AF2" s="25" t="s">
        <v>114</v>
      </c>
      <c r="AG2" s="25" t="s">
        <v>114</v>
      </c>
      <c r="AH2" s="25" t="s">
        <v>114</v>
      </c>
      <c r="AI2" s="25" t="s">
        <v>114</v>
      </c>
      <c r="AJ2" s="25" t="s">
        <v>115</v>
      </c>
      <c r="AK2" s="29" t="s">
        <v>113</v>
      </c>
      <c r="AL2" s="30" t="s">
        <v>113</v>
      </c>
      <c r="AM2" s="25" t="s">
        <v>113</v>
      </c>
      <c r="AN2" s="25" t="s">
        <v>114</v>
      </c>
      <c r="AO2" s="25" t="s">
        <v>115</v>
      </c>
      <c r="AP2" s="25" t="s">
        <v>113</v>
      </c>
      <c r="AQ2" s="25" t="s">
        <v>114</v>
      </c>
      <c r="AR2" s="25" t="s">
        <v>114</v>
      </c>
      <c r="AS2" s="25" t="s">
        <v>114</v>
      </c>
      <c r="AT2" s="25" t="s">
        <v>114</v>
      </c>
      <c r="AU2" s="25" t="s">
        <v>115</v>
      </c>
      <c r="AV2" s="30" t="s">
        <v>113</v>
      </c>
      <c r="AW2" s="31" t="s">
        <v>113</v>
      </c>
      <c r="AX2" s="25" t="s">
        <v>113</v>
      </c>
      <c r="AY2" s="25" t="s">
        <v>113</v>
      </c>
      <c r="AZ2" s="25" t="s">
        <v>113</v>
      </c>
      <c r="BA2" s="25" t="s">
        <v>113</v>
      </c>
      <c r="BB2" s="25" t="s">
        <v>113</v>
      </c>
      <c r="BC2" s="25" t="s">
        <v>113</v>
      </c>
      <c r="BD2" s="25" t="s">
        <v>113</v>
      </c>
      <c r="BE2" s="25" t="s">
        <v>113</v>
      </c>
      <c r="BF2" s="25" t="s">
        <v>113</v>
      </c>
      <c r="BG2" s="25" t="s">
        <v>113</v>
      </c>
      <c r="BH2" s="25" t="s">
        <v>113</v>
      </c>
      <c r="BI2" s="31" t="s">
        <v>113</v>
      </c>
      <c r="BJ2" s="32" t="s">
        <v>113</v>
      </c>
      <c r="BK2" s="25" t="s">
        <v>113</v>
      </c>
      <c r="BL2" s="25" t="s">
        <v>113</v>
      </c>
      <c r="BM2" s="25" t="s">
        <v>113</v>
      </c>
      <c r="BN2" s="25" t="s">
        <v>113</v>
      </c>
      <c r="BO2" s="25" t="s">
        <v>113</v>
      </c>
      <c r="BP2" s="25" t="s">
        <v>113</v>
      </c>
      <c r="BQ2" s="25" t="s">
        <v>113</v>
      </c>
      <c r="BR2" s="25" t="s">
        <v>113</v>
      </c>
      <c r="BS2" s="25" t="s">
        <v>113</v>
      </c>
      <c r="BT2" s="25" t="s">
        <v>113</v>
      </c>
      <c r="BU2" s="25" t="s">
        <v>113</v>
      </c>
      <c r="BV2" s="32" t="s">
        <v>113</v>
      </c>
      <c r="BW2" s="33" t="s">
        <v>116</v>
      </c>
      <c r="BX2" s="33" t="s">
        <v>117</v>
      </c>
      <c r="BY2" s="33" t="s">
        <v>118</v>
      </c>
      <c r="BZ2" s="33" t="s">
        <v>119</v>
      </c>
      <c r="CA2" s="27" t="s">
        <v>120</v>
      </c>
      <c r="CB2" s="27" t="s">
        <v>120</v>
      </c>
      <c r="CC2" s="27" t="s">
        <v>120</v>
      </c>
      <c r="CD2" s="27" t="s">
        <v>120</v>
      </c>
    </row>
    <row r="3" spans="1:82">
      <c r="A3" s="34">
        <v>1949</v>
      </c>
      <c r="P3" s="37">
        <v>1549.2619999999999</v>
      </c>
      <c r="Q3" t="s">
        <v>121</v>
      </c>
      <c r="R3">
        <v>1549.2619999999999</v>
      </c>
      <c r="S3">
        <v>2973.9839999999999</v>
      </c>
      <c r="T3">
        <v>1424.722</v>
      </c>
      <c r="U3" t="s">
        <v>121</v>
      </c>
      <c r="V3" t="s">
        <v>121</v>
      </c>
      <c r="W3" t="s">
        <v>121</v>
      </c>
      <c r="X3">
        <v>1549.2619999999999</v>
      </c>
      <c r="Y3" t="s">
        <v>121</v>
      </c>
      <c r="Z3" t="s">
        <v>121</v>
      </c>
      <c r="AA3">
        <v>1549.2619999999999</v>
      </c>
      <c r="AB3" s="37">
        <v>2973.9839999999999</v>
      </c>
      <c r="AW3" s="40" t="s">
        <v>121</v>
      </c>
      <c r="AX3" t="s">
        <v>121</v>
      </c>
      <c r="AY3">
        <v>1055.1859999999999</v>
      </c>
      <c r="AZ3">
        <v>1055.1859999999999</v>
      </c>
      <c r="BA3" t="s">
        <v>121</v>
      </c>
      <c r="BB3" t="s">
        <v>121</v>
      </c>
      <c r="BC3" t="s">
        <v>121</v>
      </c>
      <c r="BD3" t="s">
        <v>121</v>
      </c>
      <c r="BE3">
        <v>19.986000000000001</v>
      </c>
      <c r="BF3" t="s">
        <v>121</v>
      </c>
      <c r="BG3" t="s">
        <v>121</v>
      </c>
      <c r="BH3">
        <v>19.986000000000001</v>
      </c>
      <c r="BI3" s="40">
        <v>19.986000000000001</v>
      </c>
      <c r="BJ3" s="41" t="s">
        <v>121</v>
      </c>
      <c r="BK3" t="s">
        <v>121</v>
      </c>
      <c r="BL3" t="s">
        <v>121</v>
      </c>
      <c r="BM3" t="s">
        <v>121</v>
      </c>
      <c r="BN3" t="s">
        <v>121</v>
      </c>
      <c r="BO3">
        <v>1349.1849999999999</v>
      </c>
      <c r="BP3" t="s">
        <v>121</v>
      </c>
      <c r="BQ3" t="s">
        <v>121</v>
      </c>
      <c r="BR3" t="s">
        <v>121</v>
      </c>
      <c r="BS3">
        <v>5.8029999999999999</v>
      </c>
      <c r="BT3" t="s">
        <v>121</v>
      </c>
      <c r="BU3">
        <v>5.8029999999999999</v>
      </c>
      <c r="BV3" s="41">
        <v>1354.9880000000001</v>
      </c>
      <c r="BW3">
        <v>340825</v>
      </c>
      <c r="BX3">
        <v>1825</v>
      </c>
      <c r="BY3">
        <v>329278</v>
      </c>
      <c r="BZ3">
        <v>75207</v>
      </c>
      <c r="CA3" s="42">
        <f>BW3*42/1000</f>
        <v>14314.65</v>
      </c>
      <c r="CB3" s="42">
        <f>BX3*42/1000</f>
        <v>76.650000000000006</v>
      </c>
      <c r="CC3" s="42">
        <f>BY3*42/1000</f>
        <v>13829.675999999999</v>
      </c>
      <c r="CD3" s="36">
        <f>BZ3*42/1000</f>
        <v>3158.694</v>
      </c>
    </row>
    <row r="4" spans="1:82">
      <c r="A4" s="34">
        <v>1950</v>
      </c>
      <c r="P4" s="37">
        <v>1562.307</v>
      </c>
      <c r="Q4" t="s">
        <v>121</v>
      </c>
      <c r="R4">
        <v>1562.307</v>
      </c>
      <c r="S4">
        <v>2977.7179999999998</v>
      </c>
      <c r="T4">
        <v>1415.4110000000001</v>
      </c>
      <c r="U4" t="s">
        <v>121</v>
      </c>
      <c r="V4" t="s">
        <v>121</v>
      </c>
      <c r="W4" t="s">
        <v>121</v>
      </c>
      <c r="X4">
        <v>1562.307</v>
      </c>
      <c r="Y4" t="s">
        <v>121</v>
      </c>
      <c r="Z4" t="s">
        <v>121</v>
      </c>
      <c r="AA4">
        <v>1562.307</v>
      </c>
      <c r="AB4" s="37">
        <v>2977.7179999999998</v>
      </c>
      <c r="AW4" s="40" t="s">
        <v>121</v>
      </c>
      <c r="AX4" t="s">
        <v>121</v>
      </c>
      <c r="AY4">
        <v>1005.529</v>
      </c>
      <c r="AZ4">
        <v>1005.529</v>
      </c>
      <c r="BA4" t="s">
        <v>121</v>
      </c>
      <c r="BB4" t="s">
        <v>121</v>
      </c>
      <c r="BC4" t="s">
        <v>121</v>
      </c>
      <c r="BD4" t="s">
        <v>121</v>
      </c>
      <c r="BE4">
        <v>19.074999999999999</v>
      </c>
      <c r="BF4" t="s">
        <v>121</v>
      </c>
      <c r="BG4" t="s">
        <v>121</v>
      </c>
      <c r="BH4">
        <v>19.074999999999999</v>
      </c>
      <c r="BI4" s="40">
        <v>19.074999999999999</v>
      </c>
      <c r="BJ4" s="41" t="s">
        <v>121</v>
      </c>
      <c r="BK4" t="s">
        <v>121</v>
      </c>
      <c r="BL4" t="s">
        <v>121</v>
      </c>
      <c r="BM4" t="s">
        <v>121</v>
      </c>
      <c r="BN4" t="s">
        <v>121</v>
      </c>
      <c r="BO4">
        <v>1346.0150000000001</v>
      </c>
      <c r="BP4" t="s">
        <v>121</v>
      </c>
      <c r="BQ4" t="s">
        <v>121</v>
      </c>
      <c r="BR4" t="s">
        <v>121</v>
      </c>
      <c r="BS4">
        <v>5.4660000000000002</v>
      </c>
      <c r="BT4" t="s">
        <v>121</v>
      </c>
      <c r="BU4">
        <v>5.4660000000000002</v>
      </c>
      <c r="BV4" s="41">
        <v>1351.481</v>
      </c>
      <c r="BW4">
        <v>398912</v>
      </c>
      <c r="BX4">
        <v>2340</v>
      </c>
      <c r="BY4">
        <v>394715</v>
      </c>
      <c r="BZ4">
        <v>71948</v>
      </c>
      <c r="CA4" s="42">
        <f t="shared" ref="CA4:CD67" si="0">BW4*42/1000</f>
        <v>16754.304</v>
      </c>
      <c r="CB4" s="42">
        <f t="shared" si="0"/>
        <v>98.28</v>
      </c>
      <c r="CC4" s="42">
        <f t="shared" si="0"/>
        <v>16578.03</v>
      </c>
      <c r="CD4" s="36">
        <f t="shared" si="0"/>
        <v>3021.8159999999998</v>
      </c>
    </row>
    <row r="5" spans="1:82">
      <c r="A5" s="34">
        <v>1951</v>
      </c>
      <c r="P5" s="37">
        <v>1534.6690000000001</v>
      </c>
      <c r="Q5" t="s">
        <v>121</v>
      </c>
      <c r="R5">
        <v>1534.6690000000001</v>
      </c>
      <c r="S5">
        <v>2958.4639999999999</v>
      </c>
      <c r="T5">
        <v>1423.7950000000001</v>
      </c>
      <c r="U5" t="s">
        <v>121</v>
      </c>
      <c r="V5" t="s">
        <v>121</v>
      </c>
      <c r="W5" t="s">
        <v>121</v>
      </c>
      <c r="X5">
        <v>1534.6690000000001</v>
      </c>
      <c r="Y5" t="s">
        <v>121</v>
      </c>
      <c r="Z5" t="s">
        <v>121</v>
      </c>
      <c r="AA5">
        <v>1534.6690000000001</v>
      </c>
      <c r="AB5" s="37">
        <v>2958.4639999999999</v>
      </c>
      <c r="AW5" s="40" t="s">
        <v>121</v>
      </c>
      <c r="AX5" t="s">
        <v>121</v>
      </c>
      <c r="AY5">
        <v>958.21199999999999</v>
      </c>
      <c r="AZ5">
        <v>958.21199999999999</v>
      </c>
      <c r="BA5" t="s">
        <v>121</v>
      </c>
      <c r="BB5" t="s">
        <v>121</v>
      </c>
      <c r="BC5" t="s">
        <v>121</v>
      </c>
      <c r="BD5" t="s">
        <v>121</v>
      </c>
      <c r="BE5">
        <v>18.198</v>
      </c>
      <c r="BF5" t="s">
        <v>121</v>
      </c>
      <c r="BG5" t="s">
        <v>121</v>
      </c>
      <c r="BH5">
        <v>18.198</v>
      </c>
      <c r="BI5" s="40">
        <v>18.198</v>
      </c>
      <c r="BJ5" s="41" t="s">
        <v>121</v>
      </c>
      <c r="BK5" t="s">
        <v>121</v>
      </c>
      <c r="BL5" t="s">
        <v>121</v>
      </c>
      <c r="BM5" t="s">
        <v>121</v>
      </c>
      <c r="BN5" t="s">
        <v>121</v>
      </c>
      <c r="BO5">
        <v>1360.6980000000001</v>
      </c>
      <c r="BP5" t="s">
        <v>121</v>
      </c>
      <c r="BQ5" t="s">
        <v>121</v>
      </c>
      <c r="BR5" t="s">
        <v>121</v>
      </c>
      <c r="BS5">
        <v>5.3310000000000004</v>
      </c>
      <c r="BT5" t="s">
        <v>121</v>
      </c>
      <c r="BU5">
        <v>5.3310000000000004</v>
      </c>
      <c r="BV5" s="41">
        <v>1366.029</v>
      </c>
      <c r="BW5">
        <v>475801</v>
      </c>
      <c r="BX5">
        <v>1767</v>
      </c>
      <c r="BY5">
        <v>449102</v>
      </c>
      <c r="BZ5">
        <v>80722</v>
      </c>
      <c r="CA5" s="42">
        <f t="shared" si="0"/>
        <v>19983.642</v>
      </c>
      <c r="CB5" s="42">
        <f t="shared" si="0"/>
        <v>74.213999999999999</v>
      </c>
      <c r="CC5" s="42">
        <f t="shared" si="0"/>
        <v>18862.284</v>
      </c>
      <c r="CD5" s="36">
        <f t="shared" si="0"/>
        <v>3390.3240000000001</v>
      </c>
    </row>
    <row r="6" spans="1:82">
      <c r="A6" s="34">
        <v>1952</v>
      </c>
      <c r="P6" s="37">
        <v>1474.3689999999999</v>
      </c>
      <c r="Q6" t="s">
        <v>121</v>
      </c>
      <c r="R6">
        <v>1474.3689999999999</v>
      </c>
      <c r="S6">
        <v>2940.181</v>
      </c>
      <c r="T6">
        <v>1465.8119999999999</v>
      </c>
      <c r="U6" t="s">
        <v>121</v>
      </c>
      <c r="V6" t="s">
        <v>121</v>
      </c>
      <c r="W6" t="s">
        <v>121</v>
      </c>
      <c r="X6">
        <v>1474.3689999999999</v>
      </c>
      <c r="Y6" t="s">
        <v>121</v>
      </c>
      <c r="Z6" t="s">
        <v>121</v>
      </c>
      <c r="AA6">
        <v>1474.3689999999999</v>
      </c>
      <c r="AB6" s="37">
        <v>2940.181</v>
      </c>
      <c r="AW6" s="40" t="s">
        <v>121</v>
      </c>
      <c r="AX6" t="s">
        <v>121</v>
      </c>
      <c r="AY6">
        <v>899.16399999999999</v>
      </c>
      <c r="AZ6">
        <v>899.16399999999999</v>
      </c>
      <c r="BA6" t="s">
        <v>121</v>
      </c>
      <c r="BB6" t="s">
        <v>121</v>
      </c>
      <c r="BC6" t="s">
        <v>121</v>
      </c>
      <c r="BD6" t="s">
        <v>121</v>
      </c>
      <c r="BE6">
        <v>17.114000000000001</v>
      </c>
      <c r="BF6" t="s">
        <v>121</v>
      </c>
      <c r="BG6" t="s">
        <v>121</v>
      </c>
      <c r="BH6">
        <v>17.114000000000001</v>
      </c>
      <c r="BI6" s="40">
        <v>17.114000000000001</v>
      </c>
      <c r="BJ6" s="41" t="s">
        <v>121</v>
      </c>
      <c r="BK6" t="s">
        <v>121</v>
      </c>
      <c r="BL6" t="s">
        <v>121</v>
      </c>
      <c r="BM6" t="s">
        <v>121</v>
      </c>
      <c r="BN6" t="s">
        <v>121</v>
      </c>
      <c r="BO6">
        <v>1404.2739999999999</v>
      </c>
      <c r="BP6" t="s">
        <v>121</v>
      </c>
      <c r="BQ6" t="s">
        <v>121</v>
      </c>
      <c r="BR6" t="s">
        <v>121</v>
      </c>
      <c r="BS6">
        <v>6.4349999999999996</v>
      </c>
      <c r="BT6" t="s">
        <v>121</v>
      </c>
      <c r="BU6">
        <v>6.4349999999999996</v>
      </c>
      <c r="BV6" s="41">
        <v>1410.7090000000001</v>
      </c>
      <c r="BW6">
        <v>521264</v>
      </c>
      <c r="BX6">
        <v>2674</v>
      </c>
      <c r="BY6">
        <v>479764</v>
      </c>
      <c r="BZ6">
        <v>99582</v>
      </c>
      <c r="CA6" s="42">
        <f t="shared" si="0"/>
        <v>21893.088</v>
      </c>
      <c r="CB6" s="42">
        <f t="shared" si="0"/>
        <v>112.30800000000001</v>
      </c>
      <c r="CC6" s="42">
        <f t="shared" si="0"/>
        <v>20150.088</v>
      </c>
      <c r="CD6" s="36">
        <f t="shared" si="0"/>
        <v>4182.4440000000004</v>
      </c>
    </row>
    <row r="7" spans="1:82">
      <c r="A7" s="34">
        <v>1953</v>
      </c>
      <c r="P7" s="37">
        <v>1418.6010000000001</v>
      </c>
      <c r="Q7" t="s">
        <v>121</v>
      </c>
      <c r="R7">
        <v>1418.6010000000001</v>
      </c>
      <c r="S7">
        <v>2831.46</v>
      </c>
      <c r="T7">
        <v>1412.8589999999999</v>
      </c>
      <c r="U7" t="s">
        <v>121</v>
      </c>
      <c r="V7" t="s">
        <v>121</v>
      </c>
      <c r="W7" t="s">
        <v>121</v>
      </c>
      <c r="X7">
        <v>1418.6010000000001</v>
      </c>
      <c r="Y7" t="s">
        <v>121</v>
      </c>
      <c r="Z7" t="s">
        <v>121</v>
      </c>
      <c r="AA7">
        <v>1418.6010000000001</v>
      </c>
      <c r="AB7" s="37">
        <v>2831.46</v>
      </c>
      <c r="AW7" s="40" t="s">
        <v>121</v>
      </c>
      <c r="AX7" t="s">
        <v>121</v>
      </c>
      <c r="AY7">
        <v>831.947</v>
      </c>
      <c r="AZ7">
        <v>831.947</v>
      </c>
      <c r="BA7" t="s">
        <v>121</v>
      </c>
      <c r="BB7" t="s">
        <v>121</v>
      </c>
      <c r="BC7" t="s">
        <v>121</v>
      </c>
      <c r="BD7" t="s">
        <v>121</v>
      </c>
      <c r="BE7">
        <v>15.738</v>
      </c>
      <c r="BF7" t="s">
        <v>121</v>
      </c>
      <c r="BG7" t="s">
        <v>121</v>
      </c>
      <c r="BH7">
        <v>15.738</v>
      </c>
      <c r="BI7" s="40">
        <v>15.738</v>
      </c>
      <c r="BJ7" s="41" t="s">
        <v>121</v>
      </c>
      <c r="BK7" t="s">
        <v>121</v>
      </c>
      <c r="BL7" t="s">
        <v>121</v>
      </c>
      <c r="BM7" t="s">
        <v>121</v>
      </c>
      <c r="BN7" t="s">
        <v>121</v>
      </c>
      <c r="BO7">
        <v>1356.3530000000001</v>
      </c>
      <c r="BP7" t="s">
        <v>121</v>
      </c>
      <c r="BQ7" t="s">
        <v>121</v>
      </c>
      <c r="BR7" t="s">
        <v>121</v>
      </c>
      <c r="BS7">
        <v>5.0190000000000001</v>
      </c>
      <c r="BT7" t="s">
        <v>121</v>
      </c>
      <c r="BU7">
        <v>5.0190000000000001</v>
      </c>
      <c r="BV7" s="41">
        <v>1361.3720000000001</v>
      </c>
      <c r="BW7">
        <v>528111</v>
      </c>
      <c r="BX7">
        <v>3379</v>
      </c>
      <c r="BY7">
        <v>488075</v>
      </c>
      <c r="BZ7">
        <v>111741</v>
      </c>
      <c r="CA7" s="42">
        <f t="shared" si="0"/>
        <v>22180.662</v>
      </c>
      <c r="CB7" s="42">
        <f t="shared" si="0"/>
        <v>141.91800000000001</v>
      </c>
      <c r="CC7" s="42">
        <f t="shared" si="0"/>
        <v>20499.150000000001</v>
      </c>
      <c r="CD7" s="36">
        <f t="shared" si="0"/>
        <v>4693.1220000000003</v>
      </c>
    </row>
    <row r="8" spans="1:82">
      <c r="A8" s="34">
        <v>1954</v>
      </c>
      <c r="P8" s="37">
        <v>1394.327</v>
      </c>
      <c r="Q8" t="s">
        <v>121</v>
      </c>
      <c r="R8">
        <v>1394.327</v>
      </c>
      <c r="S8">
        <v>2754.0990000000002</v>
      </c>
      <c r="T8">
        <v>1359.7719999999999</v>
      </c>
      <c r="U8" t="s">
        <v>121</v>
      </c>
      <c r="V8" t="s">
        <v>121</v>
      </c>
      <c r="W8" t="s">
        <v>121</v>
      </c>
      <c r="X8">
        <v>1394.327</v>
      </c>
      <c r="Y8" t="s">
        <v>121</v>
      </c>
      <c r="Z8" t="s">
        <v>121</v>
      </c>
      <c r="AA8">
        <v>1394.327</v>
      </c>
      <c r="AB8" s="37">
        <v>2754.0990000000002</v>
      </c>
      <c r="AW8" s="40" t="s">
        <v>121</v>
      </c>
      <c r="AX8" t="s">
        <v>121</v>
      </c>
      <c r="AY8">
        <v>799.74800000000005</v>
      </c>
      <c r="AZ8">
        <v>799.74800000000005</v>
      </c>
      <c r="BA8" t="s">
        <v>121</v>
      </c>
      <c r="BB8" t="s">
        <v>121</v>
      </c>
      <c r="BC8" t="s">
        <v>121</v>
      </c>
      <c r="BD8" t="s">
        <v>121</v>
      </c>
      <c r="BE8">
        <v>15.17</v>
      </c>
      <c r="BF8" t="s">
        <v>121</v>
      </c>
      <c r="BG8" t="s">
        <v>121</v>
      </c>
      <c r="BH8">
        <v>15.17</v>
      </c>
      <c r="BI8" s="40">
        <v>15.17</v>
      </c>
      <c r="BJ8" s="41" t="s">
        <v>121</v>
      </c>
      <c r="BK8" t="s">
        <v>121</v>
      </c>
      <c r="BL8" t="s">
        <v>121</v>
      </c>
      <c r="BM8" t="s">
        <v>121</v>
      </c>
      <c r="BN8" t="s">
        <v>121</v>
      </c>
      <c r="BO8">
        <v>1304.0940000000001</v>
      </c>
      <c r="BP8" t="s">
        <v>121</v>
      </c>
      <c r="BQ8" t="s">
        <v>121</v>
      </c>
      <c r="BR8" t="s">
        <v>121</v>
      </c>
      <c r="BS8">
        <v>3.2090000000000001</v>
      </c>
      <c r="BT8" t="s">
        <v>121</v>
      </c>
      <c r="BU8">
        <v>3.2090000000000001</v>
      </c>
      <c r="BV8" s="41">
        <v>1307.3030000000001</v>
      </c>
      <c r="BW8">
        <v>542278</v>
      </c>
      <c r="BX8">
        <v>3195</v>
      </c>
      <c r="BY8">
        <v>526369</v>
      </c>
      <c r="BZ8">
        <v>108144</v>
      </c>
      <c r="CA8" s="42">
        <f t="shared" si="0"/>
        <v>22775.675999999999</v>
      </c>
      <c r="CB8" s="42">
        <f t="shared" si="0"/>
        <v>134.19</v>
      </c>
      <c r="CC8" s="42">
        <f t="shared" si="0"/>
        <v>22107.498</v>
      </c>
      <c r="CD8" s="36">
        <f t="shared" si="0"/>
        <v>4542.0479999999998</v>
      </c>
    </row>
    <row r="9" spans="1:82">
      <c r="A9" s="34">
        <v>1955</v>
      </c>
      <c r="P9" s="37">
        <v>1424.143</v>
      </c>
      <c r="Q9" t="s">
        <v>121</v>
      </c>
      <c r="R9">
        <v>1424.143</v>
      </c>
      <c r="S9">
        <v>2783.9870000000001</v>
      </c>
      <c r="T9">
        <v>1359.8440000000001</v>
      </c>
      <c r="U9" t="s">
        <v>121</v>
      </c>
      <c r="V9" t="s">
        <v>121</v>
      </c>
      <c r="W9" t="s">
        <v>121</v>
      </c>
      <c r="X9">
        <v>1424.143</v>
      </c>
      <c r="Y9" t="s">
        <v>121</v>
      </c>
      <c r="Z9" t="s">
        <v>121</v>
      </c>
      <c r="AA9">
        <v>1424.143</v>
      </c>
      <c r="AB9" s="37">
        <v>2783.9870000000001</v>
      </c>
      <c r="AW9" s="40" t="s">
        <v>121</v>
      </c>
      <c r="AX9" t="s">
        <v>121</v>
      </c>
      <c r="AY9">
        <v>775.06600000000003</v>
      </c>
      <c r="AZ9">
        <v>775.06600000000003</v>
      </c>
      <c r="BA9" t="s">
        <v>121</v>
      </c>
      <c r="BB9" t="s">
        <v>121</v>
      </c>
      <c r="BC9" t="s">
        <v>121</v>
      </c>
      <c r="BD9" t="s">
        <v>121</v>
      </c>
      <c r="BE9">
        <v>14.706</v>
      </c>
      <c r="BF9" t="s">
        <v>121</v>
      </c>
      <c r="BG9" t="s">
        <v>121</v>
      </c>
      <c r="BH9">
        <v>14.706</v>
      </c>
      <c r="BI9" s="40">
        <v>14.706</v>
      </c>
      <c r="BJ9" s="41" t="s">
        <v>121</v>
      </c>
      <c r="BK9" t="s">
        <v>121</v>
      </c>
      <c r="BL9" t="s">
        <v>121</v>
      </c>
      <c r="BM9" t="s">
        <v>121</v>
      </c>
      <c r="BN9" t="s">
        <v>121</v>
      </c>
      <c r="BO9">
        <v>1321.6949999999999</v>
      </c>
      <c r="BP9" t="s">
        <v>121</v>
      </c>
      <c r="BQ9" t="s">
        <v>121</v>
      </c>
      <c r="BR9" t="s">
        <v>121</v>
      </c>
      <c r="BS9">
        <v>3.234</v>
      </c>
      <c r="BT9" t="s">
        <v>121</v>
      </c>
      <c r="BU9">
        <v>3.234</v>
      </c>
      <c r="BV9" s="41">
        <v>1324.9290000000001</v>
      </c>
      <c r="BW9">
        <v>602547</v>
      </c>
      <c r="BX9">
        <v>4413</v>
      </c>
      <c r="BY9">
        <v>581128</v>
      </c>
      <c r="BZ9">
        <v>111333</v>
      </c>
      <c r="CA9" s="42">
        <f t="shared" si="0"/>
        <v>25306.973999999998</v>
      </c>
      <c r="CB9" s="42">
        <f t="shared" si="0"/>
        <v>185.346</v>
      </c>
      <c r="CC9" s="42">
        <f t="shared" si="0"/>
        <v>24407.376</v>
      </c>
      <c r="CD9" s="36">
        <f t="shared" si="0"/>
        <v>4675.9859999999999</v>
      </c>
    </row>
    <row r="10" spans="1:82">
      <c r="A10" s="34">
        <v>1956</v>
      </c>
      <c r="P10" s="37">
        <v>1415.8710000000001</v>
      </c>
      <c r="Q10" t="s">
        <v>121</v>
      </c>
      <c r="R10">
        <v>1415.8710000000001</v>
      </c>
      <c r="S10">
        <v>2850.5819999999999</v>
      </c>
      <c r="T10">
        <v>1434.711</v>
      </c>
      <c r="U10" t="s">
        <v>121</v>
      </c>
      <c r="V10" t="s">
        <v>121</v>
      </c>
      <c r="W10" t="s">
        <v>121</v>
      </c>
      <c r="X10">
        <v>1415.8710000000001</v>
      </c>
      <c r="Y10" t="s">
        <v>121</v>
      </c>
      <c r="Z10" t="s">
        <v>121</v>
      </c>
      <c r="AA10">
        <v>1415.8710000000001</v>
      </c>
      <c r="AB10" s="37">
        <v>2850.5819999999999</v>
      </c>
      <c r="AW10" s="40" t="s">
        <v>121</v>
      </c>
      <c r="AX10" t="s">
        <v>121</v>
      </c>
      <c r="AY10">
        <v>738.70600000000002</v>
      </c>
      <c r="AZ10">
        <v>738.70600000000002</v>
      </c>
      <c r="BA10" t="s">
        <v>121</v>
      </c>
      <c r="BB10" t="s">
        <v>121</v>
      </c>
      <c r="BC10" t="s">
        <v>121</v>
      </c>
      <c r="BD10" t="s">
        <v>121</v>
      </c>
      <c r="BE10">
        <v>14.018000000000001</v>
      </c>
      <c r="BF10" t="s">
        <v>121</v>
      </c>
      <c r="BG10" t="s">
        <v>121</v>
      </c>
      <c r="BH10">
        <v>14.018000000000001</v>
      </c>
      <c r="BI10" s="40">
        <v>14.018000000000001</v>
      </c>
      <c r="BJ10" s="41" t="s">
        <v>121</v>
      </c>
      <c r="BK10" t="s">
        <v>121</v>
      </c>
      <c r="BL10" t="s">
        <v>121</v>
      </c>
      <c r="BM10" t="s">
        <v>121</v>
      </c>
      <c r="BN10" t="s">
        <v>121</v>
      </c>
      <c r="BO10">
        <v>1397.96</v>
      </c>
      <c r="BP10" t="s">
        <v>121</v>
      </c>
      <c r="BQ10" t="s">
        <v>121</v>
      </c>
      <c r="BR10" t="s">
        <v>121</v>
      </c>
      <c r="BS10">
        <v>1.738</v>
      </c>
      <c r="BT10" t="s">
        <v>121</v>
      </c>
      <c r="BU10">
        <v>1.738</v>
      </c>
      <c r="BV10" s="41">
        <v>1399.6980000000001</v>
      </c>
      <c r="BW10">
        <v>665687</v>
      </c>
      <c r="BX10">
        <v>5159</v>
      </c>
      <c r="BY10">
        <v>615856</v>
      </c>
      <c r="BZ10">
        <v>133981</v>
      </c>
      <c r="CA10" s="42">
        <f t="shared" si="0"/>
        <v>27958.853999999999</v>
      </c>
      <c r="CB10" s="42">
        <f t="shared" si="0"/>
        <v>216.678</v>
      </c>
      <c r="CC10" s="42">
        <f t="shared" si="0"/>
        <v>25865.952000000001</v>
      </c>
      <c r="CD10" s="36">
        <f t="shared" si="0"/>
        <v>5627.2020000000002</v>
      </c>
    </row>
    <row r="11" spans="1:82">
      <c r="A11" s="34">
        <v>1957</v>
      </c>
      <c r="P11" s="37">
        <v>1333.5809999999999</v>
      </c>
      <c r="Q11" t="s">
        <v>121</v>
      </c>
      <c r="R11">
        <v>1333.5809999999999</v>
      </c>
      <c r="S11">
        <v>2849.194</v>
      </c>
      <c r="T11">
        <v>1515.6130000000001</v>
      </c>
      <c r="U11" t="s">
        <v>121</v>
      </c>
      <c r="V11" t="s">
        <v>121</v>
      </c>
      <c r="W11" t="s">
        <v>121</v>
      </c>
      <c r="X11">
        <v>1333.5809999999999</v>
      </c>
      <c r="Y11" t="s">
        <v>121</v>
      </c>
      <c r="Z11" t="s">
        <v>121</v>
      </c>
      <c r="AA11">
        <v>1333.5809999999999</v>
      </c>
      <c r="AB11" s="37">
        <v>2849.194</v>
      </c>
      <c r="AW11" s="40" t="s">
        <v>121</v>
      </c>
      <c r="AX11" t="s">
        <v>121</v>
      </c>
      <c r="AY11">
        <v>701.81200000000001</v>
      </c>
      <c r="AZ11">
        <v>701.81200000000001</v>
      </c>
      <c r="BA11" t="s">
        <v>121</v>
      </c>
      <c r="BB11" t="s">
        <v>121</v>
      </c>
      <c r="BC11" t="s">
        <v>121</v>
      </c>
      <c r="BD11" t="s">
        <v>121</v>
      </c>
      <c r="BE11">
        <v>13.33</v>
      </c>
      <c r="BF11" t="s">
        <v>121</v>
      </c>
      <c r="BG11" t="s">
        <v>121</v>
      </c>
      <c r="BH11">
        <v>13.33</v>
      </c>
      <c r="BI11" s="40">
        <v>13.33</v>
      </c>
      <c r="BJ11" s="41" t="s">
        <v>121</v>
      </c>
      <c r="BK11" t="s">
        <v>121</v>
      </c>
      <c r="BL11" t="s">
        <v>121</v>
      </c>
      <c r="BM11" t="s">
        <v>121</v>
      </c>
      <c r="BN11" t="s">
        <v>121</v>
      </c>
      <c r="BO11">
        <v>1480.0920000000001</v>
      </c>
      <c r="BP11" t="s">
        <v>121</v>
      </c>
      <c r="BQ11" t="s">
        <v>121</v>
      </c>
      <c r="BR11" t="s">
        <v>121</v>
      </c>
      <c r="BS11">
        <v>2.008</v>
      </c>
      <c r="BT11" t="s">
        <v>121</v>
      </c>
      <c r="BU11">
        <v>2.008</v>
      </c>
      <c r="BV11" s="41">
        <v>1482.1</v>
      </c>
      <c r="BW11">
        <v>668573</v>
      </c>
      <c r="BX11">
        <v>8566</v>
      </c>
      <c r="BY11">
        <v>616090</v>
      </c>
      <c r="BZ11">
        <v>149449</v>
      </c>
      <c r="CA11" s="42">
        <f t="shared" si="0"/>
        <v>28080.065999999999</v>
      </c>
      <c r="CB11" s="42">
        <f t="shared" si="0"/>
        <v>359.77199999999999</v>
      </c>
      <c r="CC11" s="42">
        <f t="shared" si="0"/>
        <v>25875.78</v>
      </c>
      <c r="CD11" s="36">
        <f t="shared" si="0"/>
        <v>6276.8580000000002</v>
      </c>
    </row>
    <row r="12" spans="1:82">
      <c r="A12" s="34">
        <v>1958</v>
      </c>
      <c r="P12" s="37">
        <v>1323.123</v>
      </c>
      <c r="Q12" t="s">
        <v>121</v>
      </c>
      <c r="R12">
        <v>1323.123</v>
      </c>
      <c r="S12">
        <v>2915.09</v>
      </c>
      <c r="T12">
        <v>1591.9670000000001</v>
      </c>
      <c r="U12" t="s">
        <v>121</v>
      </c>
      <c r="V12" t="s">
        <v>121</v>
      </c>
      <c r="W12" t="s">
        <v>121</v>
      </c>
      <c r="X12">
        <v>1323.123</v>
      </c>
      <c r="Y12" t="s">
        <v>121</v>
      </c>
      <c r="Z12" t="s">
        <v>121</v>
      </c>
      <c r="AA12">
        <v>1323.123</v>
      </c>
      <c r="AB12" s="37">
        <v>2915.09</v>
      </c>
      <c r="AW12" s="40" t="s">
        <v>121</v>
      </c>
      <c r="AX12" t="s">
        <v>121</v>
      </c>
      <c r="AY12">
        <v>688.447</v>
      </c>
      <c r="AZ12">
        <v>688.447</v>
      </c>
      <c r="BA12" t="s">
        <v>121</v>
      </c>
      <c r="BB12" t="s">
        <v>121</v>
      </c>
      <c r="BC12" t="s">
        <v>121</v>
      </c>
      <c r="BD12" t="s">
        <v>121</v>
      </c>
      <c r="BE12">
        <v>13.089</v>
      </c>
      <c r="BF12" t="s">
        <v>121</v>
      </c>
      <c r="BG12" t="s">
        <v>121</v>
      </c>
      <c r="BH12">
        <v>13.089</v>
      </c>
      <c r="BI12" s="40">
        <v>13.089</v>
      </c>
      <c r="BJ12" s="41" t="s">
        <v>121</v>
      </c>
      <c r="BK12" t="s">
        <v>121</v>
      </c>
      <c r="BL12" t="s">
        <v>121</v>
      </c>
      <c r="BM12" t="s">
        <v>121</v>
      </c>
      <c r="BN12" t="s">
        <v>121</v>
      </c>
      <c r="BO12">
        <v>1554.8050000000001</v>
      </c>
      <c r="BP12" t="s">
        <v>121</v>
      </c>
      <c r="BQ12" t="s">
        <v>121</v>
      </c>
      <c r="BR12" t="s">
        <v>121</v>
      </c>
      <c r="BS12">
        <v>1.94</v>
      </c>
      <c r="BT12" t="s">
        <v>121</v>
      </c>
      <c r="BU12">
        <v>1.94</v>
      </c>
      <c r="BV12" s="41">
        <v>1556.7449999999999</v>
      </c>
      <c r="BW12">
        <v>631405</v>
      </c>
      <c r="BX12">
        <v>14892</v>
      </c>
      <c r="BY12">
        <v>653426</v>
      </c>
      <c r="BZ12">
        <v>125101</v>
      </c>
      <c r="CA12" s="42">
        <f t="shared" si="0"/>
        <v>26519.01</v>
      </c>
      <c r="CB12" s="42">
        <f t="shared" si="0"/>
        <v>625.46400000000006</v>
      </c>
      <c r="CC12" s="42">
        <f t="shared" si="0"/>
        <v>27443.892</v>
      </c>
      <c r="CD12" s="36">
        <f t="shared" si="0"/>
        <v>5254.2420000000002</v>
      </c>
    </row>
    <row r="13" spans="1:82">
      <c r="A13" s="34">
        <v>1959</v>
      </c>
      <c r="P13" s="37">
        <v>1352.874</v>
      </c>
      <c r="Q13" t="s">
        <v>121</v>
      </c>
      <c r="R13">
        <v>1352.874</v>
      </c>
      <c r="S13">
        <v>2901.3389999999999</v>
      </c>
      <c r="T13">
        <v>1548.4649999999999</v>
      </c>
      <c r="U13" t="s">
        <v>121</v>
      </c>
      <c r="V13" t="s">
        <v>121</v>
      </c>
      <c r="W13" t="s">
        <v>121</v>
      </c>
      <c r="X13">
        <v>1352.874</v>
      </c>
      <c r="Y13" t="s">
        <v>121</v>
      </c>
      <c r="Z13" t="s">
        <v>121</v>
      </c>
      <c r="AA13">
        <v>1352.874</v>
      </c>
      <c r="AB13" s="37">
        <v>2901.3389999999999</v>
      </c>
      <c r="AW13" s="40" t="s">
        <v>121</v>
      </c>
      <c r="AX13" t="s">
        <v>121</v>
      </c>
      <c r="AY13">
        <v>646.92600000000004</v>
      </c>
      <c r="AZ13">
        <v>646.92600000000004</v>
      </c>
      <c r="BA13" t="s">
        <v>121</v>
      </c>
      <c r="BB13" t="s">
        <v>121</v>
      </c>
      <c r="BC13" t="s">
        <v>121</v>
      </c>
      <c r="BD13" t="s">
        <v>121</v>
      </c>
      <c r="BE13">
        <v>12.298</v>
      </c>
      <c r="BF13" t="s">
        <v>121</v>
      </c>
      <c r="BG13" t="s">
        <v>121</v>
      </c>
      <c r="BH13">
        <v>12.298</v>
      </c>
      <c r="BI13" s="40">
        <v>12.298</v>
      </c>
      <c r="BJ13" s="41" t="s">
        <v>121</v>
      </c>
      <c r="BK13" t="s">
        <v>121</v>
      </c>
      <c r="BL13" t="s">
        <v>121</v>
      </c>
      <c r="BM13" t="s">
        <v>121</v>
      </c>
      <c r="BN13" t="s">
        <v>121</v>
      </c>
      <c r="BO13">
        <v>1511.462</v>
      </c>
      <c r="BP13" t="s">
        <v>121</v>
      </c>
      <c r="BQ13" t="s">
        <v>121</v>
      </c>
      <c r="BR13" t="s">
        <v>121</v>
      </c>
      <c r="BS13">
        <v>1.677</v>
      </c>
      <c r="BT13" t="s">
        <v>121</v>
      </c>
      <c r="BU13">
        <v>1.677</v>
      </c>
      <c r="BV13" s="41">
        <v>1513.1389999999999</v>
      </c>
      <c r="BW13">
        <v>678938</v>
      </c>
      <c r="BX13">
        <v>17658</v>
      </c>
      <c r="BY13">
        <v>659332</v>
      </c>
      <c r="BZ13">
        <v>151030</v>
      </c>
      <c r="CA13" s="42">
        <f t="shared" si="0"/>
        <v>28515.396000000001</v>
      </c>
      <c r="CB13" s="42">
        <f t="shared" si="0"/>
        <v>741.63599999999997</v>
      </c>
      <c r="CC13" s="42">
        <f t="shared" si="0"/>
        <v>27691.944</v>
      </c>
      <c r="CD13" s="36">
        <f t="shared" si="0"/>
        <v>6343.26</v>
      </c>
    </row>
    <row r="14" spans="1:82">
      <c r="A14" s="34">
        <v>1960</v>
      </c>
      <c r="P14" s="37">
        <v>1319.87</v>
      </c>
      <c r="Q14" t="s">
        <v>121</v>
      </c>
      <c r="R14">
        <v>1319.87</v>
      </c>
      <c r="S14">
        <v>2928.2040000000002</v>
      </c>
      <c r="T14">
        <v>1607.9749999999999</v>
      </c>
      <c r="U14">
        <v>0.35899999999999999</v>
      </c>
      <c r="V14" t="s">
        <v>121</v>
      </c>
      <c r="W14" t="s">
        <v>121</v>
      </c>
      <c r="X14">
        <v>1319.87</v>
      </c>
      <c r="Y14" t="s">
        <v>121</v>
      </c>
      <c r="Z14" t="s">
        <v>121</v>
      </c>
      <c r="AA14">
        <v>1319.87</v>
      </c>
      <c r="AB14" s="37">
        <v>2928.2040000000002</v>
      </c>
      <c r="AW14" s="40" t="s">
        <v>121</v>
      </c>
      <c r="AX14" t="s">
        <v>121</v>
      </c>
      <c r="AY14">
        <v>626.63</v>
      </c>
      <c r="AZ14">
        <v>626.63</v>
      </c>
      <c r="BA14" t="s">
        <v>121</v>
      </c>
      <c r="BB14" t="s">
        <v>121</v>
      </c>
      <c r="BC14" t="s">
        <v>121</v>
      </c>
      <c r="BD14" t="s">
        <v>121</v>
      </c>
      <c r="BE14">
        <v>11.868</v>
      </c>
      <c r="BF14" t="s">
        <v>121</v>
      </c>
      <c r="BG14" t="s">
        <v>121</v>
      </c>
      <c r="BH14">
        <v>11.868</v>
      </c>
      <c r="BI14" s="40">
        <v>11.868</v>
      </c>
      <c r="BJ14" s="41" t="s">
        <v>121</v>
      </c>
      <c r="BK14" t="s">
        <v>121</v>
      </c>
      <c r="BL14" t="s">
        <v>121</v>
      </c>
      <c r="BM14" t="s">
        <v>121</v>
      </c>
      <c r="BN14" t="s">
        <v>121</v>
      </c>
      <c r="BO14">
        <v>1569.1669999999999</v>
      </c>
      <c r="BP14">
        <v>0.35899999999999999</v>
      </c>
      <c r="BQ14" t="s">
        <v>121</v>
      </c>
      <c r="BR14" t="s">
        <v>121</v>
      </c>
      <c r="BS14">
        <v>1.508</v>
      </c>
      <c r="BT14" t="s">
        <v>121</v>
      </c>
      <c r="BU14">
        <v>1.508</v>
      </c>
      <c r="BV14" s="41">
        <v>1571.0340000000001</v>
      </c>
      <c r="BW14">
        <v>665416</v>
      </c>
      <c r="BX14">
        <v>12771</v>
      </c>
      <c r="BY14">
        <v>685268</v>
      </c>
      <c r="BZ14">
        <v>138455</v>
      </c>
      <c r="CA14" s="42">
        <f t="shared" si="0"/>
        <v>27947.472000000002</v>
      </c>
      <c r="CB14" s="42">
        <f t="shared" si="0"/>
        <v>536.38199999999995</v>
      </c>
      <c r="CC14" s="42">
        <f t="shared" si="0"/>
        <v>28781.256000000001</v>
      </c>
      <c r="CD14" s="36">
        <f t="shared" si="0"/>
        <v>5815.11</v>
      </c>
    </row>
    <row r="15" spans="1:82">
      <c r="A15" s="34">
        <v>1961</v>
      </c>
      <c r="P15" s="37">
        <v>1294.7619999999999</v>
      </c>
      <c r="Q15" t="s">
        <v>121</v>
      </c>
      <c r="R15">
        <v>1294.7619999999999</v>
      </c>
      <c r="S15">
        <v>2952.2260000000001</v>
      </c>
      <c r="T15">
        <v>1656.463</v>
      </c>
      <c r="U15">
        <v>1.0009999999999999</v>
      </c>
      <c r="V15" t="s">
        <v>121</v>
      </c>
      <c r="W15" t="s">
        <v>121</v>
      </c>
      <c r="X15">
        <v>1294.7619999999999</v>
      </c>
      <c r="Y15" t="s">
        <v>121</v>
      </c>
      <c r="Z15" t="s">
        <v>121</v>
      </c>
      <c r="AA15">
        <v>1294.7619999999999</v>
      </c>
      <c r="AB15" s="37">
        <v>2952.2260000000001</v>
      </c>
      <c r="AW15" s="40" t="s">
        <v>121</v>
      </c>
      <c r="AX15" t="s">
        <v>121</v>
      </c>
      <c r="AY15">
        <v>586.86400000000003</v>
      </c>
      <c r="AZ15">
        <v>586.86400000000003</v>
      </c>
      <c r="BA15" t="s">
        <v>121</v>
      </c>
      <c r="BB15" t="s">
        <v>121</v>
      </c>
      <c r="BC15" t="s">
        <v>121</v>
      </c>
      <c r="BD15" t="s">
        <v>121</v>
      </c>
      <c r="BE15">
        <v>11.146000000000001</v>
      </c>
      <c r="BF15" t="s">
        <v>121</v>
      </c>
      <c r="BG15" t="s">
        <v>121</v>
      </c>
      <c r="BH15">
        <v>11.146000000000001</v>
      </c>
      <c r="BI15" s="40">
        <v>11.146000000000001</v>
      </c>
      <c r="BJ15" s="41" t="s">
        <v>121</v>
      </c>
      <c r="BK15" t="s">
        <v>121</v>
      </c>
      <c r="BL15" t="s">
        <v>121</v>
      </c>
      <c r="BM15" t="s">
        <v>121</v>
      </c>
      <c r="BN15" t="s">
        <v>121</v>
      </c>
      <c r="BO15">
        <v>1620.627</v>
      </c>
      <c r="BP15">
        <v>1.0009999999999999</v>
      </c>
      <c r="BQ15" t="s">
        <v>121</v>
      </c>
      <c r="BR15" t="s">
        <v>121</v>
      </c>
      <c r="BS15">
        <v>1.339</v>
      </c>
      <c r="BT15" t="s">
        <v>121</v>
      </c>
      <c r="BU15">
        <v>1.339</v>
      </c>
      <c r="BV15" s="41">
        <v>1622.9670000000001</v>
      </c>
      <c r="BW15">
        <v>696015</v>
      </c>
      <c r="BX15">
        <v>17377</v>
      </c>
      <c r="BY15">
        <v>694356</v>
      </c>
      <c r="BZ15">
        <v>152018</v>
      </c>
      <c r="CA15" s="42">
        <f t="shared" si="0"/>
        <v>29232.63</v>
      </c>
      <c r="CB15" s="42">
        <f t="shared" si="0"/>
        <v>729.83399999999995</v>
      </c>
      <c r="CC15" s="42">
        <f t="shared" si="0"/>
        <v>29162.952000000001</v>
      </c>
      <c r="CD15" s="36">
        <f t="shared" si="0"/>
        <v>6384.7560000000003</v>
      </c>
    </row>
    <row r="16" spans="1:82">
      <c r="A16" s="34">
        <v>1962</v>
      </c>
      <c r="P16" s="37">
        <v>1300.242</v>
      </c>
      <c r="Q16" t="s">
        <v>121</v>
      </c>
      <c r="R16">
        <v>1300.242</v>
      </c>
      <c r="S16">
        <v>3117.444</v>
      </c>
      <c r="T16">
        <v>1816.1410000000001</v>
      </c>
      <c r="U16">
        <v>1.0609999999999999</v>
      </c>
      <c r="V16" t="s">
        <v>121</v>
      </c>
      <c r="W16" t="s">
        <v>121</v>
      </c>
      <c r="X16">
        <v>1300.242</v>
      </c>
      <c r="Y16" t="s">
        <v>121</v>
      </c>
      <c r="Z16" t="s">
        <v>121</v>
      </c>
      <c r="AA16">
        <v>1300.242</v>
      </c>
      <c r="AB16" s="37">
        <v>3117.444</v>
      </c>
      <c r="AW16" s="40" t="s">
        <v>121</v>
      </c>
      <c r="AX16" t="s">
        <v>121</v>
      </c>
      <c r="AY16">
        <v>560.08399999999995</v>
      </c>
      <c r="AZ16">
        <v>560.08399999999995</v>
      </c>
      <c r="BA16" t="s">
        <v>121</v>
      </c>
      <c r="BB16" t="s">
        <v>121</v>
      </c>
      <c r="BC16" t="s">
        <v>121</v>
      </c>
      <c r="BD16" t="s">
        <v>121</v>
      </c>
      <c r="BE16">
        <v>10.63</v>
      </c>
      <c r="BF16" t="s">
        <v>121</v>
      </c>
      <c r="BG16" t="s">
        <v>121</v>
      </c>
      <c r="BH16">
        <v>10.63</v>
      </c>
      <c r="BI16" s="40">
        <v>10.63</v>
      </c>
      <c r="BJ16" s="41" t="s">
        <v>121</v>
      </c>
      <c r="BK16" t="s">
        <v>121</v>
      </c>
      <c r="BL16" t="s">
        <v>121</v>
      </c>
      <c r="BM16" t="s">
        <v>121</v>
      </c>
      <c r="BN16" t="s">
        <v>121</v>
      </c>
      <c r="BO16">
        <v>1780.1510000000001</v>
      </c>
      <c r="BP16">
        <v>1.0609999999999999</v>
      </c>
      <c r="BQ16" t="s">
        <v>121</v>
      </c>
      <c r="BR16" t="s">
        <v>121</v>
      </c>
      <c r="BS16">
        <v>1.349</v>
      </c>
      <c r="BT16" t="s">
        <v>121</v>
      </c>
      <c r="BU16">
        <v>1.349</v>
      </c>
      <c r="BV16" s="41">
        <v>1782.5609999999999</v>
      </c>
      <c r="BW16">
        <v>719590</v>
      </c>
      <c r="BX16">
        <v>11831</v>
      </c>
      <c r="BY16">
        <v>732405</v>
      </c>
      <c r="BZ16">
        <v>144505</v>
      </c>
      <c r="CA16" s="42">
        <f t="shared" si="0"/>
        <v>30222.78</v>
      </c>
      <c r="CB16" s="42">
        <f t="shared" si="0"/>
        <v>496.90199999999999</v>
      </c>
      <c r="CC16" s="42">
        <f t="shared" si="0"/>
        <v>30761.01</v>
      </c>
      <c r="CD16" s="36">
        <f t="shared" si="0"/>
        <v>6069.21</v>
      </c>
    </row>
    <row r="17" spans="1:82">
      <c r="A17" s="34">
        <v>1963</v>
      </c>
      <c r="P17" s="37">
        <v>1323.316</v>
      </c>
      <c r="Q17" t="s">
        <v>121</v>
      </c>
      <c r="R17">
        <v>1323.316</v>
      </c>
      <c r="S17">
        <v>3096.431</v>
      </c>
      <c r="T17">
        <v>1771.355</v>
      </c>
      <c r="U17">
        <v>1.76</v>
      </c>
      <c r="V17" t="s">
        <v>121</v>
      </c>
      <c r="W17" t="s">
        <v>121</v>
      </c>
      <c r="X17">
        <v>1323.316</v>
      </c>
      <c r="Y17" t="s">
        <v>121</v>
      </c>
      <c r="Z17" t="s">
        <v>121</v>
      </c>
      <c r="AA17">
        <v>1323.316</v>
      </c>
      <c r="AB17" s="37">
        <v>3096.431</v>
      </c>
      <c r="AW17" s="40" t="s">
        <v>121</v>
      </c>
      <c r="AX17" t="s">
        <v>121</v>
      </c>
      <c r="AY17">
        <v>536.96699999999998</v>
      </c>
      <c r="AZ17">
        <v>536.96699999999998</v>
      </c>
      <c r="BA17" t="s">
        <v>121</v>
      </c>
      <c r="BB17" t="s">
        <v>121</v>
      </c>
      <c r="BC17" t="s">
        <v>121</v>
      </c>
      <c r="BD17" t="s">
        <v>121</v>
      </c>
      <c r="BE17">
        <v>10.164999999999999</v>
      </c>
      <c r="BF17" t="s">
        <v>121</v>
      </c>
      <c r="BG17" t="s">
        <v>121</v>
      </c>
      <c r="BH17">
        <v>10.164999999999999</v>
      </c>
      <c r="BI17" s="40">
        <v>10.164999999999999</v>
      </c>
      <c r="BJ17" s="41" t="s">
        <v>121</v>
      </c>
      <c r="BK17" t="s">
        <v>121</v>
      </c>
      <c r="BL17" t="s">
        <v>121</v>
      </c>
      <c r="BM17" t="s">
        <v>121</v>
      </c>
      <c r="BN17" t="s">
        <v>121</v>
      </c>
      <c r="BO17">
        <v>1737.441</v>
      </c>
      <c r="BP17">
        <v>1.76</v>
      </c>
      <c r="BQ17" t="s">
        <v>121</v>
      </c>
      <c r="BR17" t="s">
        <v>121</v>
      </c>
      <c r="BS17">
        <v>1.341</v>
      </c>
      <c r="BT17" t="s">
        <v>121</v>
      </c>
      <c r="BU17">
        <v>1.341</v>
      </c>
      <c r="BV17" s="41">
        <v>1740.5419999999999</v>
      </c>
      <c r="BW17">
        <v>764597</v>
      </c>
      <c r="BX17">
        <v>9210</v>
      </c>
      <c r="BY17">
        <v>747254</v>
      </c>
      <c r="BZ17">
        <v>156677</v>
      </c>
      <c r="CA17" s="42">
        <f t="shared" si="0"/>
        <v>32113.074000000001</v>
      </c>
      <c r="CB17" s="42">
        <f t="shared" si="0"/>
        <v>386.82</v>
      </c>
      <c r="CC17" s="42">
        <f t="shared" si="0"/>
        <v>31384.668000000001</v>
      </c>
      <c r="CD17" s="36">
        <f t="shared" si="0"/>
        <v>6580.4340000000002</v>
      </c>
    </row>
    <row r="18" spans="1:82">
      <c r="A18" s="34">
        <v>1964</v>
      </c>
      <c r="P18" s="37">
        <v>1336.8019999999999</v>
      </c>
      <c r="Q18" t="s">
        <v>121</v>
      </c>
      <c r="R18">
        <v>1336.8019999999999</v>
      </c>
      <c r="S18">
        <v>3225.248</v>
      </c>
      <c r="T18">
        <v>1886.3140000000001</v>
      </c>
      <c r="U18">
        <v>2.1320000000000001</v>
      </c>
      <c r="V18" t="s">
        <v>121</v>
      </c>
      <c r="W18" t="s">
        <v>121</v>
      </c>
      <c r="X18">
        <v>1336.8019999999999</v>
      </c>
      <c r="Y18" t="s">
        <v>121</v>
      </c>
      <c r="Z18" t="s">
        <v>121</v>
      </c>
      <c r="AA18">
        <v>1336.8019999999999</v>
      </c>
      <c r="AB18" s="37">
        <v>3225.248</v>
      </c>
      <c r="AW18" s="40" t="s">
        <v>121</v>
      </c>
      <c r="AX18" t="s">
        <v>121</v>
      </c>
      <c r="AY18">
        <v>499.05799999999999</v>
      </c>
      <c r="AZ18">
        <v>499.05799999999999</v>
      </c>
      <c r="BA18" t="s">
        <v>121</v>
      </c>
      <c r="BB18" t="s">
        <v>121</v>
      </c>
      <c r="BC18" t="s">
        <v>121</v>
      </c>
      <c r="BD18" t="s">
        <v>121</v>
      </c>
      <c r="BE18">
        <v>9.4600000000000009</v>
      </c>
      <c r="BF18" t="s">
        <v>121</v>
      </c>
      <c r="BG18" t="s">
        <v>121</v>
      </c>
      <c r="BH18">
        <v>9.4600000000000009</v>
      </c>
      <c r="BI18" s="40">
        <v>9.4600000000000009</v>
      </c>
      <c r="BJ18" s="41" t="s">
        <v>121</v>
      </c>
      <c r="BK18" t="s">
        <v>121</v>
      </c>
      <c r="BL18" t="s">
        <v>121</v>
      </c>
      <c r="BM18" t="s">
        <v>121</v>
      </c>
      <c r="BN18" t="s">
        <v>121</v>
      </c>
      <c r="BO18">
        <v>1852.5419999999999</v>
      </c>
      <c r="BP18">
        <v>2.1320000000000001</v>
      </c>
      <c r="BQ18" t="s">
        <v>121</v>
      </c>
      <c r="BR18" t="s">
        <v>121</v>
      </c>
      <c r="BS18">
        <v>1.5489999999999999</v>
      </c>
      <c r="BT18" t="s">
        <v>121</v>
      </c>
      <c r="BU18">
        <v>1.5489999999999999</v>
      </c>
      <c r="BV18" s="41">
        <v>1856.223</v>
      </c>
      <c r="BW18">
        <v>742046</v>
      </c>
      <c r="BX18">
        <v>11885</v>
      </c>
      <c r="BY18">
        <v>750424</v>
      </c>
      <c r="BZ18">
        <v>155846</v>
      </c>
      <c r="CA18" s="42">
        <f t="shared" si="0"/>
        <v>31165.932000000001</v>
      </c>
      <c r="CB18" s="42">
        <f t="shared" si="0"/>
        <v>499.17</v>
      </c>
      <c r="CC18" s="42">
        <f t="shared" si="0"/>
        <v>31517.808000000001</v>
      </c>
      <c r="CD18" s="36">
        <f t="shared" si="0"/>
        <v>6545.5320000000002</v>
      </c>
    </row>
    <row r="19" spans="1:82">
      <c r="A19" s="34">
        <v>1965</v>
      </c>
      <c r="P19" s="37">
        <v>1334.761</v>
      </c>
      <c r="Q19" t="s">
        <v>121</v>
      </c>
      <c r="R19">
        <v>1334.761</v>
      </c>
      <c r="S19">
        <v>3395.8159999999998</v>
      </c>
      <c r="T19">
        <v>2059.0770000000002</v>
      </c>
      <c r="U19">
        <v>1.978</v>
      </c>
      <c r="V19" t="s">
        <v>121</v>
      </c>
      <c r="W19" t="s">
        <v>121</v>
      </c>
      <c r="X19">
        <v>1334.761</v>
      </c>
      <c r="Y19" t="s">
        <v>121</v>
      </c>
      <c r="Z19" t="s">
        <v>121</v>
      </c>
      <c r="AA19">
        <v>1334.761</v>
      </c>
      <c r="AB19" s="37">
        <v>3395.8159999999998</v>
      </c>
      <c r="AW19" s="40" t="s">
        <v>121</v>
      </c>
      <c r="AX19" t="s">
        <v>121</v>
      </c>
      <c r="AY19">
        <v>468.15</v>
      </c>
      <c r="AZ19">
        <v>468.15</v>
      </c>
      <c r="BA19" t="s">
        <v>121</v>
      </c>
      <c r="BB19" t="s">
        <v>121</v>
      </c>
      <c r="BC19" t="s">
        <v>121</v>
      </c>
      <c r="BD19" t="s">
        <v>121</v>
      </c>
      <c r="BE19">
        <v>8.8580000000000005</v>
      </c>
      <c r="BF19" t="s">
        <v>121</v>
      </c>
      <c r="BG19" t="s">
        <v>121</v>
      </c>
      <c r="BH19">
        <v>8.8580000000000005</v>
      </c>
      <c r="BI19" s="40">
        <v>8.8580000000000005</v>
      </c>
      <c r="BJ19" s="41" t="s">
        <v>121</v>
      </c>
      <c r="BK19" t="s">
        <v>121</v>
      </c>
      <c r="BL19" t="s">
        <v>121</v>
      </c>
      <c r="BM19" t="s">
        <v>121</v>
      </c>
      <c r="BN19" t="s">
        <v>121</v>
      </c>
      <c r="BO19">
        <v>2026.32</v>
      </c>
      <c r="BP19">
        <v>1.978</v>
      </c>
      <c r="BQ19" t="s">
        <v>121</v>
      </c>
      <c r="BR19" t="s">
        <v>121</v>
      </c>
      <c r="BS19">
        <v>2.81</v>
      </c>
      <c r="BT19" t="s">
        <v>121</v>
      </c>
      <c r="BU19">
        <v>2.81</v>
      </c>
      <c r="BV19" s="41">
        <v>2031.1079999999999</v>
      </c>
      <c r="BW19">
        <v>765071</v>
      </c>
      <c r="BX19">
        <v>13002</v>
      </c>
      <c r="BY19">
        <v>775814</v>
      </c>
      <c r="BZ19">
        <v>155407</v>
      </c>
      <c r="CA19" s="42">
        <f t="shared" si="0"/>
        <v>32132.982</v>
      </c>
      <c r="CB19" s="42">
        <f t="shared" si="0"/>
        <v>546.08399999999995</v>
      </c>
      <c r="CC19" s="42">
        <f t="shared" si="0"/>
        <v>32584.187999999998</v>
      </c>
      <c r="CD19" s="36">
        <f t="shared" si="0"/>
        <v>6527.0940000000001</v>
      </c>
    </row>
    <row r="20" spans="1:82">
      <c r="A20" s="34">
        <v>1966</v>
      </c>
      <c r="P20" s="37">
        <v>1368.9849999999999</v>
      </c>
      <c r="Q20" t="s">
        <v>121</v>
      </c>
      <c r="R20">
        <v>1368.9849999999999</v>
      </c>
      <c r="S20">
        <v>3432.462</v>
      </c>
      <c r="T20">
        <v>2061.5189999999998</v>
      </c>
      <c r="U20">
        <v>1.958</v>
      </c>
      <c r="V20" t="s">
        <v>121</v>
      </c>
      <c r="W20" t="s">
        <v>121</v>
      </c>
      <c r="X20">
        <v>1368.9849999999999</v>
      </c>
      <c r="Y20" t="s">
        <v>121</v>
      </c>
      <c r="Z20" t="s">
        <v>121</v>
      </c>
      <c r="AA20">
        <v>1368.9849999999999</v>
      </c>
      <c r="AB20" s="37">
        <v>3432.462</v>
      </c>
      <c r="AW20" s="40" t="s">
        <v>121</v>
      </c>
      <c r="AX20" t="s">
        <v>121</v>
      </c>
      <c r="AY20">
        <v>454.97399999999999</v>
      </c>
      <c r="AZ20">
        <v>454.97399999999999</v>
      </c>
      <c r="BA20" t="s">
        <v>121</v>
      </c>
      <c r="BB20" t="s">
        <v>121</v>
      </c>
      <c r="BC20" t="s">
        <v>121</v>
      </c>
      <c r="BD20" t="s">
        <v>121</v>
      </c>
      <c r="BE20">
        <v>8.6170000000000009</v>
      </c>
      <c r="BF20" t="s">
        <v>121</v>
      </c>
      <c r="BG20" t="s">
        <v>121</v>
      </c>
      <c r="BH20">
        <v>8.6170000000000009</v>
      </c>
      <c r="BI20" s="40">
        <v>8.6170000000000009</v>
      </c>
      <c r="BJ20" s="41" t="s">
        <v>121</v>
      </c>
      <c r="BK20" t="s">
        <v>121</v>
      </c>
      <c r="BL20" t="s">
        <v>121</v>
      </c>
      <c r="BM20" t="s">
        <v>121</v>
      </c>
      <c r="BN20" t="s">
        <v>121</v>
      </c>
      <c r="BO20">
        <v>2028.3810000000001</v>
      </c>
      <c r="BP20">
        <v>1.958</v>
      </c>
      <c r="BQ20" t="s">
        <v>121</v>
      </c>
      <c r="BR20" t="s">
        <v>121</v>
      </c>
      <c r="BS20">
        <v>3.4780000000000002</v>
      </c>
      <c r="BT20" t="s">
        <v>121</v>
      </c>
      <c r="BU20">
        <v>3.4780000000000002</v>
      </c>
      <c r="BV20" s="41">
        <v>2033.817</v>
      </c>
      <c r="BW20">
        <v>784727</v>
      </c>
      <c r="BX20">
        <v>13845</v>
      </c>
      <c r="BY20">
        <v>797380</v>
      </c>
      <c r="BZ20">
        <v>154096</v>
      </c>
      <c r="CA20" s="42">
        <f t="shared" si="0"/>
        <v>32958.534</v>
      </c>
      <c r="CB20" s="42">
        <f t="shared" si="0"/>
        <v>581.49</v>
      </c>
      <c r="CC20" s="42">
        <f t="shared" si="0"/>
        <v>33489.96</v>
      </c>
      <c r="CD20" s="36">
        <f t="shared" si="0"/>
        <v>6472.0320000000002</v>
      </c>
    </row>
    <row r="21" spans="1:82">
      <c r="A21" s="34">
        <v>1967</v>
      </c>
      <c r="P21" s="37">
        <v>1340.249</v>
      </c>
      <c r="Q21" t="s">
        <v>121</v>
      </c>
      <c r="R21">
        <v>1340.249</v>
      </c>
      <c r="S21">
        <v>3690.2130000000002</v>
      </c>
      <c r="T21">
        <v>2346.6640000000002</v>
      </c>
      <c r="U21">
        <v>3.3</v>
      </c>
      <c r="V21" t="s">
        <v>121</v>
      </c>
      <c r="W21" t="s">
        <v>121</v>
      </c>
      <c r="X21">
        <v>1340.249</v>
      </c>
      <c r="Y21" t="s">
        <v>121</v>
      </c>
      <c r="Z21" t="s">
        <v>121</v>
      </c>
      <c r="AA21">
        <v>1340.249</v>
      </c>
      <c r="AB21" s="37">
        <v>3690.2130000000002</v>
      </c>
      <c r="AW21" s="40" t="s">
        <v>121</v>
      </c>
      <c r="AX21" t="s">
        <v>121</v>
      </c>
      <c r="AY21">
        <v>433.97300000000001</v>
      </c>
      <c r="AZ21">
        <v>433.97300000000001</v>
      </c>
      <c r="BA21" t="s">
        <v>121</v>
      </c>
      <c r="BB21" t="s">
        <v>121</v>
      </c>
      <c r="BC21" t="s">
        <v>121</v>
      </c>
      <c r="BD21" t="s">
        <v>121</v>
      </c>
      <c r="BE21">
        <v>8.3249999999999993</v>
      </c>
      <c r="BF21" t="s">
        <v>121</v>
      </c>
      <c r="BG21" t="s">
        <v>121</v>
      </c>
      <c r="BH21">
        <v>8.3249999999999993</v>
      </c>
      <c r="BI21" s="40">
        <v>8.3249999999999993</v>
      </c>
      <c r="BJ21" s="41" t="s">
        <v>121</v>
      </c>
      <c r="BK21" t="s">
        <v>121</v>
      </c>
      <c r="BL21" t="s">
        <v>121</v>
      </c>
      <c r="BM21" t="s">
        <v>121</v>
      </c>
      <c r="BN21" t="s">
        <v>121</v>
      </c>
      <c r="BO21">
        <v>2310.877</v>
      </c>
      <c r="BP21">
        <v>3.3</v>
      </c>
      <c r="BQ21" t="s">
        <v>121</v>
      </c>
      <c r="BR21" t="s">
        <v>121</v>
      </c>
      <c r="BS21">
        <v>3.2930000000000001</v>
      </c>
      <c r="BT21" t="s">
        <v>121</v>
      </c>
      <c r="BU21">
        <v>3.2930000000000001</v>
      </c>
      <c r="BV21" s="41">
        <v>2317.4699999999998</v>
      </c>
      <c r="BW21">
        <v>804429</v>
      </c>
      <c r="BX21">
        <v>18492</v>
      </c>
      <c r="BY21">
        <v>818150</v>
      </c>
      <c r="BZ21">
        <v>159703</v>
      </c>
      <c r="CA21" s="42">
        <f t="shared" si="0"/>
        <v>33786.017999999996</v>
      </c>
      <c r="CB21" s="42">
        <f t="shared" si="0"/>
        <v>776.66399999999999</v>
      </c>
      <c r="CC21" s="42">
        <f t="shared" si="0"/>
        <v>34362.300000000003</v>
      </c>
      <c r="CD21" s="36">
        <f t="shared" si="0"/>
        <v>6707.5259999999998</v>
      </c>
    </row>
    <row r="22" spans="1:82">
      <c r="A22" s="34">
        <v>1968</v>
      </c>
      <c r="P22" s="37">
        <v>1419.4949999999999</v>
      </c>
      <c r="Q22" t="s">
        <v>121</v>
      </c>
      <c r="R22">
        <v>1419.4949999999999</v>
      </c>
      <c r="S22">
        <v>3772.6559999999999</v>
      </c>
      <c r="T22">
        <v>2348.6289999999999</v>
      </c>
      <c r="U22">
        <v>4.532</v>
      </c>
      <c r="V22" t="s">
        <v>121</v>
      </c>
      <c r="W22" t="s">
        <v>121</v>
      </c>
      <c r="X22">
        <v>1419.4949999999999</v>
      </c>
      <c r="Y22" t="s">
        <v>121</v>
      </c>
      <c r="Z22" t="s">
        <v>121</v>
      </c>
      <c r="AA22">
        <v>1419.4949999999999</v>
      </c>
      <c r="AB22" s="37">
        <v>3772.6559999999999</v>
      </c>
      <c r="AW22" s="40" t="s">
        <v>121</v>
      </c>
      <c r="AX22" t="s">
        <v>121</v>
      </c>
      <c r="AY22">
        <v>425.51100000000002</v>
      </c>
      <c r="AZ22">
        <v>425.51100000000002</v>
      </c>
      <c r="BA22" t="s">
        <v>121</v>
      </c>
      <c r="BB22" t="s">
        <v>121</v>
      </c>
      <c r="BC22" t="s">
        <v>121</v>
      </c>
      <c r="BD22" t="s">
        <v>121</v>
      </c>
      <c r="BE22">
        <v>8.1359999999999992</v>
      </c>
      <c r="BF22" t="s">
        <v>121</v>
      </c>
      <c r="BG22" t="s">
        <v>121</v>
      </c>
      <c r="BH22">
        <v>8.1359999999999992</v>
      </c>
      <c r="BI22" s="40">
        <v>8.1359999999999992</v>
      </c>
      <c r="BJ22" s="41" t="s">
        <v>121</v>
      </c>
      <c r="BK22" t="s">
        <v>121</v>
      </c>
      <c r="BL22" t="s">
        <v>121</v>
      </c>
      <c r="BM22" t="s">
        <v>121</v>
      </c>
      <c r="BN22" t="s">
        <v>121</v>
      </c>
      <c r="BO22">
        <v>2313.4569999999999</v>
      </c>
      <c r="BP22">
        <v>4.532</v>
      </c>
      <c r="BQ22" t="s">
        <v>121</v>
      </c>
      <c r="BR22" t="s">
        <v>121</v>
      </c>
      <c r="BS22">
        <v>3.9</v>
      </c>
      <c r="BT22" t="s">
        <v>121</v>
      </c>
      <c r="BU22">
        <v>3.9</v>
      </c>
      <c r="BV22" s="41">
        <v>2321.8890000000001</v>
      </c>
      <c r="BW22">
        <v>839373</v>
      </c>
      <c r="BX22">
        <v>48148</v>
      </c>
      <c r="BY22">
        <v>875539</v>
      </c>
      <c r="BZ22">
        <v>173158</v>
      </c>
      <c r="CA22" s="42">
        <f t="shared" si="0"/>
        <v>35253.665999999997</v>
      </c>
      <c r="CB22" s="42">
        <f t="shared" si="0"/>
        <v>2022.2159999999999</v>
      </c>
      <c r="CC22" s="42">
        <f t="shared" si="0"/>
        <v>36772.637999999999</v>
      </c>
      <c r="CD22" s="36">
        <f t="shared" si="0"/>
        <v>7272.6360000000004</v>
      </c>
    </row>
    <row r="23" spans="1:82">
      <c r="A23" s="34">
        <v>1969</v>
      </c>
      <c r="P23" s="37">
        <v>1440.4870000000001</v>
      </c>
      <c r="Q23" t="s">
        <v>121</v>
      </c>
      <c r="R23">
        <v>1440.4870000000001</v>
      </c>
      <c r="S23">
        <v>4094.8919999999998</v>
      </c>
      <c r="T23">
        <v>2647.9830000000002</v>
      </c>
      <c r="U23">
        <v>6.4219999999999997</v>
      </c>
      <c r="V23" t="s">
        <v>121</v>
      </c>
      <c r="W23" t="s">
        <v>121</v>
      </c>
      <c r="X23">
        <v>1440.4870000000001</v>
      </c>
      <c r="Y23" t="s">
        <v>121</v>
      </c>
      <c r="Z23" t="s">
        <v>121</v>
      </c>
      <c r="AA23">
        <v>1440.4870000000001</v>
      </c>
      <c r="AB23" s="37">
        <v>4094.8919999999998</v>
      </c>
      <c r="AW23" s="40" t="s">
        <v>121</v>
      </c>
      <c r="AX23" t="s">
        <v>121</v>
      </c>
      <c r="AY23">
        <v>415.053</v>
      </c>
      <c r="AZ23">
        <v>415.053</v>
      </c>
      <c r="BA23" t="s">
        <v>121</v>
      </c>
      <c r="BB23" t="s">
        <v>121</v>
      </c>
      <c r="BC23" t="s">
        <v>121</v>
      </c>
      <c r="BD23" t="s">
        <v>121</v>
      </c>
      <c r="BE23">
        <v>7.86</v>
      </c>
      <c r="BF23" t="s">
        <v>121</v>
      </c>
      <c r="BG23" t="s">
        <v>121</v>
      </c>
      <c r="BH23">
        <v>7.86</v>
      </c>
      <c r="BI23" s="40">
        <v>7.86</v>
      </c>
      <c r="BJ23" s="41" t="s">
        <v>121</v>
      </c>
      <c r="BK23" t="s">
        <v>121</v>
      </c>
      <c r="BL23" t="s">
        <v>121</v>
      </c>
      <c r="BM23" t="s">
        <v>121</v>
      </c>
      <c r="BN23" t="s">
        <v>121</v>
      </c>
      <c r="BO23">
        <v>2613.7629999999999</v>
      </c>
      <c r="BP23">
        <v>6.4219999999999997</v>
      </c>
      <c r="BQ23" t="s">
        <v>121</v>
      </c>
      <c r="BR23" t="s">
        <v>121</v>
      </c>
      <c r="BS23">
        <v>3.3420000000000001</v>
      </c>
      <c r="BT23" t="s">
        <v>121</v>
      </c>
      <c r="BU23">
        <v>3.3420000000000001</v>
      </c>
      <c r="BV23" s="41">
        <v>2623.527</v>
      </c>
      <c r="BW23">
        <v>846863</v>
      </c>
      <c r="BX23">
        <v>50853</v>
      </c>
      <c r="BY23">
        <v>900262</v>
      </c>
      <c r="BZ23">
        <v>171714</v>
      </c>
      <c r="CA23" s="42">
        <f t="shared" si="0"/>
        <v>35568.245999999999</v>
      </c>
      <c r="CB23" s="42">
        <f t="shared" si="0"/>
        <v>2135.826</v>
      </c>
      <c r="CC23" s="42">
        <f t="shared" si="0"/>
        <v>37811.004000000001</v>
      </c>
      <c r="CD23" s="36">
        <f t="shared" si="0"/>
        <v>7211.9880000000003</v>
      </c>
    </row>
    <row r="24" spans="1:82">
      <c r="A24" s="34">
        <v>1970</v>
      </c>
      <c r="P24" s="37">
        <v>1428.6489999999999</v>
      </c>
      <c r="Q24" t="s">
        <v>121</v>
      </c>
      <c r="R24">
        <v>1430.962</v>
      </c>
      <c r="S24">
        <v>4070.0210000000002</v>
      </c>
      <c r="T24">
        <v>2633.547</v>
      </c>
      <c r="U24">
        <v>5.5110000000000001</v>
      </c>
      <c r="V24" t="s">
        <v>121</v>
      </c>
      <c r="W24" t="s">
        <v>121</v>
      </c>
      <c r="X24">
        <v>1428.6489999999999</v>
      </c>
      <c r="Y24">
        <v>2.3130000000000002</v>
      </c>
      <c r="Z24" t="s">
        <v>121</v>
      </c>
      <c r="AA24">
        <v>1430.962</v>
      </c>
      <c r="AB24" s="37">
        <v>4070.0210000000002</v>
      </c>
      <c r="AW24" s="40" t="s">
        <v>121</v>
      </c>
      <c r="AX24" t="s">
        <v>121</v>
      </c>
      <c r="AY24">
        <v>400.77699999999999</v>
      </c>
      <c r="AZ24">
        <v>400.77699999999999</v>
      </c>
      <c r="BA24" t="s">
        <v>121</v>
      </c>
      <c r="BB24" t="s">
        <v>121</v>
      </c>
      <c r="BC24" t="s">
        <v>121</v>
      </c>
      <c r="BD24" t="s">
        <v>121</v>
      </c>
      <c r="BE24">
        <v>7.5339999999999998</v>
      </c>
      <c r="BF24" t="s">
        <v>121</v>
      </c>
      <c r="BG24" t="s">
        <v>121</v>
      </c>
      <c r="BH24">
        <v>7.5339999999999998</v>
      </c>
      <c r="BI24" s="40">
        <v>7.5339999999999998</v>
      </c>
      <c r="BJ24" s="41" t="s">
        <v>121</v>
      </c>
      <c r="BK24" t="s">
        <v>121</v>
      </c>
      <c r="BL24" t="s">
        <v>121</v>
      </c>
      <c r="BM24" t="s">
        <v>121</v>
      </c>
      <c r="BN24" t="s">
        <v>121</v>
      </c>
      <c r="BO24">
        <v>2599.5070000000001</v>
      </c>
      <c r="BP24">
        <v>5.5110000000000001</v>
      </c>
      <c r="BQ24" t="s">
        <v>121</v>
      </c>
      <c r="BR24" t="s">
        <v>121</v>
      </c>
      <c r="BS24">
        <v>1.427</v>
      </c>
      <c r="BT24">
        <v>2.3130000000000002</v>
      </c>
      <c r="BU24">
        <v>3.74</v>
      </c>
      <c r="BV24" s="41">
        <v>2608.759</v>
      </c>
      <c r="BW24">
        <v>895756</v>
      </c>
      <c r="BX24">
        <v>53825</v>
      </c>
      <c r="BY24">
        <v>927211</v>
      </c>
      <c r="BZ24">
        <v>195271</v>
      </c>
      <c r="CA24" s="42">
        <f t="shared" si="0"/>
        <v>37621.752</v>
      </c>
      <c r="CB24" s="42">
        <f t="shared" si="0"/>
        <v>2260.65</v>
      </c>
      <c r="CC24" s="42">
        <f t="shared" si="0"/>
        <v>38942.862000000001</v>
      </c>
      <c r="CD24" s="36">
        <f t="shared" si="0"/>
        <v>8201.3819999999996</v>
      </c>
    </row>
    <row r="25" spans="1:82">
      <c r="A25" s="34">
        <v>1971</v>
      </c>
      <c r="P25" s="37">
        <v>1430.229</v>
      </c>
      <c r="Q25" t="s">
        <v>121</v>
      </c>
      <c r="R25">
        <v>1432.3230000000001</v>
      </c>
      <c r="S25">
        <v>4262.2129999999997</v>
      </c>
      <c r="T25">
        <v>2824.1509999999998</v>
      </c>
      <c r="U25">
        <v>5.7389999999999999</v>
      </c>
      <c r="V25" t="s">
        <v>121</v>
      </c>
      <c r="W25" t="s">
        <v>121</v>
      </c>
      <c r="X25">
        <v>1430.229</v>
      </c>
      <c r="Y25">
        <v>2.0939999999999999</v>
      </c>
      <c r="Z25" t="s">
        <v>121</v>
      </c>
      <c r="AA25">
        <v>1432.3230000000001</v>
      </c>
      <c r="AB25" s="37">
        <v>4262.2129999999997</v>
      </c>
      <c r="AW25" s="40" t="s">
        <v>121</v>
      </c>
      <c r="AX25" t="s">
        <v>121</v>
      </c>
      <c r="AY25">
        <v>381.87400000000002</v>
      </c>
      <c r="AZ25">
        <v>381.87400000000002</v>
      </c>
      <c r="BA25" t="s">
        <v>121</v>
      </c>
      <c r="BB25" t="s">
        <v>121</v>
      </c>
      <c r="BC25" t="s">
        <v>121</v>
      </c>
      <c r="BD25" t="s">
        <v>121</v>
      </c>
      <c r="BE25">
        <v>7.19</v>
      </c>
      <c r="BF25" t="s">
        <v>121</v>
      </c>
      <c r="BG25" t="s">
        <v>121</v>
      </c>
      <c r="BH25">
        <v>7.19</v>
      </c>
      <c r="BI25" s="40">
        <v>7.19</v>
      </c>
      <c r="BJ25" s="41" t="s">
        <v>121</v>
      </c>
      <c r="BK25" t="s">
        <v>121</v>
      </c>
      <c r="BL25" t="s">
        <v>121</v>
      </c>
      <c r="BM25" t="s">
        <v>121</v>
      </c>
      <c r="BN25" t="s">
        <v>121</v>
      </c>
      <c r="BO25">
        <v>2790.4050000000002</v>
      </c>
      <c r="BP25">
        <v>5.7389999999999999</v>
      </c>
      <c r="BQ25" t="s">
        <v>121</v>
      </c>
      <c r="BR25" t="s">
        <v>121</v>
      </c>
      <c r="BS25">
        <v>1.167</v>
      </c>
      <c r="BT25">
        <v>2.0939999999999999</v>
      </c>
      <c r="BU25">
        <v>3.2610000000000001</v>
      </c>
      <c r="BV25" s="41">
        <v>2799.4050000000002</v>
      </c>
      <c r="BW25">
        <v>910824</v>
      </c>
      <c r="BX25">
        <v>55778</v>
      </c>
      <c r="BY25">
        <v>971316</v>
      </c>
      <c r="BZ25">
        <v>190622</v>
      </c>
      <c r="CA25" s="42">
        <f t="shared" si="0"/>
        <v>38254.608</v>
      </c>
      <c r="CB25" s="42">
        <f t="shared" si="0"/>
        <v>2342.6759999999999</v>
      </c>
      <c r="CC25" s="42">
        <f t="shared" si="0"/>
        <v>40795.271999999997</v>
      </c>
      <c r="CD25" s="36">
        <f t="shared" si="0"/>
        <v>8006.1239999999998</v>
      </c>
    </row>
    <row r="26" spans="1:82">
      <c r="A26" s="34">
        <v>1972</v>
      </c>
      <c r="P26" s="37">
        <v>1500.992</v>
      </c>
      <c r="Q26" t="s">
        <v>121</v>
      </c>
      <c r="R26">
        <v>1503.0650000000001</v>
      </c>
      <c r="S26">
        <v>4382.009</v>
      </c>
      <c r="T26">
        <v>2863.8649999999998</v>
      </c>
      <c r="U26">
        <v>15.079000000000001</v>
      </c>
      <c r="V26" t="s">
        <v>121</v>
      </c>
      <c r="W26" t="s">
        <v>121</v>
      </c>
      <c r="X26">
        <v>1500.992</v>
      </c>
      <c r="Y26">
        <v>2.073</v>
      </c>
      <c r="Z26" t="s">
        <v>121</v>
      </c>
      <c r="AA26">
        <v>1503.0650000000001</v>
      </c>
      <c r="AB26" s="37">
        <v>4382.009</v>
      </c>
      <c r="AW26" s="40" t="s">
        <v>121</v>
      </c>
      <c r="AX26" t="s">
        <v>121</v>
      </c>
      <c r="AY26">
        <v>379.77600000000001</v>
      </c>
      <c r="AZ26">
        <v>379.77600000000001</v>
      </c>
      <c r="BA26" t="s">
        <v>121</v>
      </c>
      <c r="BB26" t="s">
        <v>121</v>
      </c>
      <c r="BC26" t="s">
        <v>121</v>
      </c>
      <c r="BD26" t="s">
        <v>121</v>
      </c>
      <c r="BE26">
        <v>7.19</v>
      </c>
      <c r="BF26" t="s">
        <v>121</v>
      </c>
      <c r="BG26" t="s">
        <v>121</v>
      </c>
      <c r="BH26">
        <v>7.19</v>
      </c>
      <c r="BI26" s="40">
        <v>7.19</v>
      </c>
      <c r="BJ26" s="41" t="s">
        <v>121</v>
      </c>
      <c r="BK26" t="s">
        <v>121</v>
      </c>
      <c r="BL26" t="s">
        <v>121</v>
      </c>
      <c r="BM26" t="s">
        <v>121</v>
      </c>
      <c r="BN26" t="s">
        <v>121</v>
      </c>
      <c r="BO26">
        <v>2829.4450000000002</v>
      </c>
      <c r="BP26">
        <v>15.079000000000001</v>
      </c>
      <c r="BQ26" t="s">
        <v>121</v>
      </c>
      <c r="BR26" t="s">
        <v>121</v>
      </c>
      <c r="BS26">
        <v>1.3580000000000001</v>
      </c>
      <c r="BT26">
        <v>2.073</v>
      </c>
      <c r="BU26">
        <v>3.431</v>
      </c>
      <c r="BV26" s="41">
        <v>2847.9549999999999</v>
      </c>
      <c r="BW26">
        <v>976665</v>
      </c>
      <c r="BX26">
        <v>66449</v>
      </c>
      <c r="BY26">
        <v>1067110</v>
      </c>
      <c r="BZ26">
        <v>154319</v>
      </c>
      <c r="CA26" s="42">
        <f t="shared" si="0"/>
        <v>41019.93</v>
      </c>
      <c r="CB26" s="42">
        <f t="shared" si="0"/>
        <v>2790.8580000000002</v>
      </c>
      <c r="CC26" s="42">
        <f t="shared" si="0"/>
        <v>44818.62</v>
      </c>
      <c r="CD26" s="36">
        <f t="shared" si="0"/>
        <v>6481.3980000000001</v>
      </c>
    </row>
    <row r="27" spans="1:82">
      <c r="A27" s="34">
        <v>1973</v>
      </c>
      <c r="P27" s="37">
        <v>1527.0119999999999</v>
      </c>
      <c r="Q27" t="s">
        <v>121</v>
      </c>
      <c r="R27">
        <v>1529.068</v>
      </c>
      <c r="S27">
        <v>4410.9380000000001</v>
      </c>
      <c r="T27">
        <v>2861.4479999999999</v>
      </c>
      <c r="U27">
        <v>20.422000000000001</v>
      </c>
      <c r="V27" t="s">
        <v>121</v>
      </c>
      <c r="W27" t="s">
        <v>121</v>
      </c>
      <c r="X27">
        <v>1527.0119999999999</v>
      </c>
      <c r="Y27">
        <v>2.056</v>
      </c>
      <c r="Z27" t="s">
        <v>121</v>
      </c>
      <c r="AA27">
        <v>1529.068</v>
      </c>
      <c r="AB27" s="37">
        <v>4410.9380000000001</v>
      </c>
      <c r="AW27" s="40" t="s">
        <v>121</v>
      </c>
      <c r="AX27" t="s">
        <v>121</v>
      </c>
      <c r="AY27">
        <v>354.096</v>
      </c>
      <c r="AZ27">
        <v>354.096</v>
      </c>
      <c r="BA27" t="s">
        <v>121</v>
      </c>
      <c r="BB27" t="s">
        <v>121</v>
      </c>
      <c r="BC27" t="s">
        <v>121</v>
      </c>
      <c r="BD27" t="s">
        <v>121</v>
      </c>
      <c r="BE27">
        <v>6.7080000000000002</v>
      </c>
      <c r="BF27" t="s">
        <v>121</v>
      </c>
      <c r="BG27" t="s">
        <v>121</v>
      </c>
      <c r="BH27">
        <v>6.7080000000000002</v>
      </c>
      <c r="BI27" s="40">
        <v>6.7080000000000002</v>
      </c>
      <c r="BJ27" s="41" t="s">
        <v>121</v>
      </c>
      <c r="BK27" t="s">
        <v>121</v>
      </c>
      <c r="BL27" t="s">
        <v>121</v>
      </c>
      <c r="BM27" t="s">
        <v>121</v>
      </c>
      <c r="BN27" t="s">
        <v>121</v>
      </c>
      <c r="BO27">
        <v>2826.6750000000002</v>
      </c>
      <c r="BP27">
        <v>20.422000000000001</v>
      </c>
      <c r="BQ27" t="s">
        <v>121</v>
      </c>
      <c r="BR27" t="s">
        <v>121</v>
      </c>
      <c r="BS27">
        <v>1.355</v>
      </c>
      <c r="BT27">
        <v>2.056</v>
      </c>
      <c r="BU27">
        <v>3.411</v>
      </c>
      <c r="BV27" s="41">
        <v>2850.5070000000001</v>
      </c>
      <c r="BW27">
        <v>1029343</v>
      </c>
      <c r="BX27">
        <v>143149</v>
      </c>
      <c r="BY27">
        <v>1128714</v>
      </c>
      <c r="BZ27">
        <v>196461</v>
      </c>
      <c r="CA27" s="42">
        <f t="shared" si="0"/>
        <v>43232.406000000003</v>
      </c>
      <c r="CB27" s="42">
        <f t="shared" si="0"/>
        <v>6012.2579999999998</v>
      </c>
      <c r="CC27" s="42">
        <f t="shared" si="0"/>
        <v>47405.987999999998</v>
      </c>
      <c r="CD27" s="36">
        <f t="shared" si="0"/>
        <v>8251.3619999999992</v>
      </c>
    </row>
    <row r="28" spans="1:82">
      <c r="A28" s="34">
        <v>1974</v>
      </c>
      <c r="P28" s="37">
        <v>1537.76</v>
      </c>
      <c r="Q28" t="s">
        <v>121</v>
      </c>
      <c r="R28">
        <v>1539.662</v>
      </c>
      <c r="S28">
        <v>4741.8519999999999</v>
      </c>
      <c r="T28">
        <v>3176.58</v>
      </c>
      <c r="U28">
        <v>25.61</v>
      </c>
      <c r="V28" t="s">
        <v>121</v>
      </c>
      <c r="W28" t="s">
        <v>121</v>
      </c>
      <c r="X28">
        <v>1537.76</v>
      </c>
      <c r="Y28">
        <v>1.9019999999999999</v>
      </c>
      <c r="Z28" t="s">
        <v>121</v>
      </c>
      <c r="AA28">
        <v>1539.662</v>
      </c>
      <c r="AB28" s="37">
        <v>4741.8519999999999</v>
      </c>
      <c r="AW28" s="40" t="s">
        <v>121</v>
      </c>
      <c r="AX28" t="s">
        <v>121</v>
      </c>
      <c r="AY28">
        <v>370.952</v>
      </c>
      <c r="AZ28">
        <v>370.952</v>
      </c>
      <c r="BA28" t="s">
        <v>121</v>
      </c>
      <c r="BB28" t="s">
        <v>121</v>
      </c>
      <c r="BC28" t="s">
        <v>121</v>
      </c>
      <c r="BD28" t="s">
        <v>121</v>
      </c>
      <c r="BE28">
        <v>7.0179999999999998</v>
      </c>
      <c r="BF28" t="s">
        <v>121</v>
      </c>
      <c r="BG28" t="s">
        <v>121</v>
      </c>
      <c r="BH28">
        <v>7.0179999999999998</v>
      </c>
      <c r="BI28" s="40">
        <v>7.0179999999999998</v>
      </c>
      <c r="BJ28" s="41" t="s">
        <v>121</v>
      </c>
      <c r="BK28" t="s">
        <v>121</v>
      </c>
      <c r="BL28" t="s">
        <v>121</v>
      </c>
      <c r="BM28" t="s">
        <v>121</v>
      </c>
      <c r="BN28" t="s">
        <v>121</v>
      </c>
      <c r="BO28">
        <v>3143.3780000000002</v>
      </c>
      <c r="BP28">
        <v>25.61</v>
      </c>
      <c r="BQ28" t="s">
        <v>121</v>
      </c>
      <c r="BR28" t="s">
        <v>121</v>
      </c>
      <c r="BS28">
        <v>0.71599999999999997</v>
      </c>
      <c r="BT28">
        <v>1.9019999999999999</v>
      </c>
      <c r="BU28">
        <v>2.6179999999999999</v>
      </c>
      <c r="BV28" s="41">
        <v>3171.6060000000002</v>
      </c>
      <c r="BW28">
        <v>974025</v>
      </c>
      <c r="BX28">
        <v>105579</v>
      </c>
      <c r="BY28">
        <v>1075916</v>
      </c>
      <c r="BZ28">
        <v>200068</v>
      </c>
      <c r="CA28" s="42">
        <f t="shared" si="0"/>
        <v>40909.050000000003</v>
      </c>
      <c r="CB28" s="42">
        <f t="shared" si="0"/>
        <v>4434.3180000000002</v>
      </c>
      <c r="CC28" s="42">
        <f t="shared" si="0"/>
        <v>45188.472000000002</v>
      </c>
      <c r="CD28" s="36">
        <f t="shared" si="0"/>
        <v>8402.8559999999998</v>
      </c>
    </row>
    <row r="29" spans="1:82">
      <c r="A29" s="34">
        <v>1975</v>
      </c>
      <c r="P29" s="37">
        <v>1496.9280000000001</v>
      </c>
      <c r="Q29" t="s">
        <v>121</v>
      </c>
      <c r="R29">
        <v>1498.7339999999999</v>
      </c>
      <c r="S29">
        <v>4687.12</v>
      </c>
      <c r="T29">
        <v>3154.607</v>
      </c>
      <c r="U29">
        <v>33.78</v>
      </c>
      <c r="V29" t="s">
        <v>121</v>
      </c>
      <c r="W29" t="s">
        <v>121</v>
      </c>
      <c r="X29">
        <v>1496.9280000000001</v>
      </c>
      <c r="Y29">
        <v>1.806</v>
      </c>
      <c r="Z29" t="s">
        <v>121</v>
      </c>
      <c r="AA29">
        <v>1498.7339999999999</v>
      </c>
      <c r="AB29" s="37">
        <v>4687.12</v>
      </c>
      <c r="AW29" s="40" t="s">
        <v>121</v>
      </c>
      <c r="AX29" t="s">
        <v>121</v>
      </c>
      <c r="AY29">
        <v>425.40800000000002</v>
      </c>
      <c r="AZ29">
        <v>425.40800000000002</v>
      </c>
      <c r="BA29" t="s">
        <v>121</v>
      </c>
      <c r="BB29" t="s">
        <v>121</v>
      </c>
      <c r="BC29" t="s">
        <v>121</v>
      </c>
      <c r="BD29" t="s">
        <v>121</v>
      </c>
      <c r="BE29">
        <v>8.0670000000000002</v>
      </c>
      <c r="BF29" t="s">
        <v>121</v>
      </c>
      <c r="BG29" t="s">
        <v>121</v>
      </c>
      <c r="BH29">
        <v>8.0670000000000002</v>
      </c>
      <c r="BI29" s="40">
        <v>8.0670000000000002</v>
      </c>
      <c r="BJ29" s="41" t="s">
        <v>121</v>
      </c>
      <c r="BK29" t="s">
        <v>121</v>
      </c>
      <c r="BL29" t="s">
        <v>121</v>
      </c>
      <c r="BM29" t="s">
        <v>121</v>
      </c>
      <c r="BN29" t="s">
        <v>121</v>
      </c>
      <c r="BO29">
        <v>3122.2849999999999</v>
      </c>
      <c r="BP29">
        <v>33.78</v>
      </c>
      <c r="BQ29" t="s">
        <v>121</v>
      </c>
      <c r="BR29" t="s">
        <v>121</v>
      </c>
      <c r="BS29">
        <v>0.183</v>
      </c>
      <c r="BT29">
        <v>1.806</v>
      </c>
      <c r="BU29">
        <v>1.9890000000000001</v>
      </c>
      <c r="BV29" s="41">
        <v>3158.0540000000001</v>
      </c>
      <c r="BW29">
        <v>968650</v>
      </c>
      <c r="BX29">
        <v>56679</v>
      </c>
      <c r="BY29">
        <v>1040571</v>
      </c>
      <c r="BZ29">
        <v>208833</v>
      </c>
      <c r="CA29" s="42">
        <f t="shared" si="0"/>
        <v>40683.300000000003</v>
      </c>
      <c r="CB29" s="42">
        <f t="shared" si="0"/>
        <v>2380.518</v>
      </c>
      <c r="CC29" s="42">
        <f t="shared" si="0"/>
        <v>43703.982000000004</v>
      </c>
      <c r="CD29" s="36">
        <f t="shared" si="0"/>
        <v>8770.9860000000008</v>
      </c>
    </row>
    <row r="30" spans="1:82">
      <c r="A30" s="34">
        <v>1976</v>
      </c>
      <c r="P30" s="37">
        <v>1711.4839999999999</v>
      </c>
      <c r="Q30" t="s">
        <v>121</v>
      </c>
      <c r="R30">
        <v>1713.373</v>
      </c>
      <c r="S30">
        <v>4727.1509999999998</v>
      </c>
      <c r="T30">
        <v>2976.2649999999999</v>
      </c>
      <c r="U30">
        <v>37.512999999999998</v>
      </c>
      <c r="V30" t="s">
        <v>121</v>
      </c>
      <c r="W30" t="s">
        <v>121</v>
      </c>
      <c r="X30">
        <v>1711.4839999999999</v>
      </c>
      <c r="Y30">
        <v>1.889</v>
      </c>
      <c r="Z30" t="s">
        <v>121</v>
      </c>
      <c r="AA30">
        <v>1713.373</v>
      </c>
      <c r="AB30" s="37">
        <v>4727.1509999999998</v>
      </c>
      <c r="AW30" s="40" t="s">
        <v>121</v>
      </c>
      <c r="AX30" t="s">
        <v>121</v>
      </c>
      <c r="AY30">
        <v>481.63400000000001</v>
      </c>
      <c r="AZ30">
        <v>481.63400000000001</v>
      </c>
      <c r="BA30" t="s">
        <v>121</v>
      </c>
      <c r="BB30" t="s">
        <v>121</v>
      </c>
      <c r="BC30" t="s">
        <v>121</v>
      </c>
      <c r="BD30" t="s">
        <v>121</v>
      </c>
      <c r="BE30">
        <v>9.0990000000000002</v>
      </c>
      <c r="BF30" t="s">
        <v>121</v>
      </c>
      <c r="BG30" t="s">
        <v>121</v>
      </c>
      <c r="BH30">
        <v>9.0990000000000002</v>
      </c>
      <c r="BI30" s="40">
        <v>9.0990000000000002</v>
      </c>
      <c r="BJ30" s="41" t="s">
        <v>121</v>
      </c>
      <c r="BK30" t="s">
        <v>121</v>
      </c>
      <c r="BL30" t="s">
        <v>121</v>
      </c>
      <c r="BM30" t="s">
        <v>121</v>
      </c>
      <c r="BN30" t="s">
        <v>121</v>
      </c>
      <c r="BO30">
        <v>2942.893</v>
      </c>
      <c r="BP30">
        <v>37.512999999999998</v>
      </c>
      <c r="BQ30" t="s">
        <v>121</v>
      </c>
      <c r="BR30" t="s">
        <v>121</v>
      </c>
      <c r="BS30">
        <v>0.875</v>
      </c>
      <c r="BT30">
        <v>1.889</v>
      </c>
      <c r="BU30">
        <v>2.7639999999999998</v>
      </c>
      <c r="BV30" s="41">
        <v>2983.17</v>
      </c>
      <c r="BW30">
        <v>1070032</v>
      </c>
      <c r="BX30">
        <v>53520</v>
      </c>
      <c r="BY30">
        <v>1146695</v>
      </c>
      <c r="BZ30">
        <v>185986</v>
      </c>
      <c r="CA30" s="42">
        <f t="shared" si="0"/>
        <v>44941.343999999997</v>
      </c>
      <c r="CB30" s="42">
        <f t="shared" si="0"/>
        <v>2247.84</v>
      </c>
      <c r="CC30" s="42">
        <f t="shared" si="0"/>
        <v>48161.19</v>
      </c>
      <c r="CD30" s="36">
        <f t="shared" si="0"/>
        <v>7811.4120000000003</v>
      </c>
    </row>
    <row r="31" spans="1:82">
      <c r="A31" s="34">
        <v>1977</v>
      </c>
      <c r="P31" s="37">
        <v>1836.5239999999999</v>
      </c>
      <c r="Q31" t="s">
        <v>121</v>
      </c>
      <c r="R31">
        <v>1838.3320000000001</v>
      </c>
      <c r="S31">
        <v>4208.9660000000003</v>
      </c>
      <c r="T31">
        <v>2333.252</v>
      </c>
      <c r="U31">
        <v>37.381999999999998</v>
      </c>
      <c r="V31" t="s">
        <v>121</v>
      </c>
      <c r="W31" t="s">
        <v>121</v>
      </c>
      <c r="X31">
        <v>1836.5239999999999</v>
      </c>
      <c r="Y31">
        <v>1.8080000000000001</v>
      </c>
      <c r="Z31" t="s">
        <v>121</v>
      </c>
      <c r="AA31">
        <v>1838.3320000000001</v>
      </c>
      <c r="AB31" s="37">
        <v>4208.9660000000003</v>
      </c>
      <c r="AW31" s="40" t="s">
        <v>121</v>
      </c>
      <c r="AX31" t="s">
        <v>121</v>
      </c>
      <c r="AY31">
        <v>541.78300000000002</v>
      </c>
      <c r="AZ31">
        <v>541.78300000000002</v>
      </c>
      <c r="BA31" t="s">
        <v>121</v>
      </c>
      <c r="BB31" t="s">
        <v>121</v>
      </c>
      <c r="BC31" t="s">
        <v>121</v>
      </c>
      <c r="BD31" t="s">
        <v>121</v>
      </c>
      <c r="BE31">
        <v>10.286</v>
      </c>
      <c r="BF31" t="s">
        <v>121</v>
      </c>
      <c r="BG31" t="s">
        <v>121</v>
      </c>
      <c r="BH31">
        <v>10.286</v>
      </c>
      <c r="BI31" s="40">
        <v>10.286</v>
      </c>
      <c r="BJ31" s="41" t="s">
        <v>121</v>
      </c>
      <c r="BK31" t="s">
        <v>121</v>
      </c>
      <c r="BL31" t="s">
        <v>121</v>
      </c>
      <c r="BM31" t="s">
        <v>121</v>
      </c>
      <c r="BN31" t="s">
        <v>121</v>
      </c>
      <c r="BO31">
        <v>2300.652</v>
      </c>
      <c r="BP31">
        <v>37.381999999999998</v>
      </c>
      <c r="BQ31" t="s">
        <v>121</v>
      </c>
      <c r="BR31" t="s">
        <v>121</v>
      </c>
      <c r="BS31">
        <v>3.21</v>
      </c>
      <c r="BT31">
        <v>1.8080000000000001</v>
      </c>
      <c r="BU31">
        <v>5.0179999999999998</v>
      </c>
      <c r="BV31" s="41">
        <v>2343.0509999999999</v>
      </c>
      <c r="BW31">
        <v>1196143</v>
      </c>
      <c r="BX31">
        <v>91318</v>
      </c>
      <c r="BY31">
        <v>1223328</v>
      </c>
      <c r="BZ31">
        <v>250295</v>
      </c>
      <c r="CA31" s="42">
        <f t="shared" si="0"/>
        <v>50238.006000000001</v>
      </c>
      <c r="CB31" s="42">
        <f t="shared" si="0"/>
        <v>3835.3560000000002</v>
      </c>
      <c r="CC31" s="42">
        <f t="shared" si="0"/>
        <v>51379.775999999998</v>
      </c>
      <c r="CD31" s="36">
        <f t="shared" si="0"/>
        <v>10512.39</v>
      </c>
    </row>
    <row r="32" spans="1:82">
      <c r="A32" s="34">
        <v>1978</v>
      </c>
      <c r="P32" s="37">
        <v>2036.15</v>
      </c>
      <c r="Q32" t="s">
        <v>121</v>
      </c>
      <c r="R32">
        <v>2037.605</v>
      </c>
      <c r="S32">
        <v>5005.4399999999996</v>
      </c>
      <c r="T32">
        <v>2936.9830000000002</v>
      </c>
      <c r="U32">
        <v>30.850999999999999</v>
      </c>
      <c r="V32" t="s">
        <v>121</v>
      </c>
      <c r="W32" t="s">
        <v>121</v>
      </c>
      <c r="X32">
        <v>2036.15</v>
      </c>
      <c r="Y32">
        <v>1.4550000000000001</v>
      </c>
      <c r="Z32" t="s">
        <v>121</v>
      </c>
      <c r="AA32">
        <v>2037.605</v>
      </c>
      <c r="AB32" s="37">
        <v>5005.4399999999996</v>
      </c>
      <c r="AW32" s="40" t="s">
        <v>121</v>
      </c>
      <c r="AX32" t="s">
        <v>121</v>
      </c>
      <c r="AY32">
        <v>621.84900000000005</v>
      </c>
      <c r="AZ32">
        <v>621.84900000000005</v>
      </c>
      <c r="BA32" t="s">
        <v>121</v>
      </c>
      <c r="BB32" t="s">
        <v>121</v>
      </c>
      <c r="BC32" t="s">
        <v>121</v>
      </c>
      <c r="BD32" t="s">
        <v>121</v>
      </c>
      <c r="BE32">
        <v>11.834</v>
      </c>
      <c r="BF32" t="s">
        <v>121</v>
      </c>
      <c r="BG32" t="s">
        <v>121</v>
      </c>
      <c r="BH32">
        <v>11.834</v>
      </c>
      <c r="BI32" s="40">
        <v>11.834</v>
      </c>
      <c r="BJ32" s="41" t="s">
        <v>121</v>
      </c>
      <c r="BK32" t="s">
        <v>121</v>
      </c>
      <c r="BL32" t="s">
        <v>121</v>
      </c>
      <c r="BM32" t="s">
        <v>121</v>
      </c>
      <c r="BN32" t="s">
        <v>121</v>
      </c>
      <c r="BO32">
        <v>2905.42</v>
      </c>
      <c r="BP32">
        <v>30.850999999999999</v>
      </c>
      <c r="BQ32" t="s">
        <v>121</v>
      </c>
      <c r="BR32" t="s">
        <v>121</v>
      </c>
      <c r="BS32">
        <v>2.0430000000000001</v>
      </c>
      <c r="BT32">
        <v>1.4550000000000001</v>
      </c>
      <c r="BU32">
        <v>3.4980000000000002</v>
      </c>
      <c r="BV32" s="41">
        <v>2939.7689999999998</v>
      </c>
      <c r="BW32">
        <v>1155969</v>
      </c>
      <c r="BX32">
        <v>63288</v>
      </c>
      <c r="BY32">
        <v>1252556</v>
      </c>
      <c r="BZ32">
        <v>216463</v>
      </c>
      <c r="CA32" s="42">
        <f t="shared" si="0"/>
        <v>48550.697999999997</v>
      </c>
      <c r="CB32" s="42">
        <f t="shared" si="0"/>
        <v>2658.096</v>
      </c>
      <c r="CC32" s="42">
        <f t="shared" si="0"/>
        <v>52607.351999999999</v>
      </c>
      <c r="CD32" s="36">
        <f t="shared" si="0"/>
        <v>9091.4459999999999</v>
      </c>
    </row>
    <row r="33" spans="1:82">
      <c r="A33" s="34">
        <v>1979</v>
      </c>
      <c r="P33" s="37">
        <v>2149.8539999999998</v>
      </c>
      <c r="Q33" t="s">
        <v>121</v>
      </c>
      <c r="R33">
        <v>2151.9059999999999</v>
      </c>
      <c r="S33">
        <v>5122.8540000000003</v>
      </c>
      <c r="T33">
        <v>2930.6860000000001</v>
      </c>
      <c r="U33">
        <v>40.262</v>
      </c>
      <c r="V33" t="s">
        <v>121</v>
      </c>
      <c r="W33" t="s">
        <v>121</v>
      </c>
      <c r="X33">
        <v>2149.8539999999998</v>
      </c>
      <c r="Y33">
        <v>2.052</v>
      </c>
      <c r="Z33" t="s">
        <v>121</v>
      </c>
      <c r="AA33">
        <v>2151.9059999999999</v>
      </c>
      <c r="AB33" s="37">
        <v>5122.8540000000003</v>
      </c>
      <c r="AW33" s="40" t="s">
        <v>121</v>
      </c>
      <c r="AX33" t="s">
        <v>121</v>
      </c>
      <c r="AY33">
        <v>728.07600000000002</v>
      </c>
      <c r="AZ33">
        <v>728.07600000000002</v>
      </c>
      <c r="BA33" t="s">
        <v>121</v>
      </c>
      <c r="BB33" t="s">
        <v>121</v>
      </c>
      <c r="BC33" t="s">
        <v>121</v>
      </c>
      <c r="BD33" t="s">
        <v>121</v>
      </c>
      <c r="BE33">
        <v>13.811999999999999</v>
      </c>
      <c r="BF33" t="s">
        <v>121</v>
      </c>
      <c r="BG33" t="s">
        <v>121</v>
      </c>
      <c r="BH33">
        <v>13.811999999999999</v>
      </c>
      <c r="BI33" s="40">
        <v>13.811999999999999</v>
      </c>
      <c r="BJ33" s="41" t="s">
        <v>121</v>
      </c>
      <c r="BK33" t="s">
        <v>121</v>
      </c>
      <c r="BL33" t="s">
        <v>121</v>
      </c>
      <c r="BM33" t="s">
        <v>121</v>
      </c>
      <c r="BN33" t="s">
        <v>121</v>
      </c>
      <c r="BO33">
        <v>2896.5909999999999</v>
      </c>
      <c r="BP33">
        <v>40.262</v>
      </c>
      <c r="BQ33" t="s">
        <v>121</v>
      </c>
      <c r="BR33" t="s">
        <v>121</v>
      </c>
      <c r="BS33">
        <v>3.1040000000000001</v>
      </c>
      <c r="BT33">
        <v>2.052</v>
      </c>
      <c r="BU33">
        <v>5.1559999999999997</v>
      </c>
      <c r="BV33" s="41">
        <v>2942.01</v>
      </c>
      <c r="BW33">
        <v>1150594</v>
      </c>
      <c r="BX33">
        <v>70489</v>
      </c>
      <c r="BY33">
        <v>1208456</v>
      </c>
      <c r="BZ33">
        <v>228729</v>
      </c>
      <c r="CA33" s="42">
        <f t="shared" si="0"/>
        <v>48324.947999999997</v>
      </c>
      <c r="CB33" s="42">
        <f t="shared" si="0"/>
        <v>2960.538</v>
      </c>
      <c r="CC33" s="42">
        <f t="shared" si="0"/>
        <v>50755.152000000002</v>
      </c>
      <c r="CD33" s="36">
        <f t="shared" si="0"/>
        <v>9606.6180000000004</v>
      </c>
    </row>
    <row r="34" spans="1:82">
      <c r="A34" s="34">
        <v>1980</v>
      </c>
      <c r="P34" s="37">
        <v>2473.8609999999999</v>
      </c>
      <c r="Q34" t="s">
        <v>121</v>
      </c>
      <c r="R34">
        <v>2475.5</v>
      </c>
      <c r="S34">
        <v>5428.3419999999996</v>
      </c>
      <c r="T34">
        <v>2900.1439999999998</v>
      </c>
      <c r="U34">
        <v>52.698999999999998</v>
      </c>
      <c r="V34" t="s">
        <v>121</v>
      </c>
      <c r="W34" t="s">
        <v>121</v>
      </c>
      <c r="X34">
        <v>2473.8609999999999</v>
      </c>
      <c r="Y34">
        <v>1.639</v>
      </c>
      <c r="Z34" t="s">
        <v>121</v>
      </c>
      <c r="AA34">
        <v>2475.5</v>
      </c>
      <c r="AB34" s="37">
        <v>5428.3419999999996</v>
      </c>
      <c r="AW34" s="40" t="s">
        <v>121</v>
      </c>
      <c r="AX34" t="s">
        <v>121</v>
      </c>
      <c r="AY34">
        <v>850</v>
      </c>
      <c r="AZ34">
        <v>850</v>
      </c>
      <c r="BA34" t="s">
        <v>121</v>
      </c>
      <c r="BB34" t="s">
        <v>121</v>
      </c>
      <c r="BC34" t="s">
        <v>121</v>
      </c>
      <c r="BD34" t="s">
        <v>121</v>
      </c>
      <c r="BE34">
        <v>21</v>
      </c>
      <c r="BF34" t="s">
        <v>121</v>
      </c>
      <c r="BG34" t="s">
        <v>121</v>
      </c>
      <c r="BH34">
        <v>21</v>
      </c>
      <c r="BI34" s="40">
        <v>21</v>
      </c>
      <c r="BJ34" s="41" t="s">
        <v>121</v>
      </c>
      <c r="BK34" t="s">
        <v>121</v>
      </c>
      <c r="BL34" t="s">
        <v>121</v>
      </c>
      <c r="BM34" t="s">
        <v>121</v>
      </c>
      <c r="BN34" t="s">
        <v>121</v>
      </c>
      <c r="BO34">
        <v>2867.306</v>
      </c>
      <c r="BP34">
        <v>52.698999999999998</v>
      </c>
      <c r="BQ34" t="s">
        <v>121</v>
      </c>
      <c r="BR34" t="s">
        <v>121</v>
      </c>
      <c r="BS34">
        <v>2.8610000000000002</v>
      </c>
      <c r="BT34">
        <v>1.639</v>
      </c>
      <c r="BU34">
        <v>4.5</v>
      </c>
      <c r="BV34" s="41">
        <v>2924.5050000000001</v>
      </c>
      <c r="BW34">
        <v>973981</v>
      </c>
      <c r="BX34">
        <v>51908</v>
      </c>
      <c r="BY34">
        <v>1048975</v>
      </c>
      <c r="BZ34">
        <v>205113</v>
      </c>
      <c r="CA34" s="42">
        <f t="shared" si="0"/>
        <v>40907.201999999997</v>
      </c>
      <c r="CB34" s="42">
        <f t="shared" si="0"/>
        <v>2180.136</v>
      </c>
      <c r="CC34" s="42">
        <f t="shared" si="0"/>
        <v>44056.95</v>
      </c>
      <c r="CD34" s="36">
        <f t="shared" si="0"/>
        <v>8614.7459999999992</v>
      </c>
    </row>
    <row r="35" spans="1:82">
      <c r="A35" s="34">
        <v>1981</v>
      </c>
      <c r="P35" s="37">
        <v>2495.5630000000001</v>
      </c>
      <c r="Q35">
        <v>12.72</v>
      </c>
      <c r="R35">
        <v>2596.2829999999999</v>
      </c>
      <c r="S35">
        <v>5413.6880000000001</v>
      </c>
      <c r="T35">
        <v>2757.9679999999998</v>
      </c>
      <c r="U35">
        <v>59.436999999999998</v>
      </c>
      <c r="V35" t="s">
        <v>121</v>
      </c>
      <c r="W35" t="s">
        <v>121</v>
      </c>
      <c r="X35">
        <v>2495.5630000000001</v>
      </c>
      <c r="Y35">
        <v>88</v>
      </c>
      <c r="Z35">
        <v>12.72</v>
      </c>
      <c r="AA35">
        <v>2596.2829999999999</v>
      </c>
      <c r="AB35" s="37">
        <v>5413.6880000000001</v>
      </c>
      <c r="AW35" s="40" t="s">
        <v>121</v>
      </c>
      <c r="AX35" t="s">
        <v>121</v>
      </c>
      <c r="AY35">
        <v>870</v>
      </c>
      <c r="AZ35">
        <v>870</v>
      </c>
      <c r="BA35" t="s">
        <v>121</v>
      </c>
      <c r="BB35" t="s">
        <v>121</v>
      </c>
      <c r="BC35" t="s">
        <v>121</v>
      </c>
      <c r="BD35" t="s">
        <v>121</v>
      </c>
      <c r="BE35">
        <v>21</v>
      </c>
      <c r="BF35" t="s">
        <v>121</v>
      </c>
      <c r="BG35">
        <v>0.05</v>
      </c>
      <c r="BH35">
        <v>21.05</v>
      </c>
      <c r="BI35" s="40">
        <v>21.05</v>
      </c>
      <c r="BJ35" s="41">
        <v>6.7229999999999999</v>
      </c>
      <c r="BK35" t="s">
        <v>121</v>
      </c>
      <c r="BL35" t="s">
        <v>121</v>
      </c>
      <c r="BM35" t="s">
        <v>121</v>
      </c>
      <c r="BN35">
        <v>6.7229999999999999</v>
      </c>
      <c r="BO35">
        <v>2724.9250000000002</v>
      </c>
      <c r="BP35">
        <v>59.436999999999998</v>
      </c>
      <c r="BQ35" t="s">
        <v>121</v>
      </c>
      <c r="BR35" t="s">
        <v>121</v>
      </c>
      <c r="BS35">
        <v>2.5630000000000002</v>
      </c>
      <c r="BT35">
        <v>1.282</v>
      </c>
      <c r="BU35">
        <v>3.8450000000000002</v>
      </c>
      <c r="BV35" s="41">
        <v>2788.2069999999999</v>
      </c>
      <c r="BW35">
        <v>953732</v>
      </c>
      <c r="BX35">
        <v>63071</v>
      </c>
      <c r="BY35">
        <v>1032476</v>
      </c>
      <c r="BZ35">
        <v>191541</v>
      </c>
      <c r="CA35" s="42">
        <f t="shared" si="0"/>
        <v>40056.743999999999</v>
      </c>
      <c r="CB35" s="42">
        <f t="shared" si="0"/>
        <v>2648.982</v>
      </c>
      <c r="CC35" s="42">
        <f t="shared" si="0"/>
        <v>43363.991999999998</v>
      </c>
      <c r="CD35" s="36">
        <f t="shared" si="0"/>
        <v>8044.7219999999998</v>
      </c>
    </row>
    <row r="36" spans="1:82">
      <c r="A36" s="34">
        <v>1982</v>
      </c>
      <c r="P36" s="37">
        <v>2510.0479999999998</v>
      </c>
      <c r="Q36">
        <v>34.404000000000003</v>
      </c>
      <c r="R36">
        <v>2663.4520000000002</v>
      </c>
      <c r="S36">
        <v>5979.6369999999997</v>
      </c>
      <c r="T36">
        <v>3265.558</v>
      </c>
      <c r="U36">
        <v>50.627000000000002</v>
      </c>
      <c r="V36" t="s">
        <v>121</v>
      </c>
      <c r="W36" t="s">
        <v>121</v>
      </c>
      <c r="X36">
        <v>2510.0479999999998</v>
      </c>
      <c r="Y36">
        <v>119</v>
      </c>
      <c r="Z36">
        <v>34.404000000000003</v>
      </c>
      <c r="AA36">
        <v>2663.4520000000002</v>
      </c>
      <c r="AB36" s="37">
        <v>5979.6369999999997</v>
      </c>
      <c r="AW36" s="40" t="s">
        <v>121</v>
      </c>
      <c r="AX36" t="s">
        <v>121</v>
      </c>
      <c r="AY36">
        <v>970</v>
      </c>
      <c r="AZ36">
        <v>970</v>
      </c>
      <c r="BA36" t="s">
        <v>121</v>
      </c>
      <c r="BB36" t="s">
        <v>121</v>
      </c>
      <c r="BC36" t="s">
        <v>121</v>
      </c>
      <c r="BD36" t="s">
        <v>121</v>
      </c>
      <c r="BE36">
        <v>22</v>
      </c>
      <c r="BF36" t="s">
        <v>121</v>
      </c>
      <c r="BG36">
        <v>0.13</v>
      </c>
      <c r="BH36">
        <v>22.13</v>
      </c>
      <c r="BI36" s="40">
        <v>22.13</v>
      </c>
      <c r="BJ36" s="41">
        <v>18.285</v>
      </c>
      <c r="BK36" t="s">
        <v>121</v>
      </c>
      <c r="BL36" t="s">
        <v>121</v>
      </c>
      <c r="BM36" t="s">
        <v>121</v>
      </c>
      <c r="BN36">
        <v>18.285</v>
      </c>
      <c r="BO36">
        <v>3232.5120000000002</v>
      </c>
      <c r="BP36">
        <v>50.627000000000002</v>
      </c>
      <c r="BQ36" t="s">
        <v>121</v>
      </c>
      <c r="BR36" t="s">
        <v>121</v>
      </c>
      <c r="BS36">
        <v>2.048</v>
      </c>
      <c r="BT36">
        <v>1.3069999999999999</v>
      </c>
      <c r="BU36">
        <v>3.355</v>
      </c>
      <c r="BV36" s="41">
        <v>3286.4940000000001</v>
      </c>
      <c r="BW36">
        <v>951242</v>
      </c>
      <c r="BX36">
        <v>34040</v>
      </c>
      <c r="BY36">
        <v>974864</v>
      </c>
      <c r="BZ36">
        <v>178592</v>
      </c>
      <c r="CA36" s="42">
        <f t="shared" si="0"/>
        <v>39952.163999999997</v>
      </c>
      <c r="CB36" s="42">
        <f t="shared" si="0"/>
        <v>1429.68</v>
      </c>
      <c r="CC36" s="42">
        <f t="shared" si="0"/>
        <v>40944.288</v>
      </c>
      <c r="CD36" s="36">
        <f t="shared" si="0"/>
        <v>7500.8639999999996</v>
      </c>
    </row>
    <row r="37" spans="1:82">
      <c r="A37" s="34">
        <v>1983</v>
      </c>
      <c r="P37" s="37">
        <v>2684.2710000000002</v>
      </c>
      <c r="Q37">
        <v>63.143000000000001</v>
      </c>
      <c r="R37">
        <v>2904.4140000000002</v>
      </c>
      <c r="S37">
        <v>6495.6120000000001</v>
      </c>
      <c r="T37">
        <v>3527.26</v>
      </c>
      <c r="U37">
        <v>63.91</v>
      </c>
      <c r="V37" t="s">
        <v>121</v>
      </c>
      <c r="W37">
        <v>2.8000000000000001E-2</v>
      </c>
      <c r="X37">
        <v>2684.2710000000002</v>
      </c>
      <c r="Y37">
        <v>157</v>
      </c>
      <c r="Z37">
        <v>63.143000000000001</v>
      </c>
      <c r="AA37">
        <v>2904.4140000000002</v>
      </c>
      <c r="AB37" s="37">
        <v>6495.6120000000001</v>
      </c>
      <c r="AW37" s="40" t="s">
        <v>121</v>
      </c>
      <c r="AX37" t="s">
        <v>121</v>
      </c>
      <c r="AY37">
        <v>970</v>
      </c>
      <c r="AZ37">
        <v>970</v>
      </c>
      <c r="BA37" t="s">
        <v>121</v>
      </c>
      <c r="BB37" t="s">
        <v>121</v>
      </c>
      <c r="BC37" t="s">
        <v>121</v>
      </c>
      <c r="BD37" t="s">
        <v>121</v>
      </c>
      <c r="BE37">
        <v>22</v>
      </c>
      <c r="BF37" t="s">
        <v>121</v>
      </c>
      <c r="BG37">
        <v>0.27600000000000002</v>
      </c>
      <c r="BH37">
        <v>22.276</v>
      </c>
      <c r="BI37" s="40">
        <v>22.276</v>
      </c>
      <c r="BJ37" s="41">
        <v>33.72</v>
      </c>
      <c r="BK37" t="s">
        <v>121</v>
      </c>
      <c r="BL37" t="s">
        <v>121</v>
      </c>
      <c r="BM37" t="s">
        <v>121</v>
      </c>
      <c r="BN37">
        <v>33.72</v>
      </c>
      <c r="BO37">
        <v>3494.0050000000001</v>
      </c>
      <c r="BP37">
        <v>63.91</v>
      </c>
      <c r="BQ37" t="s">
        <v>121</v>
      </c>
      <c r="BR37">
        <v>2.8000000000000001E-2</v>
      </c>
      <c r="BS37">
        <v>2.2709999999999999</v>
      </c>
      <c r="BT37">
        <v>1.712</v>
      </c>
      <c r="BU37">
        <v>3.9830000000000001</v>
      </c>
      <c r="BV37" s="41">
        <v>3561.9259999999999</v>
      </c>
      <c r="BW37">
        <v>896504</v>
      </c>
      <c r="BX37">
        <v>63542</v>
      </c>
      <c r="BY37">
        <v>981927</v>
      </c>
      <c r="BZ37">
        <v>140263</v>
      </c>
      <c r="CA37" s="42">
        <f t="shared" si="0"/>
        <v>37653.167999999998</v>
      </c>
      <c r="CB37" s="42">
        <f t="shared" si="0"/>
        <v>2668.7640000000001</v>
      </c>
      <c r="CC37" s="42">
        <f t="shared" si="0"/>
        <v>41240.934000000001</v>
      </c>
      <c r="CD37" s="36">
        <f t="shared" si="0"/>
        <v>5891.0460000000003</v>
      </c>
    </row>
    <row r="38" spans="1:82">
      <c r="A38" s="34">
        <v>1984</v>
      </c>
      <c r="P38" s="37">
        <v>2685.817</v>
      </c>
      <c r="Q38">
        <v>77.302000000000007</v>
      </c>
      <c r="R38">
        <v>2971.12</v>
      </c>
      <c r="S38">
        <v>6437.8639999999996</v>
      </c>
      <c r="T38">
        <v>3385.8110000000001</v>
      </c>
      <c r="U38">
        <v>80.811000000000007</v>
      </c>
      <c r="V38">
        <v>5.5E-2</v>
      </c>
      <c r="W38">
        <v>6.8000000000000005E-2</v>
      </c>
      <c r="X38">
        <v>2685.817</v>
      </c>
      <c r="Y38">
        <v>208</v>
      </c>
      <c r="Z38">
        <v>77.302000000000007</v>
      </c>
      <c r="AA38">
        <v>2971.12</v>
      </c>
      <c r="AB38" s="37">
        <v>6437.8639999999996</v>
      </c>
      <c r="AW38" s="40" t="s">
        <v>121</v>
      </c>
      <c r="AX38" t="s">
        <v>121</v>
      </c>
      <c r="AY38">
        <v>980</v>
      </c>
      <c r="AZ38">
        <v>980</v>
      </c>
      <c r="BA38" t="s">
        <v>121</v>
      </c>
      <c r="BB38" t="s">
        <v>121</v>
      </c>
      <c r="BC38" t="s">
        <v>121</v>
      </c>
      <c r="BD38" t="s">
        <v>121</v>
      </c>
      <c r="BE38">
        <v>22</v>
      </c>
      <c r="BF38" t="s">
        <v>121</v>
      </c>
      <c r="BG38">
        <v>0.35099999999999998</v>
      </c>
      <c r="BH38">
        <v>22.350999999999999</v>
      </c>
      <c r="BI38" s="40">
        <v>22.350999999999999</v>
      </c>
      <c r="BJ38" s="41">
        <v>41.265000000000001</v>
      </c>
      <c r="BK38" t="s">
        <v>121</v>
      </c>
      <c r="BL38" t="s">
        <v>121</v>
      </c>
      <c r="BM38" t="s">
        <v>121</v>
      </c>
      <c r="BN38">
        <v>41.265000000000001</v>
      </c>
      <c r="BO38">
        <v>3352.8090000000002</v>
      </c>
      <c r="BP38">
        <v>80.811000000000007</v>
      </c>
      <c r="BQ38">
        <v>5.5E-2</v>
      </c>
      <c r="BR38">
        <v>6.8000000000000005E-2</v>
      </c>
      <c r="BS38">
        <v>4.8170000000000002</v>
      </c>
      <c r="BT38">
        <v>4.4320000000000004</v>
      </c>
      <c r="BU38">
        <v>9.2490000000000006</v>
      </c>
      <c r="BV38" s="41">
        <v>3442.991</v>
      </c>
      <c r="BW38">
        <v>980727</v>
      </c>
      <c r="BX38">
        <v>99439</v>
      </c>
      <c r="BY38">
        <v>1041218</v>
      </c>
      <c r="BZ38">
        <v>161072</v>
      </c>
      <c r="CA38" s="42">
        <f t="shared" si="0"/>
        <v>41190.534</v>
      </c>
      <c r="CB38" s="42">
        <f t="shared" si="0"/>
        <v>4176.4380000000001</v>
      </c>
      <c r="CC38" s="42">
        <f t="shared" si="0"/>
        <v>43731.156000000003</v>
      </c>
      <c r="CD38" s="36">
        <f t="shared" si="0"/>
        <v>6765.0240000000003</v>
      </c>
    </row>
    <row r="39" spans="1:82">
      <c r="A39" s="34">
        <v>1985</v>
      </c>
      <c r="P39" s="37">
        <v>2686.7649999999999</v>
      </c>
      <c r="Q39">
        <v>93.150999999999996</v>
      </c>
      <c r="R39">
        <v>3016.2330000000002</v>
      </c>
      <c r="S39">
        <v>6084.0169999999998</v>
      </c>
      <c r="T39">
        <v>2970.192</v>
      </c>
      <c r="U39">
        <v>97.421000000000006</v>
      </c>
      <c r="V39">
        <v>0.111</v>
      </c>
      <c r="W39">
        <v>0.06</v>
      </c>
      <c r="X39">
        <v>2686.7649999999999</v>
      </c>
      <c r="Y39">
        <v>236.31700000000001</v>
      </c>
      <c r="Z39">
        <v>93.150999999999996</v>
      </c>
      <c r="AA39">
        <v>3016.2330000000002</v>
      </c>
      <c r="AB39" s="37">
        <v>6084.0169999999998</v>
      </c>
      <c r="AW39" s="40" t="s">
        <v>121</v>
      </c>
      <c r="AX39" t="s">
        <v>121</v>
      </c>
      <c r="AY39">
        <v>1010</v>
      </c>
      <c r="AZ39">
        <v>1010</v>
      </c>
      <c r="BA39" t="s">
        <v>121</v>
      </c>
      <c r="BB39" t="s">
        <v>121</v>
      </c>
      <c r="BC39" t="s">
        <v>121</v>
      </c>
      <c r="BD39" t="s">
        <v>121</v>
      </c>
      <c r="BE39">
        <v>24</v>
      </c>
      <c r="BF39" t="s">
        <v>121</v>
      </c>
      <c r="BG39">
        <v>0.374</v>
      </c>
      <c r="BH39">
        <v>24.373999999999999</v>
      </c>
      <c r="BI39" s="40">
        <v>24.373999999999999</v>
      </c>
      <c r="BJ39" s="41">
        <v>49.738</v>
      </c>
      <c r="BK39" t="s">
        <v>121</v>
      </c>
      <c r="BL39" t="s">
        <v>121</v>
      </c>
      <c r="BM39" t="s">
        <v>121</v>
      </c>
      <c r="BN39">
        <v>49.738</v>
      </c>
      <c r="BO39">
        <v>2937.1680000000001</v>
      </c>
      <c r="BP39">
        <v>97.421000000000006</v>
      </c>
      <c r="BQ39">
        <v>0.111</v>
      </c>
      <c r="BR39">
        <v>0.06</v>
      </c>
      <c r="BS39">
        <v>7.7649999999999997</v>
      </c>
      <c r="BT39">
        <v>6.6820000000000004</v>
      </c>
      <c r="BU39">
        <v>14.446999999999999</v>
      </c>
      <c r="BV39" s="41">
        <v>3049.2069999999999</v>
      </c>
      <c r="BW39">
        <v>980351</v>
      </c>
      <c r="BX39">
        <v>73089</v>
      </c>
      <c r="BY39">
        <v>1046827</v>
      </c>
      <c r="BZ39">
        <v>143673</v>
      </c>
      <c r="CA39" s="42">
        <f t="shared" si="0"/>
        <v>41174.741999999998</v>
      </c>
      <c r="CB39" s="42">
        <f t="shared" si="0"/>
        <v>3069.7379999999998</v>
      </c>
      <c r="CC39" s="42">
        <f t="shared" si="0"/>
        <v>43966.733999999997</v>
      </c>
      <c r="CD39" s="36">
        <f t="shared" si="0"/>
        <v>6034.2659999999996</v>
      </c>
    </row>
    <row r="40" spans="1:82">
      <c r="A40" s="34">
        <v>1986</v>
      </c>
      <c r="P40" s="37">
        <v>2562.134</v>
      </c>
      <c r="Q40">
        <v>107.099</v>
      </c>
      <c r="R40">
        <v>2932.0949999999998</v>
      </c>
      <c r="S40">
        <v>6111.14</v>
      </c>
      <c r="T40">
        <v>3071.1790000000001</v>
      </c>
      <c r="U40">
        <v>107.67700000000001</v>
      </c>
      <c r="V40">
        <v>0.14699999999999999</v>
      </c>
      <c r="W40">
        <v>4.3999999999999997E-2</v>
      </c>
      <c r="X40">
        <v>2562.134</v>
      </c>
      <c r="Y40">
        <v>262.86099999999999</v>
      </c>
      <c r="Z40">
        <v>107.099</v>
      </c>
      <c r="AA40">
        <v>2932.0949999999998</v>
      </c>
      <c r="AB40" s="37">
        <v>6111.14</v>
      </c>
      <c r="AW40" s="40" t="s">
        <v>121</v>
      </c>
      <c r="AX40" t="s">
        <v>121</v>
      </c>
      <c r="AY40">
        <v>920</v>
      </c>
      <c r="AZ40">
        <v>920</v>
      </c>
      <c r="BA40" t="s">
        <v>121</v>
      </c>
      <c r="BB40" t="s">
        <v>121</v>
      </c>
      <c r="BC40" t="s">
        <v>121</v>
      </c>
      <c r="BD40" t="s">
        <v>121</v>
      </c>
      <c r="BE40">
        <v>27</v>
      </c>
      <c r="BF40" t="s">
        <v>121</v>
      </c>
      <c r="BG40">
        <v>0.46400000000000002</v>
      </c>
      <c r="BH40">
        <v>27.463999999999999</v>
      </c>
      <c r="BI40" s="40">
        <v>27.463999999999999</v>
      </c>
      <c r="BJ40" s="41">
        <v>57.436999999999998</v>
      </c>
      <c r="BK40" t="s">
        <v>121</v>
      </c>
      <c r="BL40" t="s">
        <v>121</v>
      </c>
      <c r="BM40" t="s">
        <v>121</v>
      </c>
      <c r="BN40">
        <v>57.436999999999998</v>
      </c>
      <c r="BO40">
        <v>3038.1570000000002</v>
      </c>
      <c r="BP40">
        <v>107.67700000000001</v>
      </c>
      <c r="BQ40">
        <v>0.14699999999999999</v>
      </c>
      <c r="BR40">
        <v>4.3999999999999997E-2</v>
      </c>
      <c r="BS40">
        <v>5.1340000000000003</v>
      </c>
      <c r="BT40">
        <v>7.1580000000000004</v>
      </c>
      <c r="BU40">
        <v>12.292</v>
      </c>
      <c r="BV40" s="41">
        <v>3158.317</v>
      </c>
      <c r="BW40">
        <v>1020716</v>
      </c>
      <c r="BX40">
        <v>90296</v>
      </c>
      <c r="BY40">
        <v>1063741</v>
      </c>
      <c r="BZ40">
        <v>155097</v>
      </c>
      <c r="CA40" s="42">
        <f t="shared" si="0"/>
        <v>42870.072</v>
      </c>
      <c r="CB40" s="42">
        <f t="shared" si="0"/>
        <v>3792.4319999999998</v>
      </c>
      <c r="CC40" s="42">
        <f t="shared" si="0"/>
        <v>44677.122000000003</v>
      </c>
      <c r="CD40" s="36">
        <f t="shared" si="0"/>
        <v>6514.0739999999996</v>
      </c>
    </row>
    <row r="41" spans="1:82">
      <c r="A41" s="34">
        <v>1987</v>
      </c>
      <c r="P41" s="37">
        <v>2463.1590000000001</v>
      </c>
      <c r="Q41">
        <v>122.72499999999999</v>
      </c>
      <c r="R41">
        <v>2874.884</v>
      </c>
      <c r="S41">
        <v>5621.8069999999998</v>
      </c>
      <c r="T41">
        <v>2634.5079999999998</v>
      </c>
      <c r="U41">
        <v>112.27</v>
      </c>
      <c r="V41">
        <v>0.109</v>
      </c>
      <c r="W41">
        <v>3.6999999999999998E-2</v>
      </c>
      <c r="X41">
        <v>2463.1590000000001</v>
      </c>
      <c r="Y41">
        <v>289</v>
      </c>
      <c r="Z41">
        <v>122.72499999999999</v>
      </c>
      <c r="AA41">
        <v>2874.884</v>
      </c>
      <c r="AB41" s="37">
        <v>5621.8069999999998</v>
      </c>
      <c r="AW41" s="40" t="s">
        <v>121</v>
      </c>
      <c r="AX41" t="s">
        <v>121</v>
      </c>
      <c r="AY41">
        <v>850</v>
      </c>
      <c r="AZ41">
        <v>850</v>
      </c>
      <c r="BA41" t="s">
        <v>121</v>
      </c>
      <c r="BB41" t="s">
        <v>121</v>
      </c>
      <c r="BC41" t="s">
        <v>121</v>
      </c>
      <c r="BD41" t="s">
        <v>121</v>
      </c>
      <c r="BE41">
        <v>29</v>
      </c>
      <c r="BF41" t="s">
        <v>121</v>
      </c>
      <c r="BG41">
        <v>0.54200000000000004</v>
      </c>
      <c r="BH41">
        <v>29.542000000000002</v>
      </c>
      <c r="BI41" s="40">
        <v>29.542000000000002</v>
      </c>
      <c r="BJ41" s="41">
        <v>66.070999999999998</v>
      </c>
      <c r="BK41" t="s">
        <v>121</v>
      </c>
      <c r="BL41" t="s">
        <v>121</v>
      </c>
      <c r="BM41" t="s">
        <v>121</v>
      </c>
      <c r="BN41">
        <v>66.070999999999998</v>
      </c>
      <c r="BO41">
        <v>2601.5720000000001</v>
      </c>
      <c r="BP41">
        <v>112.27</v>
      </c>
      <c r="BQ41">
        <v>0.109</v>
      </c>
      <c r="BR41">
        <v>3.6999999999999998E-2</v>
      </c>
      <c r="BS41">
        <v>8.1590000000000007</v>
      </c>
      <c r="BT41">
        <v>7.23</v>
      </c>
      <c r="BU41">
        <v>15.388999999999999</v>
      </c>
      <c r="BV41" s="41">
        <v>2729.377</v>
      </c>
      <c r="BW41">
        <v>996119</v>
      </c>
      <c r="BX41">
        <v>93176</v>
      </c>
      <c r="BY41">
        <v>1086413</v>
      </c>
      <c r="BZ41">
        <v>134485</v>
      </c>
      <c r="CA41" s="42">
        <f t="shared" si="0"/>
        <v>41836.998</v>
      </c>
      <c r="CB41" s="42">
        <f t="shared" si="0"/>
        <v>3913.3919999999998</v>
      </c>
      <c r="CC41" s="42">
        <f t="shared" si="0"/>
        <v>45629.345999999998</v>
      </c>
      <c r="CD41" s="36">
        <f t="shared" si="0"/>
        <v>5648.37</v>
      </c>
    </row>
    <row r="42" spans="1:82">
      <c r="A42" s="34">
        <v>1988</v>
      </c>
      <c r="P42" s="37">
        <v>2576.663</v>
      </c>
      <c r="Q42">
        <v>124.05800000000001</v>
      </c>
      <c r="R42">
        <v>3016.049</v>
      </c>
      <c r="S42">
        <v>5456.7539999999999</v>
      </c>
      <c r="T42">
        <v>2334.2649999999999</v>
      </c>
      <c r="U42">
        <v>106.33799999999999</v>
      </c>
      <c r="V42">
        <v>9.4E-2</v>
      </c>
      <c r="W42">
        <v>8.9999999999999993E-3</v>
      </c>
      <c r="X42">
        <v>2576.663</v>
      </c>
      <c r="Y42">
        <v>315.32799999999997</v>
      </c>
      <c r="Z42">
        <v>124.05800000000001</v>
      </c>
      <c r="AA42">
        <v>3016.049</v>
      </c>
      <c r="AB42" s="37">
        <v>5456.7539999999999</v>
      </c>
      <c r="AW42" s="40" t="s">
        <v>121</v>
      </c>
      <c r="AX42" t="s">
        <v>121</v>
      </c>
      <c r="AY42">
        <v>910</v>
      </c>
      <c r="AZ42">
        <v>910</v>
      </c>
      <c r="BA42" t="s">
        <v>121</v>
      </c>
      <c r="BB42" t="s">
        <v>121</v>
      </c>
      <c r="BC42" t="s">
        <v>121</v>
      </c>
      <c r="BD42" t="s">
        <v>121</v>
      </c>
      <c r="BE42">
        <v>32</v>
      </c>
      <c r="BF42" t="s">
        <v>121</v>
      </c>
      <c r="BG42">
        <v>0.53700000000000003</v>
      </c>
      <c r="BH42">
        <v>32.536999999999999</v>
      </c>
      <c r="BI42" s="40">
        <v>32.536999999999999</v>
      </c>
      <c r="BJ42" s="41">
        <v>67.125</v>
      </c>
      <c r="BK42" t="s">
        <v>121</v>
      </c>
      <c r="BL42" t="s">
        <v>121</v>
      </c>
      <c r="BM42" t="s">
        <v>121</v>
      </c>
      <c r="BN42">
        <v>67.125</v>
      </c>
      <c r="BO42">
        <v>2301.6289999999999</v>
      </c>
      <c r="BP42">
        <v>106.33799999999999</v>
      </c>
      <c r="BQ42">
        <v>9.4E-2</v>
      </c>
      <c r="BR42">
        <v>8.9999999999999993E-3</v>
      </c>
      <c r="BS42">
        <v>9.6630000000000003</v>
      </c>
      <c r="BT42">
        <v>7.6219999999999999</v>
      </c>
      <c r="BU42">
        <v>17.285</v>
      </c>
      <c r="BV42" s="41">
        <v>2425.355</v>
      </c>
      <c r="BW42">
        <v>1045786</v>
      </c>
      <c r="BX42">
        <v>110354</v>
      </c>
      <c r="BY42">
        <v>1142510</v>
      </c>
      <c r="BZ42">
        <v>123517</v>
      </c>
      <c r="CA42" s="42">
        <f t="shared" si="0"/>
        <v>43923.012000000002</v>
      </c>
      <c r="CB42" s="42">
        <f t="shared" si="0"/>
        <v>4634.8680000000004</v>
      </c>
      <c r="CC42" s="42">
        <f t="shared" si="0"/>
        <v>47985.42</v>
      </c>
      <c r="CD42" s="36">
        <f t="shared" si="0"/>
        <v>5187.7139999999999</v>
      </c>
    </row>
    <row r="43" spans="1:82">
      <c r="A43" s="34">
        <v>1989</v>
      </c>
      <c r="P43" s="37">
        <v>2679.623</v>
      </c>
      <c r="Q43">
        <v>125.378</v>
      </c>
      <c r="R43">
        <v>3159.357</v>
      </c>
      <c r="S43">
        <v>6234.6409999999996</v>
      </c>
      <c r="T43">
        <v>2837.2629999999999</v>
      </c>
      <c r="U43">
        <v>161.53899999999999</v>
      </c>
      <c r="V43">
        <v>54.448999999999998</v>
      </c>
      <c r="W43">
        <v>22.033000000000001</v>
      </c>
      <c r="X43">
        <v>2679.623</v>
      </c>
      <c r="Y43">
        <v>354.35599999999999</v>
      </c>
      <c r="Z43">
        <v>125.378</v>
      </c>
      <c r="AA43">
        <v>3159.357</v>
      </c>
      <c r="AB43" s="37">
        <v>6234.6409999999996</v>
      </c>
      <c r="AW43" s="40">
        <v>5</v>
      </c>
      <c r="AX43">
        <v>51.654000000000003</v>
      </c>
      <c r="AY43">
        <v>920</v>
      </c>
      <c r="AZ43">
        <v>976.654</v>
      </c>
      <c r="BA43">
        <v>0.68500000000000005</v>
      </c>
      <c r="BB43">
        <v>2.5</v>
      </c>
      <c r="BC43">
        <v>0.14799999999999999</v>
      </c>
      <c r="BD43" t="s">
        <v>122</v>
      </c>
      <c r="BE43">
        <v>76.484999999999999</v>
      </c>
      <c r="BF43">
        <v>21.995000000000001</v>
      </c>
      <c r="BG43">
        <v>0.505</v>
      </c>
      <c r="BH43">
        <v>98.984999999999999</v>
      </c>
      <c r="BI43" s="40">
        <v>102.318</v>
      </c>
      <c r="BJ43" s="41">
        <v>68.090999999999994</v>
      </c>
      <c r="BK43" t="s">
        <v>121</v>
      </c>
      <c r="BL43" t="s">
        <v>121</v>
      </c>
      <c r="BM43" t="s">
        <v>121</v>
      </c>
      <c r="BN43">
        <v>68.090999999999994</v>
      </c>
      <c r="BO43">
        <v>2808.1819999999998</v>
      </c>
      <c r="BP43">
        <v>152.239</v>
      </c>
      <c r="BQ43">
        <v>2.6139999999999999</v>
      </c>
      <c r="BR43">
        <v>22.033000000000001</v>
      </c>
      <c r="BS43">
        <v>99.575000000000003</v>
      </c>
      <c r="BT43">
        <v>131.95500000000001</v>
      </c>
      <c r="BU43">
        <v>231.53</v>
      </c>
      <c r="BV43" s="41">
        <v>3216.598</v>
      </c>
      <c r="BW43">
        <v>1057975</v>
      </c>
      <c r="BX43">
        <v>111674</v>
      </c>
      <c r="BY43">
        <v>1152224</v>
      </c>
      <c r="BZ43">
        <v>105700</v>
      </c>
      <c r="CA43" s="42">
        <f t="shared" si="0"/>
        <v>44434.95</v>
      </c>
      <c r="CB43" s="42">
        <f t="shared" si="0"/>
        <v>4690.308</v>
      </c>
      <c r="CC43" s="42">
        <f t="shared" si="0"/>
        <v>48393.408000000003</v>
      </c>
      <c r="CD43" s="36">
        <f t="shared" si="0"/>
        <v>4439.3999999999996</v>
      </c>
    </row>
    <row r="44" spans="1:82">
      <c r="A44" s="34">
        <v>1990</v>
      </c>
      <c r="P44" s="37">
        <v>2216.1660000000002</v>
      </c>
      <c r="Q44">
        <v>110.867</v>
      </c>
      <c r="R44">
        <v>2735.1120000000001</v>
      </c>
      <c r="S44">
        <v>6040.0050000000001</v>
      </c>
      <c r="T44">
        <v>3046.3910000000001</v>
      </c>
      <c r="U44">
        <v>170.74700000000001</v>
      </c>
      <c r="V44">
        <v>58.747999999999998</v>
      </c>
      <c r="W44">
        <v>29.007000000000001</v>
      </c>
      <c r="X44">
        <v>2216.1660000000002</v>
      </c>
      <c r="Y44">
        <v>408.07900000000001</v>
      </c>
      <c r="Z44">
        <v>110.867</v>
      </c>
      <c r="AA44">
        <v>2735.1120000000001</v>
      </c>
      <c r="AB44" s="37">
        <v>6040.0050000000001</v>
      </c>
      <c r="AW44" s="40">
        <v>5.5</v>
      </c>
      <c r="AX44">
        <v>54.723999999999997</v>
      </c>
      <c r="AY44">
        <v>580</v>
      </c>
      <c r="AZ44">
        <v>640.22400000000005</v>
      </c>
      <c r="BA44">
        <v>1.4319999999999999</v>
      </c>
      <c r="BB44">
        <v>2.8</v>
      </c>
      <c r="BC44">
        <v>0.16800000000000001</v>
      </c>
      <c r="BD44" t="s">
        <v>122</v>
      </c>
      <c r="BE44">
        <v>65.738</v>
      </c>
      <c r="BF44">
        <v>27.765000000000001</v>
      </c>
      <c r="BG44">
        <v>0.495</v>
      </c>
      <c r="BH44">
        <v>93.998000000000005</v>
      </c>
      <c r="BI44" s="40">
        <v>98.397999999999996</v>
      </c>
      <c r="BJ44" s="41">
        <v>60.420999999999999</v>
      </c>
      <c r="BK44" t="s">
        <v>121</v>
      </c>
      <c r="BL44" t="s">
        <v>121</v>
      </c>
      <c r="BM44" t="s">
        <v>121</v>
      </c>
      <c r="BN44">
        <v>60.420999999999999</v>
      </c>
      <c r="BO44">
        <v>3014.0120000000002</v>
      </c>
      <c r="BP44">
        <v>160.547</v>
      </c>
      <c r="BQ44">
        <v>3.8180000000000001</v>
      </c>
      <c r="BR44">
        <v>29.007000000000001</v>
      </c>
      <c r="BS44">
        <v>128.51599999999999</v>
      </c>
      <c r="BT44">
        <v>187.99100000000001</v>
      </c>
      <c r="BU44">
        <v>316.50700000000001</v>
      </c>
      <c r="BV44" s="41">
        <v>3523.8919999999998</v>
      </c>
      <c r="BW44">
        <v>1067485</v>
      </c>
      <c r="BX44">
        <v>101455</v>
      </c>
      <c r="BY44">
        <v>1102503</v>
      </c>
      <c r="BZ44">
        <v>132204</v>
      </c>
      <c r="CA44" s="42">
        <f t="shared" si="0"/>
        <v>44834.37</v>
      </c>
      <c r="CB44" s="42">
        <f t="shared" si="0"/>
        <v>4261.1099999999997</v>
      </c>
      <c r="CC44" s="42">
        <f t="shared" si="0"/>
        <v>46305.125999999997</v>
      </c>
      <c r="CD44" s="36">
        <f t="shared" si="0"/>
        <v>5552.5680000000002</v>
      </c>
    </row>
    <row r="45" spans="1:82">
      <c r="A45" s="34">
        <v>1991</v>
      </c>
      <c r="P45" s="37">
        <v>2214.0819999999999</v>
      </c>
      <c r="Q45">
        <v>128</v>
      </c>
      <c r="R45">
        <v>2781.797</v>
      </c>
      <c r="S45">
        <v>6067.7629999999999</v>
      </c>
      <c r="T45">
        <v>3015.9430000000002</v>
      </c>
      <c r="U45">
        <v>177.626</v>
      </c>
      <c r="V45">
        <v>61.600999999999999</v>
      </c>
      <c r="W45">
        <v>30.795999999999999</v>
      </c>
      <c r="X45">
        <v>2214.0819999999999</v>
      </c>
      <c r="Y45">
        <v>439.71499999999997</v>
      </c>
      <c r="Z45">
        <v>128</v>
      </c>
      <c r="AA45">
        <v>2781.797</v>
      </c>
      <c r="AB45" s="37">
        <v>6067.7629999999999</v>
      </c>
      <c r="AW45" s="40">
        <v>5.9</v>
      </c>
      <c r="AX45">
        <v>56.448</v>
      </c>
      <c r="AY45">
        <v>610</v>
      </c>
      <c r="AZ45">
        <v>672.34799999999996</v>
      </c>
      <c r="BA45">
        <v>1.369</v>
      </c>
      <c r="BB45">
        <v>3</v>
      </c>
      <c r="BC45">
        <v>0.188</v>
      </c>
      <c r="BD45" t="s">
        <v>122</v>
      </c>
      <c r="BE45">
        <v>68.44</v>
      </c>
      <c r="BF45">
        <v>26.484999999999999</v>
      </c>
      <c r="BG45">
        <v>0.442</v>
      </c>
      <c r="BH45">
        <v>95.367000000000004</v>
      </c>
      <c r="BI45" s="40">
        <v>99.924000000000007</v>
      </c>
      <c r="BJ45" s="41">
        <v>70.094999999999999</v>
      </c>
      <c r="BK45" t="s">
        <v>121</v>
      </c>
      <c r="BL45" t="s">
        <v>121</v>
      </c>
      <c r="BM45" t="s">
        <v>121</v>
      </c>
      <c r="BN45">
        <v>70.094999999999999</v>
      </c>
      <c r="BO45">
        <v>2984.8989999999999</v>
      </c>
      <c r="BP45">
        <v>166.626</v>
      </c>
      <c r="BQ45">
        <v>4.923</v>
      </c>
      <c r="BR45">
        <v>30.795999999999999</v>
      </c>
      <c r="BS45">
        <v>125.795</v>
      </c>
      <c r="BT45">
        <v>228.55600000000001</v>
      </c>
      <c r="BU45">
        <v>354.351</v>
      </c>
      <c r="BV45" s="41">
        <v>3541.5949999999998</v>
      </c>
      <c r="BW45">
        <v>1081018</v>
      </c>
      <c r="BX45">
        <v>74778</v>
      </c>
      <c r="BY45">
        <v>1066081</v>
      </c>
      <c r="BZ45">
        <v>143515</v>
      </c>
      <c r="CA45" s="42">
        <f t="shared" si="0"/>
        <v>45402.756000000001</v>
      </c>
      <c r="CB45" s="42">
        <f t="shared" si="0"/>
        <v>3140.6759999999999</v>
      </c>
      <c r="CC45" s="42">
        <f t="shared" si="0"/>
        <v>44775.402000000002</v>
      </c>
      <c r="CD45" s="36">
        <f t="shared" si="0"/>
        <v>6027.63</v>
      </c>
    </row>
    <row r="46" spans="1:82">
      <c r="A46" s="34">
        <v>1992</v>
      </c>
      <c r="P46" s="37">
        <v>2313.471</v>
      </c>
      <c r="Q46">
        <v>145.005</v>
      </c>
      <c r="R46">
        <v>2931.6779999999999</v>
      </c>
      <c r="S46">
        <v>5820.5330000000004</v>
      </c>
      <c r="T46">
        <v>2617.4360000000001</v>
      </c>
      <c r="U46">
        <v>178.69900000000001</v>
      </c>
      <c r="V46">
        <v>62.856000000000002</v>
      </c>
      <c r="W46">
        <v>29.863</v>
      </c>
      <c r="X46">
        <v>2313.471</v>
      </c>
      <c r="Y46">
        <v>473.202</v>
      </c>
      <c r="Z46">
        <v>145.005</v>
      </c>
      <c r="AA46">
        <v>2931.6779999999999</v>
      </c>
      <c r="AB46" s="37">
        <v>5820.5330000000004</v>
      </c>
      <c r="AW46" s="40">
        <v>6.4</v>
      </c>
      <c r="AX46">
        <v>58.472999999999999</v>
      </c>
      <c r="AY46">
        <v>640</v>
      </c>
      <c r="AZ46">
        <v>704.87300000000005</v>
      </c>
      <c r="BA46">
        <v>1.266</v>
      </c>
      <c r="BB46">
        <v>3.2</v>
      </c>
      <c r="BC46">
        <v>0.20499999999999999</v>
      </c>
      <c r="BD46" t="s">
        <v>122</v>
      </c>
      <c r="BE46">
        <v>72.027000000000001</v>
      </c>
      <c r="BF46">
        <v>32.451999999999998</v>
      </c>
      <c r="BG46">
        <v>0.46300000000000002</v>
      </c>
      <c r="BH46">
        <v>104.94199999999999</v>
      </c>
      <c r="BI46" s="40">
        <v>109.614</v>
      </c>
      <c r="BJ46" s="41">
        <v>79.745999999999995</v>
      </c>
      <c r="BK46" t="s">
        <v>121</v>
      </c>
      <c r="BL46" t="s">
        <v>121</v>
      </c>
      <c r="BM46" t="s">
        <v>121</v>
      </c>
      <c r="BN46">
        <v>79.745999999999995</v>
      </c>
      <c r="BO46">
        <v>2585.6619999999998</v>
      </c>
      <c r="BP46">
        <v>166.899</v>
      </c>
      <c r="BQ46">
        <v>4.133</v>
      </c>
      <c r="BR46">
        <v>29.863</v>
      </c>
      <c r="BS46">
        <v>140.221</v>
      </c>
      <c r="BT46">
        <v>262.23599999999999</v>
      </c>
      <c r="BU46">
        <v>402.45699999999999</v>
      </c>
      <c r="BV46" s="41">
        <v>3189.0140000000001</v>
      </c>
      <c r="BW46">
        <v>1088324</v>
      </c>
      <c r="BX46">
        <v>79076</v>
      </c>
      <c r="BY46">
        <v>1090273</v>
      </c>
      <c r="BZ46">
        <v>140607</v>
      </c>
      <c r="CA46" s="42">
        <f t="shared" si="0"/>
        <v>45709.608</v>
      </c>
      <c r="CB46" s="42">
        <f t="shared" si="0"/>
        <v>3321.192</v>
      </c>
      <c r="CC46" s="42">
        <f t="shared" si="0"/>
        <v>45791.466</v>
      </c>
      <c r="CD46" s="36">
        <f t="shared" si="0"/>
        <v>5905.4939999999997</v>
      </c>
    </row>
    <row r="47" spans="1:82">
      <c r="A47" s="34">
        <v>1993</v>
      </c>
      <c r="P47" s="37">
        <v>2259.7739999999999</v>
      </c>
      <c r="Q47">
        <v>169.33600000000001</v>
      </c>
      <c r="R47">
        <v>2908.4459999999999</v>
      </c>
      <c r="S47">
        <v>6081.8829999999998</v>
      </c>
      <c r="T47">
        <v>2891.6129999999998</v>
      </c>
      <c r="U47">
        <v>185.673</v>
      </c>
      <c r="V47">
        <v>65.164000000000001</v>
      </c>
      <c r="W47">
        <v>30.986999999999998</v>
      </c>
      <c r="X47">
        <v>2259.7739999999999</v>
      </c>
      <c r="Y47">
        <v>479.33600000000001</v>
      </c>
      <c r="Z47">
        <v>169.06200000000001</v>
      </c>
      <c r="AA47">
        <v>2908.172</v>
      </c>
      <c r="AB47" s="37">
        <v>6081.6090000000004</v>
      </c>
      <c r="AW47" s="40">
        <v>6.8</v>
      </c>
      <c r="AX47">
        <v>60.122</v>
      </c>
      <c r="AY47">
        <v>550</v>
      </c>
      <c r="AZ47">
        <v>616.92200000000003</v>
      </c>
      <c r="BA47">
        <v>1.028</v>
      </c>
      <c r="BB47">
        <v>3.4</v>
      </c>
      <c r="BC47">
        <v>0.224</v>
      </c>
      <c r="BD47" t="s">
        <v>122</v>
      </c>
      <c r="BE47">
        <v>75.596999999999994</v>
      </c>
      <c r="BF47">
        <v>33.392000000000003</v>
      </c>
      <c r="BG47">
        <v>0.19600000000000001</v>
      </c>
      <c r="BH47">
        <v>109.185</v>
      </c>
      <c r="BI47" s="40">
        <v>113.83799999999999</v>
      </c>
      <c r="BJ47" s="41">
        <v>93.66</v>
      </c>
      <c r="BK47" t="s">
        <v>121</v>
      </c>
      <c r="BL47" t="s">
        <v>121</v>
      </c>
      <c r="BM47" t="s">
        <v>121</v>
      </c>
      <c r="BN47">
        <v>93.66</v>
      </c>
      <c r="BO47">
        <v>2860.991</v>
      </c>
      <c r="BP47">
        <v>173.07300000000001</v>
      </c>
      <c r="BQ47">
        <v>4.7670000000000003</v>
      </c>
      <c r="BR47">
        <v>30.986999999999998</v>
      </c>
      <c r="BS47">
        <v>149.83199999999999</v>
      </c>
      <c r="BT47">
        <v>264.78699999999998</v>
      </c>
      <c r="BU47">
        <v>414.61900000000003</v>
      </c>
      <c r="BV47" s="41">
        <v>3484.4380000000001</v>
      </c>
      <c r="BW47">
        <v>1143075</v>
      </c>
      <c r="BX47">
        <v>67184</v>
      </c>
      <c r="BY47">
        <v>1110043</v>
      </c>
      <c r="BZ47">
        <v>140867</v>
      </c>
      <c r="CA47" s="42">
        <f t="shared" si="0"/>
        <v>48009.15</v>
      </c>
      <c r="CB47" s="42">
        <f t="shared" si="0"/>
        <v>2821.7280000000001</v>
      </c>
      <c r="CC47" s="42">
        <f t="shared" si="0"/>
        <v>46621.805999999997</v>
      </c>
      <c r="CD47" s="36">
        <f t="shared" si="0"/>
        <v>5916.4139999999998</v>
      </c>
    </row>
    <row r="48" spans="1:82">
      <c r="A48" s="34">
        <v>1994</v>
      </c>
      <c r="P48" s="37">
        <v>2323.8200000000002</v>
      </c>
      <c r="Q48">
        <v>188.39099999999999</v>
      </c>
      <c r="R48">
        <v>3027.5340000000001</v>
      </c>
      <c r="S48">
        <v>5987.1130000000003</v>
      </c>
      <c r="T48">
        <v>2683.4569999999999</v>
      </c>
      <c r="U48">
        <v>173.464</v>
      </c>
      <c r="V48">
        <v>67.096999999999994</v>
      </c>
      <c r="W48">
        <v>35.56</v>
      </c>
      <c r="X48">
        <v>2323.8200000000002</v>
      </c>
      <c r="Y48">
        <v>515.32299999999998</v>
      </c>
      <c r="Z48">
        <v>188.39099999999999</v>
      </c>
      <c r="AA48">
        <v>3027.5340000000001</v>
      </c>
      <c r="AB48" s="37">
        <v>5987.1130000000003</v>
      </c>
      <c r="AW48" s="40">
        <v>6.2</v>
      </c>
      <c r="AX48">
        <v>61.77</v>
      </c>
      <c r="AY48">
        <v>520</v>
      </c>
      <c r="AZ48">
        <v>587.97</v>
      </c>
      <c r="BA48">
        <v>0.95699999999999996</v>
      </c>
      <c r="BB48">
        <v>4.2</v>
      </c>
      <c r="BC48">
        <v>0.251</v>
      </c>
      <c r="BD48" t="s">
        <v>122</v>
      </c>
      <c r="BE48">
        <v>71.715000000000003</v>
      </c>
      <c r="BF48">
        <v>34.521999999999998</v>
      </c>
      <c r="BG48">
        <v>0.185</v>
      </c>
      <c r="BH48">
        <v>106.422</v>
      </c>
      <c r="BI48" s="40">
        <v>111.831</v>
      </c>
      <c r="BJ48" s="41">
        <v>104.84</v>
      </c>
      <c r="BK48" t="s">
        <v>121</v>
      </c>
      <c r="BL48" t="s">
        <v>121</v>
      </c>
      <c r="BM48" t="s">
        <v>121</v>
      </c>
      <c r="BN48">
        <v>104.84</v>
      </c>
      <c r="BO48">
        <v>2620.3139999999999</v>
      </c>
      <c r="BP48">
        <v>160.26400000000001</v>
      </c>
      <c r="BQ48">
        <v>5.0199999999999996</v>
      </c>
      <c r="BR48">
        <v>35.56</v>
      </c>
      <c r="BS48">
        <v>152.33500000000001</v>
      </c>
      <c r="BT48">
        <v>281.55399999999997</v>
      </c>
      <c r="BU48">
        <v>433.88900000000001</v>
      </c>
      <c r="BV48" s="41">
        <v>3255.047</v>
      </c>
      <c r="BW48">
        <v>1169688</v>
      </c>
      <c r="BX48">
        <v>74193</v>
      </c>
      <c r="BY48">
        <v>1154217</v>
      </c>
      <c r="BZ48">
        <v>145220</v>
      </c>
      <c r="CA48" s="42">
        <f t="shared" si="0"/>
        <v>49126.896000000001</v>
      </c>
      <c r="CB48" s="42">
        <f t="shared" si="0"/>
        <v>3116.1060000000002</v>
      </c>
      <c r="CC48" s="42">
        <f t="shared" si="0"/>
        <v>48477.114000000001</v>
      </c>
      <c r="CD48" s="36">
        <f t="shared" si="0"/>
        <v>6099.24</v>
      </c>
    </row>
    <row r="49" spans="1:84">
      <c r="A49" s="34">
        <v>1995</v>
      </c>
      <c r="P49" s="37">
        <v>2369.8690000000001</v>
      </c>
      <c r="Q49">
        <v>197.73699999999999</v>
      </c>
      <c r="R49">
        <v>3099.0819999999999</v>
      </c>
      <c r="S49">
        <v>6557.2749999999996</v>
      </c>
      <c r="T49">
        <v>3205.3069999999998</v>
      </c>
      <c r="U49">
        <v>152.05699999999999</v>
      </c>
      <c r="V49">
        <v>68.198999999999998</v>
      </c>
      <c r="W49">
        <v>32.630000000000003</v>
      </c>
      <c r="X49">
        <v>2369.8690000000001</v>
      </c>
      <c r="Y49">
        <v>531.476</v>
      </c>
      <c r="Z49">
        <v>199.797</v>
      </c>
      <c r="AA49">
        <v>3101.1419999999998</v>
      </c>
      <c r="AB49" s="37">
        <v>6559.335</v>
      </c>
      <c r="AW49" s="40">
        <v>6.6</v>
      </c>
      <c r="AX49">
        <v>62.725000000000001</v>
      </c>
      <c r="AY49">
        <v>520</v>
      </c>
      <c r="AZ49">
        <v>589.32500000000005</v>
      </c>
      <c r="BA49">
        <v>1.22</v>
      </c>
      <c r="BB49">
        <v>4.5</v>
      </c>
      <c r="BC49">
        <v>0.28699999999999998</v>
      </c>
      <c r="BD49" t="s">
        <v>122</v>
      </c>
      <c r="BE49">
        <v>72.379000000000005</v>
      </c>
      <c r="BF49">
        <v>40.198</v>
      </c>
      <c r="BG49">
        <v>0.14000000000000001</v>
      </c>
      <c r="BH49">
        <v>112.717</v>
      </c>
      <c r="BI49" s="40">
        <v>118.724</v>
      </c>
      <c r="BJ49" s="41">
        <v>112.49</v>
      </c>
      <c r="BK49" t="s">
        <v>121</v>
      </c>
      <c r="BL49" t="s">
        <v>121</v>
      </c>
      <c r="BM49" t="s">
        <v>121</v>
      </c>
      <c r="BN49">
        <v>112.49</v>
      </c>
      <c r="BO49">
        <v>3149.3919999999998</v>
      </c>
      <c r="BP49">
        <v>137.95699999999999</v>
      </c>
      <c r="BQ49">
        <v>5.1230000000000002</v>
      </c>
      <c r="BR49">
        <v>32.630000000000003</v>
      </c>
      <c r="BS49">
        <v>125.41200000000001</v>
      </c>
      <c r="BT49">
        <v>296.25200000000001</v>
      </c>
      <c r="BU49">
        <v>421.66399999999999</v>
      </c>
      <c r="BV49" s="41">
        <v>3746.7660000000001</v>
      </c>
      <c r="BW49">
        <v>1151735</v>
      </c>
      <c r="BX49">
        <v>70601</v>
      </c>
      <c r="BY49">
        <v>1170419</v>
      </c>
      <c r="BZ49">
        <v>130214</v>
      </c>
      <c r="CA49" s="42">
        <f t="shared" si="0"/>
        <v>48372.87</v>
      </c>
      <c r="CB49" s="42">
        <f t="shared" si="0"/>
        <v>2965.2420000000002</v>
      </c>
      <c r="CC49" s="42">
        <f t="shared" si="0"/>
        <v>49157.597999999998</v>
      </c>
      <c r="CD49" s="36">
        <f t="shared" si="0"/>
        <v>5468.9880000000003</v>
      </c>
    </row>
    <row r="50" spans="1:84">
      <c r="A50" s="34">
        <v>1996</v>
      </c>
      <c r="P50" s="37">
        <v>2437.027</v>
      </c>
      <c r="Q50">
        <v>141.28399999999999</v>
      </c>
      <c r="R50">
        <v>3155.3009999999999</v>
      </c>
      <c r="S50">
        <v>7010.8509999999997</v>
      </c>
      <c r="T50">
        <v>3589.6559999999999</v>
      </c>
      <c r="U50">
        <v>163.35900000000001</v>
      </c>
      <c r="V50">
        <v>69.094999999999999</v>
      </c>
      <c r="W50">
        <v>33.44</v>
      </c>
      <c r="X50">
        <v>2437.027</v>
      </c>
      <c r="Y50">
        <v>576.99</v>
      </c>
      <c r="Z50">
        <v>142.78899999999999</v>
      </c>
      <c r="AA50">
        <v>3156.806</v>
      </c>
      <c r="AB50" s="37">
        <v>7012.3559999999998</v>
      </c>
      <c r="AW50" s="40">
        <v>7</v>
      </c>
      <c r="AX50">
        <v>63.302</v>
      </c>
      <c r="AY50">
        <v>540</v>
      </c>
      <c r="AZ50">
        <v>610.30200000000002</v>
      </c>
      <c r="BA50">
        <v>1.3</v>
      </c>
      <c r="BB50">
        <v>5.3</v>
      </c>
      <c r="BC50">
        <v>0.33100000000000002</v>
      </c>
      <c r="BD50" t="s">
        <v>122</v>
      </c>
      <c r="BE50">
        <v>75.668000000000006</v>
      </c>
      <c r="BF50">
        <v>53.027999999999999</v>
      </c>
      <c r="BG50">
        <v>0.14399999999999999</v>
      </c>
      <c r="BH50">
        <v>128.84</v>
      </c>
      <c r="BI50" s="40">
        <v>135.77099999999999</v>
      </c>
      <c r="BJ50" s="41">
        <v>80.661000000000001</v>
      </c>
      <c r="BK50" t="s">
        <v>121</v>
      </c>
      <c r="BL50" t="s">
        <v>121</v>
      </c>
      <c r="BM50" t="s">
        <v>121</v>
      </c>
      <c r="BN50">
        <v>80.661000000000001</v>
      </c>
      <c r="BO50">
        <v>3527.5819999999999</v>
      </c>
      <c r="BP50">
        <v>148.15899999999999</v>
      </c>
      <c r="BQ50">
        <v>5.3890000000000002</v>
      </c>
      <c r="BR50">
        <v>33.44</v>
      </c>
      <c r="BS50">
        <v>137.86000000000001</v>
      </c>
      <c r="BT50">
        <v>300.41300000000001</v>
      </c>
      <c r="BU50">
        <v>438.27300000000002</v>
      </c>
      <c r="BV50" s="41">
        <v>4152.8429999999998</v>
      </c>
      <c r="BW50">
        <v>1213563</v>
      </c>
      <c r="BX50">
        <v>84234</v>
      </c>
      <c r="BY50">
        <v>1231679</v>
      </c>
      <c r="BZ50">
        <v>126729</v>
      </c>
      <c r="CA50" s="42">
        <f t="shared" si="0"/>
        <v>50969.646000000001</v>
      </c>
      <c r="CB50" s="42">
        <f t="shared" si="0"/>
        <v>3537.828</v>
      </c>
      <c r="CC50" s="42">
        <f t="shared" si="0"/>
        <v>51730.517999999996</v>
      </c>
      <c r="CD50" s="36">
        <f t="shared" si="0"/>
        <v>5322.6180000000004</v>
      </c>
    </row>
    <row r="51" spans="1:84">
      <c r="A51" s="34">
        <v>1997</v>
      </c>
      <c r="P51" s="37">
        <v>2370.991</v>
      </c>
      <c r="Q51">
        <v>186.315</v>
      </c>
      <c r="R51">
        <v>3107.9079999999999</v>
      </c>
      <c r="S51">
        <v>7016.768</v>
      </c>
      <c r="T51">
        <v>3640.4580000000001</v>
      </c>
      <c r="U51">
        <v>166.69800000000001</v>
      </c>
      <c r="V51">
        <v>68.123999999999995</v>
      </c>
      <c r="W51">
        <v>33.581000000000003</v>
      </c>
      <c r="X51">
        <v>2370.991</v>
      </c>
      <c r="Y51">
        <v>550.60199999999998</v>
      </c>
      <c r="Z51">
        <v>183.62700000000001</v>
      </c>
      <c r="AA51">
        <v>3105.22</v>
      </c>
      <c r="AB51" s="37">
        <v>7014.08</v>
      </c>
      <c r="AW51" s="40">
        <v>7.5</v>
      </c>
      <c r="AX51">
        <v>62.456000000000003</v>
      </c>
      <c r="AY51">
        <v>430</v>
      </c>
      <c r="AZ51">
        <v>499.95600000000002</v>
      </c>
      <c r="BA51">
        <v>1.228</v>
      </c>
      <c r="BB51">
        <v>5.7</v>
      </c>
      <c r="BC51">
        <v>0.36599999999999999</v>
      </c>
      <c r="BD51" t="s">
        <v>122</v>
      </c>
      <c r="BE51">
        <v>73.385999999999996</v>
      </c>
      <c r="BF51">
        <v>57.606999999999999</v>
      </c>
      <c r="BG51">
        <v>0.28999999999999998</v>
      </c>
      <c r="BH51">
        <v>131.28299999999999</v>
      </c>
      <c r="BI51" s="40">
        <v>138.577</v>
      </c>
      <c r="BJ51" s="41">
        <v>101.96599999999999</v>
      </c>
      <c r="BK51" t="s">
        <v>121</v>
      </c>
      <c r="BL51" t="s">
        <v>121</v>
      </c>
      <c r="BM51" t="s">
        <v>121</v>
      </c>
      <c r="BN51">
        <v>101.96599999999999</v>
      </c>
      <c r="BO51">
        <v>3581.1680000000001</v>
      </c>
      <c r="BP51">
        <v>150.398</v>
      </c>
      <c r="BQ51">
        <v>5.2210000000000001</v>
      </c>
      <c r="BR51">
        <v>33.581000000000003</v>
      </c>
      <c r="BS51">
        <v>136.99199999999999</v>
      </c>
      <c r="BT51">
        <v>308.98099999999999</v>
      </c>
      <c r="BU51">
        <v>445.97300000000001</v>
      </c>
      <c r="BV51" s="41">
        <v>4216.34</v>
      </c>
      <c r="BW51">
        <v>1238041</v>
      </c>
      <c r="BX51">
        <v>83102</v>
      </c>
      <c r="BY51">
        <v>1253938</v>
      </c>
      <c r="BZ51">
        <v>138427</v>
      </c>
      <c r="CA51" s="42">
        <f t="shared" si="0"/>
        <v>51997.722000000002</v>
      </c>
      <c r="CB51" s="42">
        <f t="shared" si="0"/>
        <v>3490.2840000000001</v>
      </c>
      <c r="CC51" s="42">
        <f t="shared" si="0"/>
        <v>52665.396000000001</v>
      </c>
      <c r="CD51" s="36">
        <f t="shared" si="0"/>
        <v>5813.9340000000002</v>
      </c>
    </row>
    <row r="52" spans="1:84">
      <c r="A52" s="34">
        <v>1998</v>
      </c>
      <c r="P52" s="37">
        <v>2184.1610000000001</v>
      </c>
      <c r="Q52">
        <v>202.47399999999999</v>
      </c>
      <c r="R52">
        <v>2928.93</v>
      </c>
      <c r="S52">
        <v>6492.6869999999999</v>
      </c>
      <c r="T52">
        <v>3297.0540000000001</v>
      </c>
      <c r="U52">
        <v>168.45</v>
      </c>
      <c r="V52">
        <v>67.400999999999996</v>
      </c>
      <c r="W52">
        <v>30.853000000000002</v>
      </c>
      <c r="X52">
        <v>2184.1610000000001</v>
      </c>
      <c r="Y52">
        <v>542.29499999999996</v>
      </c>
      <c r="Z52">
        <v>201.03399999999999</v>
      </c>
      <c r="AA52">
        <v>2927.49</v>
      </c>
      <c r="AB52" s="37">
        <v>6491.2479999999996</v>
      </c>
      <c r="AW52" s="40">
        <v>7.7</v>
      </c>
      <c r="AX52">
        <v>61.771999999999998</v>
      </c>
      <c r="AY52">
        <v>380</v>
      </c>
      <c r="AZ52">
        <v>449.47199999999998</v>
      </c>
      <c r="BA52">
        <v>1.228</v>
      </c>
      <c r="BB52">
        <v>7.1</v>
      </c>
      <c r="BC52">
        <v>0.41299999999999998</v>
      </c>
      <c r="BD52" t="s">
        <v>122</v>
      </c>
      <c r="BE52">
        <v>64.013999999999996</v>
      </c>
      <c r="BF52">
        <v>54.161999999999999</v>
      </c>
      <c r="BG52">
        <v>0.28399999999999997</v>
      </c>
      <c r="BH52">
        <v>118.46</v>
      </c>
      <c r="BI52" s="40">
        <v>127.202</v>
      </c>
      <c r="BJ52" s="41">
        <v>112.843</v>
      </c>
      <c r="BK52" t="s">
        <v>121</v>
      </c>
      <c r="BL52" t="s">
        <v>121</v>
      </c>
      <c r="BM52" t="s">
        <v>121</v>
      </c>
      <c r="BN52">
        <v>112.843</v>
      </c>
      <c r="BO52">
        <v>3241.2860000000001</v>
      </c>
      <c r="BP52">
        <v>150.65</v>
      </c>
      <c r="BQ52">
        <v>5.1239999999999997</v>
      </c>
      <c r="BR52">
        <v>30.853000000000002</v>
      </c>
      <c r="BS52">
        <v>136.70699999999999</v>
      </c>
      <c r="BT52">
        <v>307.78899999999999</v>
      </c>
      <c r="BU52">
        <v>444.49599999999998</v>
      </c>
      <c r="BV52" s="41">
        <v>3872.4079999999999</v>
      </c>
      <c r="BW52">
        <v>1249881</v>
      </c>
      <c r="BX52">
        <v>76618</v>
      </c>
      <c r="BY52">
        <v>1263427</v>
      </c>
      <c r="BZ52">
        <v>156075</v>
      </c>
      <c r="CA52" s="42">
        <f t="shared" si="0"/>
        <v>52495.002</v>
      </c>
      <c r="CB52" s="42">
        <f t="shared" si="0"/>
        <v>3217.9560000000001</v>
      </c>
      <c r="CC52" s="42">
        <f t="shared" si="0"/>
        <v>53063.934000000001</v>
      </c>
      <c r="CD52" s="36">
        <f t="shared" si="0"/>
        <v>6555.15</v>
      </c>
    </row>
    <row r="53" spans="1:84">
      <c r="A53" s="34">
        <v>1999</v>
      </c>
      <c r="P53" s="37">
        <v>2214.1669999999999</v>
      </c>
      <c r="Q53">
        <v>210.809</v>
      </c>
      <c r="R53">
        <v>2965.1320000000001</v>
      </c>
      <c r="S53">
        <v>6515.5320000000002</v>
      </c>
      <c r="T53">
        <v>3267.5749999999998</v>
      </c>
      <c r="U53">
        <v>170.92099999999999</v>
      </c>
      <c r="V53">
        <v>66.010000000000005</v>
      </c>
      <c r="W53">
        <v>45.893999999999998</v>
      </c>
      <c r="X53">
        <v>2214.1669999999999</v>
      </c>
      <c r="Y53">
        <v>540.15599999999995</v>
      </c>
      <c r="Z53">
        <v>208.96700000000001</v>
      </c>
      <c r="AA53">
        <v>2963.29</v>
      </c>
      <c r="AB53" s="37">
        <v>6513.6909999999998</v>
      </c>
      <c r="AW53" s="40">
        <v>8.5</v>
      </c>
      <c r="AX53">
        <v>60.357999999999997</v>
      </c>
      <c r="AY53">
        <v>390</v>
      </c>
      <c r="AZ53">
        <v>458.858</v>
      </c>
      <c r="BA53">
        <v>1.173</v>
      </c>
      <c r="BB53">
        <v>6.7</v>
      </c>
      <c r="BC53">
        <v>0.48199999999999998</v>
      </c>
      <c r="BD53" t="s">
        <v>122</v>
      </c>
      <c r="BE53">
        <v>66.620999999999995</v>
      </c>
      <c r="BF53">
        <v>53.915999999999997</v>
      </c>
      <c r="BG53">
        <v>0.21099999999999999</v>
      </c>
      <c r="BH53">
        <v>120.748</v>
      </c>
      <c r="BI53" s="40">
        <v>129.10300000000001</v>
      </c>
      <c r="BJ53" s="41">
        <v>117.795</v>
      </c>
      <c r="BK53" t="s">
        <v>121</v>
      </c>
      <c r="BL53" t="s">
        <v>121</v>
      </c>
      <c r="BM53" t="s">
        <v>121</v>
      </c>
      <c r="BN53">
        <v>117.795</v>
      </c>
      <c r="BO53">
        <v>3217.7440000000001</v>
      </c>
      <c r="BP53">
        <v>151.62100000000001</v>
      </c>
      <c r="BQ53">
        <v>5.0629999999999997</v>
      </c>
      <c r="BR53">
        <v>45.893999999999998</v>
      </c>
      <c r="BS53">
        <v>138.02600000000001</v>
      </c>
      <c r="BT53">
        <v>315.19799999999998</v>
      </c>
      <c r="BU53">
        <v>453.22399999999999</v>
      </c>
      <c r="BV53" s="41">
        <v>3873.5459999999998</v>
      </c>
      <c r="BW53">
        <v>1240783</v>
      </c>
      <c r="BX53">
        <v>91428</v>
      </c>
      <c r="BY53">
        <v>1303779</v>
      </c>
      <c r="BZ53">
        <v>125463</v>
      </c>
      <c r="CA53" s="42">
        <f t="shared" si="0"/>
        <v>52112.885999999999</v>
      </c>
      <c r="CB53" s="42">
        <f t="shared" si="0"/>
        <v>3839.9760000000001</v>
      </c>
      <c r="CC53" s="42">
        <f t="shared" si="0"/>
        <v>54758.718000000001</v>
      </c>
      <c r="CD53" s="36">
        <f t="shared" si="0"/>
        <v>5269.4459999999999</v>
      </c>
    </row>
    <row r="54" spans="1:84">
      <c r="A54" s="34">
        <v>2000</v>
      </c>
      <c r="P54" s="37">
        <v>2261.7150000000001</v>
      </c>
      <c r="Q54">
        <v>233.14599999999999</v>
      </c>
      <c r="R54">
        <v>3005.6610000000001</v>
      </c>
      <c r="S54">
        <v>6101.6040000000003</v>
      </c>
      <c r="T54">
        <v>2811.116</v>
      </c>
      <c r="U54">
        <v>164.364</v>
      </c>
      <c r="V54">
        <v>63.405999999999999</v>
      </c>
      <c r="W54">
        <v>57.057000000000002</v>
      </c>
      <c r="X54">
        <v>2261.7150000000001</v>
      </c>
      <c r="Y54">
        <v>510.8</v>
      </c>
      <c r="Z54">
        <v>235.71199999999999</v>
      </c>
      <c r="AA54">
        <v>3008.2269999999999</v>
      </c>
      <c r="AB54" s="37">
        <v>6104.1710000000003</v>
      </c>
      <c r="AW54" s="40">
        <v>8.6</v>
      </c>
      <c r="AX54">
        <v>57.707000000000001</v>
      </c>
      <c r="AY54">
        <v>420</v>
      </c>
      <c r="AZ54">
        <v>486.30700000000002</v>
      </c>
      <c r="BA54">
        <v>1.018</v>
      </c>
      <c r="BB54">
        <v>7.6</v>
      </c>
      <c r="BC54">
        <v>0.54600000000000004</v>
      </c>
      <c r="BD54" t="s">
        <v>122</v>
      </c>
      <c r="BE54">
        <v>71.468999999999994</v>
      </c>
      <c r="BF54">
        <v>47.256</v>
      </c>
      <c r="BG54">
        <v>0.376</v>
      </c>
      <c r="BH54">
        <v>119.101</v>
      </c>
      <c r="BI54" s="40">
        <v>128.26499999999999</v>
      </c>
      <c r="BJ54" s="41">
        <v>134.887</v>
      </c>
      <c r="BK54" t="s">
        <v>121</v>
      </c>
      <c r="BL54" t="s">
        <v>121</v>
      </c>
      <c r="BM54" t="s">
        <v>121</v>
      </c>
      <c r="BN54">
        <v>134.887</v>
      </c>
      <c r="BO54">
        <v>2767.9160000000002</v>
      </c>
      <c r="BP54">
        <v>143.76400000000001</v>
      </c>
      <c r="BQ54">
        <v>5.0330000000000004</v>
      </c>
      <c r="BR54">
        <v>57.057000000000002</v>
      </c>
      <c r="BS54">
        <v>134.321</v>
      </c>
      <c r="BT54">
        <v>318.43299999999999</v>
      </c>
      <c r="BU54">
        <v>452.75400000000002</v>
      </c>
      <c r="BV54" s="41">
        <v>3426.5239999999999</v>
      </c>
      <c r="BW54">
        <v>1310158</v>
      </c>
      <c r="BX54">
        <v>107919</v>
      </c>
      <c r="BY54">
        <v>1362315</v>
      </c>
      <c r="BZ54">
        <v>118027</v>
      </c>
      <c r="CA54" s="42">
        <f t="shared" si="0"/>
        <v>55026.635999999999</v>
      </c>
      <c r="CB54" s="42">
        <f t="shared" si="0"/>
        <v>4532.598</v>
      </c>
      <c r="CC54" s="42">
        <f t="shared" si="0"/>
        <v>57217.23</v>
      </c>
      <c r="CD54" s="36">
        <f t="shared" si="0"/>
        <v>4957.134</v>
      </c>
    </row>
    <row r="55" spans="1:84">
      <c r="A55" s="34">
        <v>2001</v>
      </c>
      <c r="B55" s="35">
        <v>1.109</v>
      </c>
      <c r="C55">
        <v>1.4999999999999999E-2</v>
      </c>
      <c r="D55" s="36">
        <f t="shared" ref="D55:D75" si="1">(G55/F55)*C55/1000</f>
        <v>1.9132563833508218E-6</v>
      </c>
      <c r="E55">
        <v>204.203</v>
      </c>
      <c r="F55">
        <v>8.577</v>
      </c>
      <c r="G55">
        <v>1.0940000000000001</v>
      </c>
      <c r="H55">
        <v>80.921999999999997</v>
      </c>
      <c r="I55">
        <v>40.646000000000001</v>
      </c>
      <c r="J55">
        <v>40.276000000000003</v>
      </c>
      <c r="K55" t="s">
        <v>121</v>
      </c>
      <c r="L55" t="s">
        <v>121</v>
      </c>
      <c r="M55">
        <v>244.47900000000001</v>
      </c>
      <c r="N55">
        <v>10.268000000000001</v>
      </c>
      <c r="O55" s="35">
        <v>1.31</v>
      </c>
      <c r="P55" s="37">
        <v>2005.8340000000001</v>
      </c>
      <c r="Q55">
        <v>254.453</v>
      </c>
      <c r="R55">
        <v>2624.1619999999998</v>
      </c>
      <c r="S55">
        <v>5161.6949999999997</v>
      </c>
      <c r="T55">
        <v>2241.8580000000002</v>
      </c>
      <c r="U55">
        <v>164.46100000000001</v>
      </c>
      <c r="V55">
        <v>61.597000000000001</v>
      </c>
      <c r="W55">
        <v>69.617000000000004</v>
      </c>
      <c r="X55">
        <v>2005.8340000000001</v>
      </c>
      <c r="Y55">
        <v>363.875</v>
      </c>
      <c r="Z55">
        <v>252.64699999999999</v>
      </c>
      <c r="AA55">
        <v>2622.3560000000002</v>
      </c>
      <c r="AB55" s="37">
        <v>5159.8890000000001</v>
      </c>
      <c r="AW55" s="40">
        <v>9.4499999999999993</v>
      </c>
      <c r="AX55">
        <v>55.171999999999997</v>
      </c>
      <c r="AY55">
        <v>370</v>
      </c>
      <c r="AZ55">
        <v>434.62200000000001</v>
      </c>
      <c r="BA55">
        <v>0.68700000000000006</v>
      </c>
      <c r="BB55">
        <v>8.27</v>
      </c>
      <c r="BC55">
        <v>0.66800000000000004</v>
      </c>
      <c r="BD55" t="s">
        <v>122</v>
      </c>
      <c r="BE55">
        <v>66.787999999999997</v>
      </c>
      <c r="BF55">
        <v>24.545000000000002</v>
      </c>
      <c r="BG55">
        <v>0.32900000000000001</v>
      </c>
      <c r="BH55">
        <v>91.661000000000001</v>
      </c>
      <c r="BI55" s="40">
        <v>101.286</v>
      </c>
      <c r="BJ55" s="41">
        <v>140.822</v>
      </c>
      <c r="BK55">
        <v>1.31</v>
      </c>
      <c r="BL55" t="s">
        <v>121</v>
      </c>
      <c r="BM55" t="s">
        <v>121</v>
      </c>
      <c r="BN55">
        <v>142.13200000000001</v>
      </c>
      <c r="BO55">
        <v>2208.6709999999998</v>
      </c>
      <c r="BP55">
        <v>141.98099999999999</v>
      </c>
      <c r="BQ55">
        <v>5.6079999999999997</v>
      </c>
      <c r="BR55">
        <v>69.617000000000004</v>
      </c>
      <c r="BS55">
        <v>126.402</v>
      </c>
      <c r="BT55">
        <v>210.73599999999999</v>
      </c>
      <c r="BU55">
        <v>337.13799999999998</v>
      </c>
      <c r="BV55" s="41">
        <v>2763.0149999999999</v>
      </c>
      <c r="BW55">
        <v>1348525</v>
      </c>
      <c r="BX55">
        <v>125586</v>
      </c>
      <c r="BY55">
        <v>1404082</v>
      </c>
      <c r="BZ55">
        <v>144513</v>
      </c>
      <c r="CA55" s="42">
        <f t="shared" si="0"/>
        <v>56638.05</v>
      </c>
      <c r="CB55" s="42">
        <f t="shared" si="0"/>
        <v>5274.6120000000001</v>
      </c>
      <c r="CC55" s="42">
        <f t="shared" si="0"/>
        <v>58971.444000000003</v>
      </c>
      <c r="CD55" s="36">
        <f t="shared" si="0"/>
        <v>6069.5460000000003</v>
      </c>
      <c r="CF55">
        <v>42</v>
      </c>
    </row>
    <row r="56" spans="1:84">
      <c r="A56" s="34">
        <v>2002</v>
      </c>
      <c r="B56" s="35">
        <v>1.3560000000000001</v>
      </c>
      <c r="C56">
        <v>1.7999999999999999E-2</v>
      </c>
      <c r="D56" s="36">
        <f t="shared" si="1"/>
        <v>2.2972148035101106E-6</v>
      </c>
      <c r="E56">
        <v>249.62</v>
      </c>
      <c r="F56">
        <v>10.484</v>
      </c>
      <c r="G56">
        <v>1.3380000000000001</v>
      </c>
      <c r="H56">
        <v>197.34200000000001</v>
      </c>
      <c r="I56">
        <v>57.426000000000002</v>
      </c>
      <c r="J56">
        <v>139.916</v>
      </c>
      <c r="K56" t="s">
        <v>121</v>
      </c>
      <c r="L56" t="s">
        <v>121</v>
      </c>
      <c r="M56">
        <v>389.536</v>
      </c>
      <c r="N56">
        <v>16.361000000000001</v>
      </c>
      <c r="O56" s="35">
        <v>2.0880000000000001</v>
      </c>
      <c r="P56" s="37">
        <v>1995.2840000000001</v>
      </c>
      <c r="Q56">
        <v>308.11799999999999</v>
      </c>
      <c r="R56">
        <v>2705.4059999999999</v>
      </c>
      <c r="S56">
        <v>5730.8109999999997</v>
      </c>
      <c r="T56">
        <v>2689.0169999999998</v>
      </c>
      <c r="U56">
        <v>171.16399999999999</v>
      </c>
      <c r="V56">
        <v>59.89</v>
      </c>
      <c r="W56">
        <v>105.334</v>
      </c>
      <c r="X56">
        <v>1995.2840000000001</v>
      </c>
      <c r="Y56">
        <v>402.00400000000002</v>
      </c>
      <c r="Z56">
        <v>303.33300000000003</v>
      </c>
      <c r="AA56">
        <v>2700.6210000000001</v>
      </c>
      <c r="AB56" s="37">
        <v>5726.0259999999998</v>
      </c>
      <c r="AW56" s="40">
        <v>10.204000000000001</v>
      </c>
      <c r="AX56">
        <v>53.292999999999999</v>
      </c>
      <c r="AY56">
        <v>380</v>
      </c>
      <c r="AZ56">
        <v>443.49700000000001</v>
      </c>
      <c r="BA56">
        <v>0.13</v>
      </c>
      <c r="BB56">
        <v>8.7530000000000001</v>
      </c>
      <c r="BC56">
        <v>0.78</v>
      </c>
      <c r="BD56" t="s">
        <v>122</v>
      </c>
      <c r="BE56">
        <v>68.658000000000001</v>
      </c>
      <c r="BF56">
        <v>25.876999999999999</v>
      </c>
      <c r="BG56">
        <v>0.45900000000000002</v>
      </c>
      <c r="BH56">
        <v>94.994</v>
      </c>
      <c r="BI56" s="40">
        <v>104.657</v>
      </c>
      <c r="BJ56" s="41">
        <v>167.58699999999999</v>
      </c>
      <c r="BK56">
        <v>2.0880000000000001</v>
      </c>
      <c r="BL56" t="s">
        <v>121</v>
      </c>
      <c r="BM56" t="s">
        <v>121</v>
      </c>
      <c r="BN56">
        <v>169.67500000000001</v>
      </c>
      <c r="BO56">
        <v>2649.9789999999998</v>
      </c>
      <c r="BP56">
        <v>147.41999999999999</v>
      </c>
      <c r="BQ56">
        <v>5.6440000000000001</v>
      </c>
      <c r="BR56">
        <v>105.334</v>
      </c>
      <c r="BS56">
        <v>150.19200000000001</v>
      </c>
      <c r="BT56">
        <v>229.78200000000001</v>
      </c>
      <c r="BU56">
        <v>379.97399999999999</v>
      </c>
      <c r="BV56" s="41">
        <v>3288.3510000000001</v>
      </c>
      <c r="BW56">
        <v>1311151</v>
      </c>
      <c r="BX56">
        <v>97603</v>
      </c>
      <c r="BY56">
        <v>1378206</v>
      </c>
      <c r="BZ56">
        <v>134085</v>
      </c>
      <c r="CA56" s="42">
        <f t="shared" si="0"/>
        <v>55068.341999999997</v>
      </c>
      <c r="CB56" s="42">
        <f t="shared" si="0"/>
        <v>4099.326</v>
      </c>
      <c r="CC56" s="42">
        <f t="shared" si="0"/>
        <v>57884.652000000002</v>
      </c>
      <c r="CD56" s="36">
        <f t="shared" si="0"/>
        <v>5631.57</v>
      </c>
    </row>
    <row r="57" spans="1:84">
      <c r="A57" s="34">
        <v>2003</v>
      </c>
      <c r="B57" s="35">
        <v>1.8380000000000001</v>
      </c>
      <c r="C57">
        <v>2.5000000000000001E-2</v>
      </c>
      <c r="D57" s="36">
        <f t="shared" si="1"/>
        <v>3.1896551724137927E-6</v>
      </c>
      <c r="E57">
        <v>338.322</v>
      </c>
      <c r="F57">
        <v>14.21</v>
      </c>
      <c r="G57">
        <v>1.8129999999999999</v>
      </c>
      <c r="H57">
        <v>96.804000000000002</v>
      </c>
      <c r="I57">
        <v>113.467</v>
      </c>
      <c r="J57">
        <v>-16.661999999999999</v>
      </c>
      <c r="K57" t="s">
        <v>121</v>
      </c>
      <c r="L57" t="s">
        <v>121</v>
      </c>
      <c r="M57">
        <v>321.66000000000003</v>
      </c>
      <c r="N57">
        <v>13.51</v>
      </c>
      <c r="O57" s="35">
        <v>1.724</v>
      </c>
      <c r="P57" s="37">
        <v>2002.037</v>
      </c>
      <c r="Q57">
        <v>401.39400000000001</v>
      </c>
      <c r="R57">
        <v>2804.7779999999998</v>
      </c>
      <c r="S57">
        <v>5942.3620000000001</v>
      </c>
      <c r="T57">
        <v>2792.5390000000002</v>
      </c>
      <c r="U57">
        <v>173.44499999999999</v>
      </c>
      <c r="V57">
        <v>58.326999999999998</v>
      </c>
      <c r="W57">
        <v>113.273</v>
      </c>
      <c r="X57">
        <v>2002.037</v>
      </c>
      <c r="Y57">
        <v>401.34699999999998</v>
      </c>
      <c r="Z57">
        <v>403.08699999999999</v>
      </c>
      <c r="AA57">
        <v>2806.471</v>
      </c>
      <c r="AB57" s="37">
        <v>5944.0550000000003</v>
      </c>
      <c r="AW57" s="40">
        <v>13</v>
      </c>
      <c r="AX57">
        <v>51.813000000000002</v>
      </c>
      <c r="AY57">
        <v>400</v>
      </c>
      <c r="AZ57">
        <v>464.81299999999999</v>
      </c>
      <c r="BA57">
        <v>0.73099999999999998</v>
      </c>
      <c r="BB57">
        <v>11</v>
      </c>
      <c r="BC57">
        <v>0.90600000000000003</v>
      </c>
      <c r="BD57" t="s">
        <v>122</v>
      </c>
      <c r="BE57">
        <v>71.435000000000002</v>
      </c>
      <c r="BF57">
        <v>29.026</v>
      </c>
      <c r="BG57">
        <v>0.82299999999999995</v>
      </c>
      <c r="BH57">
        <v>101.28400000000001</v>
      </c>
      <c r="BI57" s="40">
        <v>113.922</v>
      </c>
      <c r="BJ57" s="41">
        <v>228.08600000000001</v>
      </c>
      <c r="BK57">
        <v>1.724</v>
      </c>
      <c r="BL57" t="s">
        <v>121</v>
      </c>
      <c r="BM57" t="s">
        <v>121</v>
      </c>
      <c r="BN57">
        <v>229.81</v>
      </c>
      <c r="BO57">
        <v>2749.056</v>
      </c>
      <c r="BP57">
        <v>146.04499999999999</v>
      </c>
      <c r="BQ57">
        <v>5.407</v>
      </c>
      <c r="BR57">
        <v>113.273</v>
      </c>
      <c r="BS57">
        <v>167.28700000000001</v>
      </c>
      <c r="BT57">
        <v>229.88200000000001</v>
      </c>
      <c r="BU57">
        <v>397.16899999999998</v>
      </c>
      <c r="BV57" s="41">
        <v>3410.95</v>
      </c>
      <c r="BW57">
        <v>1353138</v>
      </c>
      <c r="BX57">
        <v>121672</v>
      </c>
      <c r="BY57">
        <v>1433373</v>
      </c>
      <c r="BZ57">
        <v>136542</v>
      </c>
      <c r="CA57" s="42">
        <f t="shared" si="0"/>
        <v>56831.796000000002</v>
      </c>
      <c r="CB57" s="42">
        <f t="shared" si="0"/>
        <v>5110.2240000000002</v>
      </c>
      <c r="CC57" s="42">
        <f t="shared" si="0"/>
        <v>60201.665999999997</v>
      </c>
      <c r="CD57" s="36">
        <f t="shared" si="0"/>
        <v>5734.7640000000001</v>
      </c>
    </row>
    <row r="58" spans="1:84">
      <c r="A58" s="34">
        <v>2004</v>
      </c>
      <c r="B58" s="35">
        <v>3.62</v>
      </c>
      <c r="C58">
        <v>4.9000000000000002E-2</v>
      </c>
      <c r="D58" s="36">
        <f t="shared" si="1"/>
        <v>6.2515188335358443E-6</v>
      </c>
      <c r="E58">
        <v>666.23699999999997</v>
      </c>
      <c r="F58">
        <v>27.981999999999999</v>
      </c>
      <c r="G58">
        <v>3.57</v>
      </c>
      <c r="H58">
        <v>100.541</v>
      </c>
      <c r="I58">
        <v>127.71599999999999</v>
      </c>
      <c r="J58">
        <v>-27.175000000000001</v>
      </c>
      <c r="K58" t="s">
        <v>121</v>
      </c>
      <c r="L58" t="s">
        <v>121</v>
      </c>
      <c r="M58">
        <v>639.06200000000001</v>
      </c>
      <c r="N58">
        <v>26.841000000000001</v>
      </c>
      <c r="O58" s="35">
        <v>3.4249999999999998</v>
      </c>
      <c r="P58" s="37">
        <v>2121.252</v>
      </c>
      <c r="Q58">
        <v>485.72199999999998</v>
      </c>
      <c r="R58">
        <v>2996.0169999999998</v>
      </c>
      <c r="S58">
        <v>6062.5420000000004</v>
      </c>
      <c r="T58">
        <v>2688.4679999999998</v>
      </c>
      <c r="U58">
        <v>178.14699999999999</v>
      </c>
      <c r="V58">
        <v>58.247</v>
      </c>
      <c r="W58">
        <v>141.66399999999999</v>
      </c>
      <c r="X58">
        <v>2121.252</v>
      </c>
      <c r="Y58">
        <v>389.04300000000001</v>
      </c>
      <c r="Z58">
        <v>497.77699999999999</v>
      </c>
      <c r="AA58">
        <v>3008.0729999999999</v>
      </c>
      <c r="AB58" s="37">
        <v>6074.598</v>
      </c>
      <c r="AW58" s="40">
        <v>14</v>
      </c>
      <c r="AX58">
        <v>51.13</v>
      </c>
      <c r="AY58">
        <v>410</v>
      </c>
      <c r="AZ58">
        <v>475.13</v>
      </c>
      <c r="BA58">
        <v>1.0509999999999999</v>
      </c>
      <c r="BB58">
        <v>12</v>
      </c>
      <c r="BC58">
        <v>1.111</v>
      </c>
      <c r="BD58" t="s">
        <v>122</v>
      </c>
      <c r="BE58">
        <v>70.328000000000003</v>
      </c>
      <c r="BF58">
        <v>34.237000000000002</v>
      </c>
      <c r="BG58">
        <v>0.755</v>
      </c>
      <c r="BH58">
        <v>105.319</v>
      </c>
      <c r="BI58" s="40">
        <v>119.48099999999999</v>
      </c>
      <c r="BJ58" s="41">
        <v>286.29000000000002</v>
      </c>
      <c r="BK58">
        <v>3.4249999999999998</v>
      </c>
      <c r="BL58" t="s">
        <v>121</v>
      </c>
      <c r="BM58" t="s">
        <v>121</v>
      </c>
      <c r="BN58">
        <v>289.71499999999997</v>
      </c>
      <c r="BO58">
        <v>2654.88</v>
      </c>
      <c r="BP58">
        <v>148.34700000000001</v>
      </c>
      <c r="BQ58">
        <v>5.7610000000000001</v>
      </c>
      <c r="BR58">
        <v>141.66399999999999</v>
      </c>
      <c r="BS58">
        <v>165.18899999999999</v>
      </c>
      <c r="BT58">
        <v>222.87700000000001</v>
      </c>
      <c r="BU58">
        <v>388.06599999999997</v>
      </c>
      <c r="BV58" s="41">
        <v>3338.7170000000001</v>
      </c>
      <c r="BW58">
        <v>1396037</v>
      </c>
      <c r="BX58">
        <v>119118</v>
      </c>
      <c r="BY58">
        <v>1485324</v>
      </c>
      <c r="BZ58">
        <v>126272</v>
      </c>
      <c r="CA58" s="42">
        <f t="shared" si="0"/>
        <v>58633.553999999996</v>
      </c>
      <c r="CB58" s="42">
        <f t="shared" si="0"/>
        <v>5002.9560000000001</v>
      </c>
      <c r="CC58" s="42">
        <f t="shared" si="0"/>
        <v>62383.608</v>
      </c>
      <c r="CD58" s="36">
        <f t="shared" si="0"/>
        <v>5303.424</v>
      </c>
    </row>
    <row r="59" spans="1:84">
      <c r="A59" s="34">
        <v>2005</v>
      </c>
      <c r="B59" s="35">
        <v>11.744</v>
      </c>
      <c r="C59">
        <v>0.16</v>
      </c>
      <c r="D59" s="36">
        <f t="shared" si="1"/>
        <v>2.0415257691079118E-5</v>
      </c>
      <c r="E59">
        <v>2161.5859999999998</v>
      </c>
      <c r="F59">
        <v>90.787000000000006</v>
      </c>
      <c r="G59">
        <v>11.584</v>
      </c>
      <c r="H59">
        <v>213.69</v>
      </c>
      <c r="I59">
        <v>212.708</v>
      </c>
      <c r="J59">
        <v>0.98199999999999998</v>
      </c>
      <c r="K59" t="s">
        <v>121</v>
      </c>
      <c r="L59" t="s">
        <v>121</v>
      </c>
      <c r="M59">
        <v>2162.5680000000002</v>
      </c>
      <c r="N59">
        <v>90.828000000000003</v>
      </c>
      <c r="O59" s="35">
        <v>11.589</v>
      </c>
      <c r="P59" s="37">
        <v>2136.6970000000001</v>
      </c>
      <c r="Q59">
        <v>561.27</v>
      </c>
      <c r="R59">
        <v>3101.1860000000001</v>
      </c>
      <c r="S59">
        <v>6220.62</v>
      </c>
      <c r="T59">
        <v>2702.942</v>
      </c>
      <c r="U59">
        <v>180.703</v>
      </c>
      <c r="V59">
        <v>57.701000000000001</v>
      </c>
      <c r="W59">
        <v>178.08799999999999</v>
      </c>
      <c r="X59">
        <v>2136.6970000000001</v>
      </c>
      <c r="Y59">
        <v>403.21899999999999</v>
      </c>
      <c r="Z59">
        <v>574.01400000000001</v>
      </c>
      <c r="AA59">
        <v>3113.93</v>
      </c>
      <c r="AB59" s="37">
        <v>6233.3639999999996</v>
      </c>
      <c r="AW59" s="40">
        <v>15.9</v>
      </c>
      <c r="AX59">
        <v>50.167000000000002</v>
      </c>
      <c r="AY59">
        <v>430</v>
      </c>
      <c r="AZ59">
        <v>496.06700000000001</v>
      </c>
      <c r="BA59">
        <v>0.86</v>
      </c>
      <c r="BB59">
        <v>13.6</v>
      </c>
      <c r="BC59">
        <v>1.6639999999999999</v>
      </c>
      <c r="BD59" t="s">
        <v>122</v>
      </c>
      <c r="BE59">
        <v>69.995000000000005</v>
      </c>
      <c r="BF59">
        <v>34.249000000000002</v>
      </c>
      <c r="BG59">
        <v>0.879</v>
      </c>
      <c r="BH59">
        <v>105.122</v>
      </c>
      <c r="BI59" s="40">
        <v>121.246</v>
      </c>
      <c r="BJ59" s="41">
        <v>327.42599999999999</v>
      </c>
      <c r="BK59">
        <v>11.589</v>
      </c>
      <c r="BL59" t="s">
        <v>121</v>
      </c>
      <c r="BM59" t="s">
        <v>121</v>
      </c>
      <c r="BN59">
        <v>339.01600000000002</v>
      </c>
      <c r="BO59">
        <v>2670.1309999999999</v>
      </c>
      <c r="BP59">
        <v>146.90299999999999</v>
      </c>
      <c r="BQ59">
        <v>5.5019999999999998</v>
      </c>
      <c r="BR59">
        <v>178.08799999999999</v>
      </c>
      <c r="BS59">
        <v>184.97300000000001</v>
      </c>
      <c r="BT59">
        <v>220.72200000000001</v>
      </c>
      <c r="BU59">
        <v>405.69499999999999</v>
      </c>
      <c r="BV59" s="41">
        <v>3406.319</v>
      </c>
      <c r="BW59">
        <v>1443348</v>
      </c>
      <c r="BX59">
        <v>120009</v>
      </c>
      <c r="BY59">
        <v>1503074</v>
      </c>
      <c r="BZ59">
        <v>136022</v>
      </c>
      <c r="CA59" s="42">
        <f t="shared" si="0"/>
        <v>60620.616000000002</v>
      </c>
      <c r="CB59" s="42">
        <f t="shared" si="0"/>
        <v>5040.3779999999997</v>
      </c>
      <c r="CC59" s="42">
        <f t="shared" si="0"/>
        <v>63129.108</v>
      </c>
      <c r="CD59" s="36">
        <f t="shared" si="0"/>
        <v>5712.924</v>
      </c>
    </row>
    <row r="60" spans="1:84">
      <c r="A60" s="34">
        <v>2006</v>
      </c>
      <c r="B60" s="35">
        <v>32.396000000000001</v>
      </c>
      <c r="C60">
        <v>0.441</v>
      </c>
      <c r="D60" s="36">
        <f t="shared" si="1"/>
        <v>5.6269810213265497E-5</v>
      </c>
      <c r="E60">
        <v>5962.8379999999997</v>
      </c>
      <c r="F60">
        <v>250.43899999999999</v>
      </c>
      <c r="G60">
        <v>31.954999999999998</v>
      </c>
      <c r="H60">
        <v>1105.3150000000001</v>
      </c>
      <c r="I60">
        <v>855.62</v>
      </c>
      <c r="J60">
        <v>249.69499999999999</v>
      </c>
      <c r="K60" t="s">
        <v>121</v>
      </c>
      <c r="L60" t="s">
        <v>121</v>
      </c>
      <c r="M60">
        <v>6212.5339999999997</v>
      </c>
      <c r="N60">
        <v>260.92599999999999</v>
      </c>
      <c r="O60" s="35">
        <v>33.292999999999999</v>
      </c>
      <c r="P60" s="37">
        <v>2099.319</v>
      </c>
      <c r="Q60">
        <v>715.63499999999999</v>
      </c>
      <c r="R60">
        <v>3211.5149999999999</v>
      </c>
      <c r="S60">
        <v>6585.9650000000001</v>
      </c>
      <c r="T60">
        <v>2869.0349999999999</v>
      </c>
      <c r="U60">
        <v>181.2</v>
      </c>
      <c r="V60">
        <v>60.476999999999997</v>
      </c>
      <c r="W60">
        <v>263.738</v>
      </c>
      <c r="X60">
        <v>2099.319</v>
      </c>
      <c r="Y60">
        <v>396.56099999999998</v>
      </c>
      <c r="Z60">
        <v>766.26</v>
      </c>
      <c r="AA60">
        <v>3262.14</v>
      </c>
      <c r="AB60" s="37">
        <v>6636.59</v>
      </c>
      <c r="AW60" s="40">
        <v>18.3</v>
      </c>
      <c r="AX60">
        <v>52.500999999999998</v>
      </c>
      <c r="AY60">
        <v>380</v>
      </c>
      <c r="AZ60">
        <v>450.80099999999999</v>
      </c>
      <c r="BA60">
        <v>0.92700000000000005</v>
      </c>
      <c r="BB60">
        <v>14</v>
      </c>
      <c r="BC60">
        <v>2.407</v>
      </c>
      <c r="BD60" t="s">
        <v>122</v>
      </c>
      <c r="BE60">
        <v>65.105999999999995</v>
      </c>
      <c r="BF60">
        <v>36.308999999999997</v>
      </c>
      <c r="BG60">
        <v>1.2509999999999999</v>
      </c>
      <c r="BH60">
        <v>102.666</v>
      </c>
      <c r="BI60" s="40">
        <v>120</v>
      </c>
      <c r="BJ60" s="41">
        <v>441.702</v>
      </c>
      <c r="BK60">
        <v>33.292999999999999</v>
      </c>
      <c r="BL60" t="s">
        <v>121</v>
      </c>
      <c r="BM60" t="s">
        <v>121</v>
      </c>
      <c r="BN60">
        <v>474.995</v>
      </c>
      <c r="BO60">
        <v>2839.3530000000001</v>
      </c>
      <c r="BP60">
        <v>144.5</v>
      </c>
      <c r="BQ60">
        <v>5.0359999999999996</v>
      </c>
      <c r="BR60">
        <v>263.738</v>
      </c>
      <c r="BS60">
        <v>181.815</v>
      </c>
      <c r="BT60">
        <v>230.667</v>
      </c>
      <c r="BU60">
        <v>412.48200000000003</v>
      </c>
      <c r="BV60" s="41">
        <v>3665.1089999999999</v>
      </c>
      <c r="BW60">
        <v>1474741</v>
      </c>
      <c r="BX60">
        <v>133126</v>
      </c>
      <c r="BY60">
        <v>1521731</v>
      </c>
      <c r="BZ60">
        <v>143651</v>
      </c>
      <c r="CA60" s="42">
        <f t="shared" si="0"/>
        <v>61939.122000000003</v>
      </c>
      <c r="CB60" s="42">
        <f t="shared" si="0"/>
        <v>5591.2920000000004</v>
      </c>
      <c r="CC60" s="42">
        <f t="shared" si="0"/>
        <v>63912.701999999997</v>
      </c>
      <c r="CD60" s="36">
        <f t="shared" si="0"/>
        <v>6033.3419999999996</v>
      </c>
    </row>
    <row r="61" spans="1:84">
      <c r="A61" s="34">
        <v>2007</v>
      </c>
      <c r="B61" s="35">
        <v>63.362000000000002</v>
      </c>
      <c r="C61">
        <v>0.86299999999999999</v>
      </c>
      <c r="D61" s="36">
        <f t="shared" si="1"/>
        <v>1.1011409585055886E-4</v>
      </c>
      <c r="E61">
        <v>11662.499</v>
      </c>
      <c r="F61">
        <v>489.82499999999999</v>
      </c>
      <c r="G61">
        <v>62.499000000000002</v>
      </c>
      <c r="H61">
        <v>3454.9639999999999</v>
      </c>
      <c r="I61">
        <v>6695.8429999999998</v>
      </c>
      <c r="J61">
        <v>-3240.8789999999999</v>
      </c>
      <c r="K61" t="s">
        <v>121</v>
      </c>
      <c r="L61" t="s">
        <v>121</v>
      </c>
      <c r="M61">
        <v>8421.6200000000008</v>
      </c>
      <c r="N61">
        <v>353.70800000000003</v>
      </c>
      <c r="O61" s="35">
        <v>45.131</v>
      </c>
      <c r="P61" s="37">
        <v>2088.7750000000001</v>
      </c>
      <c r="Q61">
        <v>970.07</v>
      </c>
      <c r="R61">
        <v>3472.08</v>
      </c>
      <c r="S61">
        <v>6509.9750000000004</v>
      </c>
      <c r="T61">
        <v>2446.3890000000001</v>
      </c>
      <c r="U61">
        <v>185.774</v>
      </c>
      <c r="V61">
        <v>65.228999999999999</v>
      </c>
      <c r="W61">
        <v>340.50299999999999</v>
      </c>
      <c r="X61">
        <v>2088.7750000000001</v>
      </c>
      <c r="Y61">
        <v>413.23500000000001</v>
      </c>
      <c r="Z61">
        <v>982.81399999999996</v>
      </c>
      <c r="AA61">
        <v>3484.8240000000001</v>
      </c>
      <c r="AB61" s="37">
        <v>6522.7190000000001</v>
      </c>
      <c r="AW61" s="40">
        <v>22</v>
      </c>
      <c r="AX61">
        <v>55.045999999999999</v>
      </c>
      <c r="AY61">
        <v>420</v>
      </c>
      <c r="AZ61">
        <v>497.04599999999999</v>
      </c>
      <c r="BA61">
        <v>0.76400000000000001</v>
      </c>
      <c r="BB61">
        <v>14.4</v>
      </c>
      <c r="BC61">
        <v>3.3860000000000001</v>
      </c>
      <c r="BD61" t="s">
        <v>122</v>
      </c>
      <c r="BE61">
        <v>69.796000000000006</v>
      </c>
      <c r="BF61">
        <v>30.96</v>
      </c>
      <c r="BG61">
        <v>1.966</v>
      </c>
      <c r="BH61">
        <v>102.723</v>
      </c>
      <c r="BI61" s="40">
        <v>121.273</v>
      </c>
      <c r="BJ61" s="41">
        <v>556.79100000000005</v>
      </c>
      <c r="BK61">
        <v>45.131</v>
      </c>
      <c r="BL61" t="s">
        <v>121</v>
      </c>
      <c r="BM61" t="s">
        <v>121</v>
      </c>
      <c r="BN61">
        <v>601.92200000000003</v>
      </c>
      <c r="BO61">
        <v>2429.9090000000001</v>
      </c>
      <c r="BP61">
        <v>144.67400000000001</v>
      </c>
      <c r="BQ61">
        <v>6.0469999999999997</v>
      </c>
      <c r="BR61">
        <v>340.50299999999999</v>
      </c>
      <c r="BS61">
        <v>185.95599999999999</v>
      </c>
      <c r="BT61">
        <v>237.49199999999999</v>
      </c>
      <c r="BU61">
        <v>423.447</v>
      </c>
      <c r="BV61" s="41">
        <v>3344.5810000000001</v>
      </c>
      <c r="BW61">
        <v>1508530</v>
      </c>
      <c r="BX61">
        <v>110997</v>
      </c>
      <c r="BY61">
        <v>1531508</v>
      </c>
      <c r="BZ61">
        <v>133944</v>
      </c>
      <c r="CA61" s="42">
        <f t="shared" si="0"/>
        <v>63358.26</v>
      </c>
      <c r="CB61" s="42">
        <f t="shared" si="0"/>
        <v>4661.8739999999998</v>
      </c>
      <c r="CC61" s="42">
        <f t="shared" si="0"/>
        <v>64323.336000000003</v>
      </c>
      <c r="CD61" s="36">
        <f t="shared" si="0"/>
        <v>5625.6480000000001</v>
      </c>
    </row>
    <row r="62" spans="1:84">
      <c r="A62" s="34">
        <v>2008</v>
      </c>
      <c r="B62" s="35">
        <v>87.718000000000004</v>
      </c>
      <c r="C62">
        <v>1.1950000000000001</v>
      </c>
      <c r="D62" s="36">
        <f t="shared" si="1"/>
        <v>1.5247613942362994E-4</v>
      </c>
      <c r="E62">
        <v>16145.382</v>
      </c>
      <c r="F62">
        <v>678.10599999999999</v>
      </c>
      <c r="G62">
        <v>86.522999999999996</v>
      </c>
      <c r="H62">
        <v>7755.03</v>
      </c>
      <c r="I62">
        <v>16672.900000000001</v>
      </c>
      <c r="J62">
        <v>-8917.8690000000006</v>
      </c>
      <c r="K62" t="s">
        <v>121</v>
      </c>
      <c r="L62" t="s">
        <v>121</v>
      </c>
      <c r="M62">
        <v>7227.5129999999999</v>
      </c>
      <c r="N62">
        <v>303.55599999999998</v>
      </c>
      <c r="O62" s="35">
        <v>38.731999999999999</v>
      </c>
      <c r="P62" s="37">
        <v>2058.9850000000001</v>
      </c>
      <c r="Q62">
        <v>1374.001</v>
      </c>
      <c r="R62">
        <v>3868.25</v>
      </c>
      <c r="S62">
        <v>7190.9179999999997</v>
      </c>
      <c r="T62">
        <v>2511.1080000000002</v>
      </c>
      <c r="U62">
        <v>192.43299999999999</v>
      </c>
      <c r="V62">
        <v>73.578999999999994</v>
      </c>
      <c r="W62">
        <v>545.548</v>
      </c>
      <c r="X62">
        <v>2058.9850000000001</v>
      </c>
      <c r="Y62">
        <v>435.26299999999998</v>
      </c>
      <c r="Z62">
        <v>1357.144</v>
      </c>
      <c r="AA62">
        <v>3851.3919999999998</v>
      </c>
      <c r="AB62" s="37">
        <v>7174.0609999999997</v>
      </c>
      <c r="AW62" s="40">
        <v>26.4</v>
      </c>
      <c r="AX62">
        <v>58.435000000000002</v>
      </c>
      <c r="AY62">
        <v>470</v>
      </c>
      <c r="AZ62">
        <v>554.83500000000004</v>
      </c>
      <c r="BA62">
        <v>0.59099999999999997</v>
      </c>
      <c r="BB62">
        <v>14.8</v>
      </c>
      <c r="BC62">
        <v>5.4260000000000002</v>
      </c>
      <c r="BD62" t="s">
        <v>122</v>
      </c>
      <c r="BE62">
        <v>72.903000000000006</v>
      </c>
      <c r="BF62">
        <v>34.213999999999999</v>
      </c>
      <c r="BG62">
        <v>2.13</v>
      </c>
      <c r="BH62">
        <v>109.247</v>
      </c>
      <c r="BI62" s="40">
        <v>130.06399999999999</v>
      </c>
      <c r="BJ62" s="41">
        <v>785.84400000000005</v>
      </c>
      <c r="BK62">
        <v>38.731999999999999</v>
      </c>
      <c r="BL62" t="s">
        <v>121</v>
      </c>
      <c r="BM62" t="s">
        <v>121</v>
      </c>
      <c r="BN62">
        <v>824.57600000000002</v>
      </c>
      <c r="BO62">
        <v>2494.0030000000002</v>
      </c>
      <c r="BP62">
        <v>146.233</v>
      </c>
      <c r="BQ62">
        <v>8.516</v>
      </c>
      <c r="BR62">
        <v>545.548</v>
      </c>
      <c r="BS62">
        <v>177.34800000000001</v>
      </c>
      <c r="BT62">
        <v>257.92599999999999</v>
      </c>
      <c r="BU62">
        <v>435.274</v>
      </c>
      <c r="BV62" s="41">
        <v>3629.5749999999998</v>
      </c>
      <c r="BW62">
        <v>1571539</v>
      </c>
      <c r="BX62">
        <v>77930</v>
      </c>
      <c r="BY62">
        <v>1444024</v>
      </c>
      <c r="BZ62">
        <v>146013</v>
      </c>
      <c r="CA62" s="42">
        <f t="shared" si="0"/>
        <v>66004.638000000006</v>
      </c>
      <c r="CB62" s="42">
        <f t="shared" si="0"/>
        <v>3273.06</v>
      </c>
      <c r="CC62" s="42">
        <f t="shared" si="0"/>
        <v>60649.008000000002</v>
      </c>
      <c r="CD62" s="36">
        <f t="shared" si="0"/>
        <v>6132.5460000000003</v>
      </c>
    </row>
    <row r="63" spans="1:84">
      <c r="A63" s="34">
        <v>2009</v>
      </c>
      <c r="B63" s="35">
        <v>66.722999999999999</v>
      </c>
      <c r="C63">
        <v>0.90900000000000003</v>
      </c>
      <c r="D63" s="36">
        <f t="shared" si="1"/>
        <v>1.1598361008520663E-4</v>
      </c>
      <c r="E63">
        <v>12281.071</v>
      </c>
      <c r="F63">
        <v>515.80499999999995</v>
      </c>
      <c r="G63">
        <v>65.813999999999993</v>
      </c>
      <c r="H63">
        <v>1905.877</v>
      </c>
      <c r="I63">
        <v>6546.0889999999999</v>
      </c>
      <c r="J63">
        <v>-4640.2120000000004</v>
      </c>
      <c r="K63">
        <v>711</v>
      </c>
      <c r="L63">
        <v>711</v>
      </c>
      <c r="M63">
        <v>7662.6670000000004</v>
      </c>
      <c r="N63">
        <v>321.83199999999999</v>
      </c>
      <c r="O63" s="35">
        <v>41.064</v>
      </c>
      <c r="P63" s="37">
        <v>1935.01</v>
      </c>
      <c r="Q63">
        <v>1569.92</v>
      </c>
      <c r="R63">
        <v>3956.6170000000002</v>
      </c>
      <c r="S63">
        <v>7624.0959999999995</v>
      </c>
      <c r="T63">
        <v>2668.8240000000001</v>
      </c>
      <c r="U63">
        <v>200.185</v>
      </c>
      <c r="V63">
        <v>77.340999999999994</v>
      </c>
      <c r="W63">
        <v>721.12900000000002</v>
      </c>
      <c r="X63">
        <v>1935.01</v>
      </c>
      <c r="Y63">
        <v>451.68700000000001</v>
      </c>
      <c r="Z63">
        <v>1553.3119999999999</v>
      </c>
      <c r="AA63">
        <v>3940.009</v>
      </c>
      <c r="AB63" s="37">
        <v>7607.4880000000003</v>
      </c>
      <c r="AW63" s="40">
        <v>32.799999999999997</v>
      </c>
      <c r="AX63">
        <v>59.822000000000003</v>
      </c>
      <c r="AY63">
        <v>504</v>
      </c>
      <c r="AZ63">
        <v>596.62199999999996</v>
      </c>
      <c r="BA63">
        <v>0.69199999999999995</v>
      </c>
      <c r="BB63">
        <v>16.7</v>
      </c>
      <c r="BC63">
        <v>7.2229999999999999</v>
      </c>
      <c r="BD63">
        <v>2E-3</v>
      </c>
      <c r="BE63">
        <v>72.594999999999999</v>
      </c>
      <c r="BF63">
        <v>36.354999999999997</v>
      </c>
      <c r="BG63">
        <v>2.8210000000000002</v>
      </c>
      <c r="BH63">
        <v>111.771</v>
      </c>
      <c r="BI63" s="40">
        <v>136.387</v>
      </c>
      <c r="BJ63" s="41">
        <v>893.9</v>
      </c>
      <c r="BK63">
        <v>41.064</v>
      </c>
      <c r="BL63" t="s">
        <v>121</v>
      </c>
      <c r="BM63" t="s">
        <v>121</v>
      </c>
      <c r="BN63">
        <v>934.96400000000006</v>
      </c>
      <c r="BO63">
        <v>2649.8980000000001</v>
      </c>
      <c r="BP63">
        <v>146.48500000000001</v>
      </c>
      <c r="BQ63">
        <v>8.6969999999999992</v>
      </c>
      <c r="BR63">
        <v>721.12699999999995</v>
      </c>
      <c r="BS63">
        <v>180.04599999999999</v>
      </c>
      <c r="BT63">
        <v>260.96600000000001</v>
      </c>
      <c r="BU63">
        <v>441.012</v>
      </c>
      <c r="BV63" s="41">
        <v>3967.2179999999998</v>
      </c>
      <c r="BW63">
        <v>1477534</v>
      </c>
      <c r="BX63">
        <v>82172</v>
      </c>
      <c r="BY63">
        <v>1325344</v>
      </c>
      <c r="BZ63">
        <v>165964</v>
      </c>
      <c r="CA63" s="42">
        <f t="shared" si="0"/>
        <v>62056.428</v>
      </c>
      <c r="CB63" s="42">
        <f t="shared" si="0"/>
        <v>3451.2240000000002</v>
      </c>
      <c r="CC63" s="42">
        <f t="shared" si="0"/>
        <v>55664.447999999997</v>
      </c>
      <c r="CD63" s="36">
        <f t="shared" si="0"/>
        <v>6970.4880000000003</v>
      </c>
    </row>
    <row r="64" spans="1:84">
      <c r="A64" s="34">
        <v>2010</v>
      </c>
      <c r="B64" s="35">
        <v>44.427</v>
      </c>
      <c r="C64">
        <v>0.60499999999999998</v>
      </c>
      <c r="D64" s="36">
        <f t="shared" si="1"/>
        <v>7.7195213207354897E-5</v>
      </c>
      <c r="E64">
        <v>8177.2640000000001</v>
      </c>
      <c r="F64">
        <v>343.44499999999999</v>
      </c>
      <c r="G64">
        <v>43.822000000000003</v>
      </c>
      <c r="H64">
        <v>563.95600000000002</v>
      </c>
      <c r="I64">
        <v>2587.9659999999999</v>
      </c>
      <c r="J64">
        <v>-2024.009</v>
      </c>
      <c r="K64">
        <v>672</v>
      </c>
      <c r="L64">
        <v>-39</v>
      </c>
      <c r="M64">
        <v>6192.2550000000001</v>
      </c>
      <c r="N64">
        <v>260.07499999999999</v>
      </c>
      <c r="O64" s="35">
        <v>33.183999999999997</v>
      </c>
      <c r="P64" s="37">
        <v>2216.7399999999998</v>
      </c>
      <c r="Q64">
        <v>1867.88</v>
      </c>
      <c r="R64">
        <v>4552.5320000000002</v>
      </c>
      <c r="S64">
        <v>8312.4860000000008</v>
      </c>
      <c r="T64">
        <v>2538.5410000000002</v>
      </c>
      <c r="U64">
        <v>207.97900000000001</v>
      </c>
      <c r="V64">
        <v>90.007000000000005</v>
      </c>
      <c r="W64">
        <v>923.42700000000002</v>
      </c>
      <c r="X64">
        <v>2216.7399999999998</v>
      </c>
      <c r="Y64">
        <v>467.91199999999998</v>
      </c>
      <c r="Z64">
        <v>1820.9770000000001</v>
      </c>
      <c r="AA64">
        <v>4505.6289999999999</v>
      </c>
      <c r="AB64" s="37">
        <v>8265.5830000000005</v>
      </c>
      <c r="AW64" s="40">
        <v>36.799999999999997</v>
      </c>
      <c r="AX64">
        <v>64.712999999999994</v>
      </c>
      <c r="AY64">
        <v>540.52599999999995</v>
      </c>
      <c r="AZ64">
        <v>642.03899999999999</v>
      </c>
      <c r="BA64">
        <v>0.78500000000000003</v>
      </c>
      <c r="BB64">
        <v>18.5</v>
      </c>
      <c r="BC64">
        <v>11.073</v>
      </c>
      <c r="BD64">
        <v>0.157</v>
      </c>
      <c r="BE64">
        <v>71.617000000000004</v>
      </c>
      <c r="BF64">
        <v>35.959000000000003</v>
      </c>
      <c r="BG64">
        <v>3.3069999999999999</v>
      </c>
      <c r="BH64">
        <v>110.883</v>
      </c>
      <c r="BI64" s="40">
        <v>141.39699999999999</v>
      </c>
      <c r="BJ64" s="41">
        <v>1041.3510000000001</v>
      </c>
      <c r="BK64">
        <v>33.183999999999997</v>
      </c>
      <c r="BL64" t="s">
        <v>121</v>
      </c>
      <c r="BM64" t="s">
        <v>121</v>
      </c>
      <c r="BN64">
        <v>1074.5360000000001</v>
      </c>
      <c r="BO64">
        <v>2521.4859999999999</v>
      </c>
      <c r="BP64">
        <v>148.47900000000001</v>
      </c>
      <c r="BQ64">
        <v>11.762</v>
      </c>
      <c r="BR64">
        <v>923.27099999999996</v>
      </c>
      <c r="BS64">
        <v>195.59700000000001</v>
      </c>
      <c r="BT64">
        <v>263.77499999999998</v>
      </c>
      <c r="BU64">
        <v>459.37200000000001</v>
      </c>
      <c r="BV64" s="41">
        <v>4064.3690000000001</v>
      </c>
      <c r="BW64">
        <v>1541503</v>
      </c>
      <c r="BX64">
        <v>83379</v>
      </c>
      <c r="BY64">
        <v>1387115</v>
      </c>
      <c r="BZ64">
        <v>164306</v>
      </c>
      <c r="CA64" s="42">
        <f t="shared" si="0"/>
        <v>64743.125999999997</v>
      </c>
      <c r="CB64" s="42">
        <f t="shared" si="0"/>
        <v>3501.9180000000001</v>
      </c>
      <c r="CC64" s="42">
        <f t="shared" si="0"/>
        <v>58258.83</v>
      </c>
      <c r="CD64" s="36">
        <f t="shared" si="0"/>
        <v>6900.8519999999999</v>
      </c>
    </row>
    <row r="65" spans="1:82">
      <c r="A65" s="34">
        <v>2011</v>
      </c>
      <c r="B65" s="35">
        <v>125.151</v>
      </c>
      <c r="C65">
        <v>1.7050000000000001</v>
      </c>
      <c r="D65" s="36">
        <f t="shared" si="1"/>
        <v>2.1754993638117961E-4</v>
      </c>
      <c r="E65">
        <v>23035.269</v>
      </c>
      <c r="F65">
        <v>967.48099999999999</v>
      </c>
      <c r="G65">
        <v>123.446</v>
      </c>
      <c r="H65">
        <v>890.37300000000005</v>
      </c>
      <c r="I65">
        <v>1798.6179999999999</v>
      </c>
      <c r="J65">
        <v>-908.245</v>
      </c>
      <c r="K65">
        <v>2004.6220000000001</v>
      </c>
      <c r="L65">
        <v>1027.721</v>
      </c>
      <c r="M65">
        <v>21099.303</v>
      </c>
      <c r="N65">
        <v>886.17100000000005</v>
      </c>
      <c r="O65" s="35">
        <v>113.071</v>
      </c>
      <c r="P65" s="37">
        <v>2213.2199999999998</v>
      </c>
      <c r="Q65">
        <v>2037.424</v>
      </c>
      <c r="R65">
        <v>4712.4359999999997</v>
      </c>
      <c r="S65">
        <v>9305.5889999999999</v>
      </c>
      <c r="T65">
        <v>3102.8519999999999</v>
      </c>
      <c r="U65">
        <v>212.31100000000001</v>
      </c>
      <c r="V65">
        <v>110.354</v>
      </c>
      <c r="W65">
        <v>1167.636</v>
      </c>
      <c r="X65">
        <v>2213.2199999999998</v>
      </c>
      <c r="Y65">
        <v>461.79300000000001</v>
      </c>
      <c r="Z65">
        <v>1941.48</v>
      </c>
      <c r="AA65">
        <v>4616.4930000000004</v>
      </c>
      <c r="AB65" s="37">
        <v>9209.6460000000006</v>
      </c>
      <c r="AC65" s="38">
        <v>1477.174</v>
      </c>
      <c r="AD65">
        <v>62.040999999999997</v>
      </c>
      <c r="AE65">
        <v>8.1159999999999997</v>
      </c>
      <c r="AG65">
        <v>7</v>
      </c>
      <c r="AH65">
        <v>7</v>
      </c>
      <c r="AI65">
        <v>1470.174</v>
      </c>
      <c r="AJ65">
        <v>61.747</v>
      </c>
      <c r="AK65" s="38">
        <v>8.077</v>
      </c>
      <c r="AW65" s="40">
        <v>39.6</v>
      </c>
      <c r="AX65">
        <v>70.793000000000006</v>
      </c>
      <c r="AY65">
        <v>524.26400000000001</v>
      </c>
      <c r="AZ65">
        <v>634.65700000000004</v>
      </c>
      <c r="BA65">
        <v>0.249</v>
      </c>
      <c r="BB65">
        <v>19.7</v>
      </c>
      <c r="BC65">
        <v>18.742999999999999</v>
      </c>
      <c r="BD65">
        <v>0.49399999999999999</v>
      </c>
      <c r="BE65">
        <v>69.159000000000006</v>
      </c>
      <c r="BF65">
        <v>42.542999999999999</v>
      </c>
      <c r="BG65">
        <v>2.899</v>
      </c>
      <c r="BH65">
        <v>114.601</v>
      </c>
      <c r="BI65" s="40">
        <v>153.78700000000001</v>
      </c>
      <c r="BJ65" s="41">
        <v>1044.999</v>
      </c>
      <c r="BK65">
        <v>113.071</v>
      </c>
      <c r="BL65">
        <v>8.077</v>
      </c>
      <c r="BM65" t="s">
        <v>121</v>
      </c>
      <c r="BN65">
        <v>1166.1469999999999</v>
      </c>
      <c r="BO65">
        <v>3085.127</v>
      </c>
      <c r="BP65">
        <v>148.81100000000001</v>
      </c>
      <c r="BQ65">
        <v>16.782</v>
      </c>
      <c r="BR65">
        <v>1167.0940000000001</v>
      </c>
      <c r="BS65">
        <v>182.15899999999999</v>
      </c>
      <c r="BT65">
        <v>254.56800000000001</v>
      </c>
      <c r="BU65">
        <v>436.72699999999998</v>
      </c>
      <c r="BV65" s="41">
        <v>4854.5410000000002</v>
      </c>
      <c r="BW65">
        <v>1639606</v>
      </c>
      <c r="BX65">
        <v>65234</v>
      </c>
      <c r="BY65">
        <v>1423082</v>
      </c>
      <c r="BZ65">
        <v>149212</v>
      </c>
      <c r="CA65" s="42">
        <f t="shared" si="0"/>
        <v>68863.452000000005</v>
      </c>
      <c r="CB65" s="42">
        <f t="shared" si="0"/>
        <v>2739.828</v>
      </c>
      <c r="CC65" s="42">
        <f t="shared" si="0"/>
        <v>59769.444000000003</v>
      </c>
      <c r="CD65" s="36">
        <f t="shared" si="0"/>
        <v>6266.9040000000005</v>
      </c>
    </row>
    <row r="66" spans="1:82">
      <c r="A66" s="34">
        <v>2012</v>
      </c>
      <c r="B66" s="35">
        <v>128.15600000000001</v>
      </c>
      <c r="C66">
        <v>1.746</v>
      </c>
      <c r="D66" s="36">
        <f t="shared" si="1"/>
        <v>2.2278127526594534E-4</v>
      </c>
      <c r="E66">
        <v>23588.36</v>
      </c>
      <c r="F66">
        <v>990.71100000000001</v>
      </c>
      <c r="G66">
        <v>126.41</v>
      </c>
      <c r="H66">
        <v>853</v>
      </c>
      <c r="I66">
        <v>3055.7620000000002</v>
      </c>
      <c r="J66">
        <v>-2202.7620000000002</v>
      </c>
      <c r="K66">
        <v>1984.356</v>
      </c>
      <c r="L66">
        <v>-20.265999999999998</v>
      </c>
      <c r="M66">
        <v>21405.864000000001</v>
      </c>
      <c r="N66">
        <v>899.04600000000005</v>
      </c>
      <c r="O66" s="35">
        <v>114.714</v>
      </c>
      <c r="P66" s="37">
        <v>2151.2130000000002</v>
      </c>
      <c r="Q66">
        <v>1935.741</v>
      </c>
      <c r="R66">
        <v>4553.5590000000002</v>
      </c>
      <c r="S66">
        <v>8889.5020000000004</v>
      </c>
      <c r="T66">
        <v>2628.7020000000002</v>
      </c>
      <c r="U66">
        <v>211.59200000000001</v>
      </c>
      <c r="V66">
        <v>155.59</v>
      </c>
      <c r="W66">
        <v>1340.059</v>
      </c>
      <c r="X66">
        <v>2151.2130000000002</v>
      </c>
      <c r="Y66">
        <v>466.60399999999998</v>
      </c>
      <c r="Z66">
        <v>1899.134</v>
      </c>
      <c r="AA66">
        <v>4516.951</v>
      </c>
      <c r="AB66" s="37">
        <v>8852.8950000000004</v>
      </c>
      <c r="AC66" s="38">
        <v>1247.645</v>
      </c>
      <c r="AD66">
        <v>52.401000000000003</v>
      </c>
      <c r="AE66">
        <v>6.8550000000000004</v>
      </c>
      <c r="AF66">
        <v>605</v>
      </c>
      <c r="AG66">
        <v>94</v>
      </c>
      <c r="AH66">
        <v>87</v>
      </c>
      <c r="AI66">
        <v>1765.645</v>
      </c>
      <c r="AJ66">
        <v>74.156999999999996</v>
      </c>
      <c r="AK66" s="38">
        <v>9.6999999999999993</v>
      </c>
      <c r="AW66" s="40">
        <v>39.6</v>
      </c>
      <c r="AX66">
        <v>78.838999999999999</v>
      </c>
      <c r="AY66">
        <v>438.09500000000003</v>
      </c>
      <c r="AZ66">
        <v>556.53300000000002</v>
      </c>
      <c r="BA66">
        <v>0.26200000000000001</v>
      </c>
      <c r="BB66">
        <v>19.7</v>
      </c>
      <c r="BC66">
        <v>30.541</v>
      </c>
      <c r="BD66">
        <v>0.51300000000000001</v>
      </c>
      <c r="BE66">
        <v>60.683</v>
      </c>
      <c r="BF66">
        <v>45.247</v>
      </c>
      <c r="BG66">
        <v>2.5529999999999999</v>
      </c>
      <c r="BH66">
        <v>108.483</v>
      </c>
      <c r="BI66" s="40">
        <v>159.499</v>
      </c>
      <c r="BJ66" s="41">
        <v>1044.606</v>
      </c>
      <c r="BK66">
        <v>114.714</v>
      </c>
      <c r="BL66">
        <v>9.6999999999999993</v>
      </c>
      <c r="BM66" t="s">
        <v>121</v>
      </c>
      <c r="BN66">
        <v>1169.02</v>
      </c>
      <c r="BO66">
        <v>2606.047</v>
      </c>
      <c r="BP66">
        <v>148.09200000000001</v>
      </c>
      <c r="BQ66">
        <v>39.625</v>
      </c>
      <c r="BR66">
        <v>1339.365</v>
      </c>
      <c r="BS66">
        <v>190.191</v>
      </c>
      <c r="BT66">
        <v>262.45299999999997</v>
      </c>
      <c r="BU66">
        <v>452.64400000000001</v>
      </c>
      <c r="BV66" s="41">
        <v>4585.7730000000001</v>
      </c>
      <c r="BW66">
        <v>1665256</v>
      </c>
      <c r="BX66">
        <v>46179</v>
      </c>
      <c r="BY66">
        <v>1369358</v>
      </c>
      <c r="BZ66">
        <v>134809</v>
      </c>
      <c r="CA66" s="42">
        <f t="shared" si="0"/>
        <v>69940.751999999993</v>
      </c>
      <c r="CB66" s="42">
        <f t="shared" si="0"/>
        <v>1939.518</v>
      </c>
      <c r="CC66" s="42">
        <f t="shared" si="0"/>
        <v>57513.036</v>
      </c>
      <c r="CD66" s="36">
        <f t="shared" si="0"/>
        <v>5661.9780000000001</v>
      </c>
    </row>
    <row r="67" spans="1:82">
      <c r="A67" s="34">
        <v>2013</v>
      </c>
      <c r="B67" s="35">
        <v>175.85499999999999</v>
      </c>
      <c r="C67">
        <v>2.395</v>
      </c>
      <c r="D67" s="36">
        <f t="shared" si="1"/>
        <v>3.055903979238755E-4</v>
      </c>
      <c r="E67">
        <v>32368.005000000001</v>
      </c>
      <c r="F67">
        <v>1359.4559999999999</v>
      </c>
      <c r="G67">
        <v>173.46</v>
      </c>
      <c r="H67">
        <v>8152</v>
      </c>
      <c r="I67">
        <v>4674.6570000000002</v>
      </c>
      <c r="J67">
        <v>3477.3429999999998</v>
      </c>
      <c r="K67">
        <v>3809.7089999999998</v>
      </c>
      <c r="L67">
        <v>1825.354</v>
      </c>
      <c r="M67">
        <v>34019.993999999999</v>
      </c>
      <c r="N67">
        <v>1428.84</v>
      </c>
      <c r="O67" s="35">
        <v>182.31299999999999</v>
      </c>
      <c r="P67" s="37">
        <v>2338.2559999999999</v>
      </c>
      <c r="Q67">
        <v>2000.104</v>
      </c>
      <c r="R67">
        <v>4834.7950000000001</v>
      </c>
      <c r="S67">
        <v>9438.0280000000002</v>
      </c>
      <c r="T67">
        <v>2562.3820000000001</v>
      </c>
      <c r="U67">
        <v>214.006</v>
      </c>
      <c r="V67">
        <v>225.48599999999999</v>
      </c>
      <c r="W67">
        <v>1601.3589999999999</v>
      </c>
      <c r="X67">
        <v>2338.2559999999999</v>
      </c>
      <c r="Y67">
        <v>496.43599999999998</v>
      </c>
      <c r="Z67">
        <v>2026.3440000000001</v>
      </c>
      <c r="AA67">
        <v>4861.0349999999999</v>
      </c>
      <c r="AB67" s="37">
        <v>9464.2690000000002</v>
      </c>
      <c r="AC67" s="38">
        <v>2697.2820000000002</v>
      </c>
      <c r="AD67">
        <v>113.286</v>
      </c>
      <c r="AE67">
        <v>14.819000000000001</v>
      </c>
      <c r="AF67">
        <v>4921</v>
      </c>
      <c r="AG67">
        <v>691</v>
      </c>
      <c r="AH67">
        <v>597</v>
      </c>
      <c r="AI67">
        <v>7021.2820000000002</v>
      </c>
      <c r="AJ67">
        <v>294.89400000000001</v>
      </c>
      <c r="AK67" s="38">
        <v>38.575000000000003</v>
      </c>
      <c r="AW67" s="40">
        <v>39.6</v>
      </c>
      <c r="AX67">
        <v>91.421999999999997</v>
      </c>
      <c r="AY67">
        <v>571.65499999999997</v>
      </c>
      <c r="AZ67">
        <v>702.67700000000002</v>
      </c>
      <c r="BA67">
        <v>0.41899999999999998</v>
      </c>
      <c r="BB67">
        <v>19.7</v>
      </c>
      <c r="BC67">
        <v>41.982999999999997</v>
      </c>
      <c r="BD67">
        <v>0.57999999999999996</v>
      </c>
      <c r="BE67">
        <v>70.164000000000001</v>
      </c>
      <c r="BF67">
        <v>47.076000000000001</v>
      </c>
      <c r="BG67">
        <v>2.6659999999999999</v>
      </c>
      <c r="BH67">
        <v>119.90600000000001</v>
      </c>
      <c r="BI67" s="40">
        <v>182.58799999999999</v>
      </c>
      <c r="BJ67" s="41">
        <v>1071.607</v>
      </c>
      <c r="BK67">
        <v>182.31299999999999</v>
      </c>
      <c r="BL67">
        <v>38.575000000000003</v>
      </c>
      <c r="BM67" t="s">
        <v>121</v>
      </c>
      <c r="BN67">
        <v>1292.4949999999999</v>
      </c>
      <c r="BO67">
        <v>2528.9229999999998</v>
      </c>
      <c r="BP67">
        <v>150.506</v>
      </c>
      <c r="BQ67">
        <v>83.24</v>
      </c>
      <c r="BR67">
        <v>1600.424</v>
      </c>
      <c r="BS67">
        <v>207.42599999999999</v>
      </c>
      <c r="BT67">
        <v>262.185</v>
      </c>
      <c r="BU67">
        <v>469.61099999999999</v>
      </c>
      <c r="BV67" s="41">
        <v>4832.7039999999997</v>
      </c>
      <c r="BW67">
        <v>1727493</v>
      </c>
      <c r="BX67">
        <v>56465</v>
      </c>
      <c r="BY67">
        <v>1397025</v>
      </c>
      <c r="BZ67">
        <v>127543</v>
      </c>
      <c r="CA67" s="42">
        <f t="shared" si="0"/>
        <v>72554.706000000006</v>
      </c>
      <c r="CB67" s="42">
        <f t="shared" si="0"/>
        <v>2371.5300000000002</v>
      </c>
      <c r="CC67" s="42">
        <f t="shared" si="0"/>
        <v>58675.05</v>
      </c>
      <c r="CD67" s="36">
        <f t="shared" ref="CD67:CD77" si="2">BZ67*42/1000</f>
        <v>5356.8059999999996</v>
      </c>
    </row>
    <row r="68" spans="1:82">
      <c r="A68" s="34">
        <v>2014</v>
      </c>
      <c r="B68" s="35">
        <v>165.44499999999999</v>
      </c>
      <c r="C68">
        <v>2.2530000000000001</v>
      </c>
      <c r="D68" s="36">
        <f t="shared" si="1"/>
        <v>2.8747272316433656E-4</v>
      </c>
      <c r="E68">
        <v>30451.874</v>
      </c>
      <c r="F68">
        <v>1278.979</v>
      </c>
      <c r="G68">
        <v>163.19200000000001</v>
      </c>
      <c r="H68">
        <v>4578</v>
      </c>
      <c r="I68">
        <v>1974.269</v>
      </c>
      <c r="J68">
        <v>2603.7310000000002</v>
      </c>
      <c r="K68">
        <v>3130.6190000000001</v>
      </c>
      <c r="L68">
        <v>-679.09100000000001</v>
      </c>
      <c r="M68">
        <v>33734.696000000004</v>
      </c>
      <c r="N68">
        <v>1416.857</v>
      </c>
      <c r="O68" s="35">
        <v>180.78399999999999</v>
      </c>
      <c r="P68" s="37">
        <v>2401.078</v>
      </c>
      <c r="Q68">
        <v>2135.145</v>
      </c>
      <c r="R68">
        <v>5052.1000000000004</v>
      </c>
      <c r="S68">
        <v>9797.6489999999994</v>
      </c>
      <c r="T68">
        <v>2466.317</v>
      </c>
      <c r="U68">
        <v>214.47399999999999</v>
      </c>
      <c r="V68">
        <v>337.39699999999999</v>
      </c>
      <c r="W68">
        <v>1727.36</v>
      </c>
      <c r="X68">
        <v>2401.078</v>
      </c>
      <c r="Y68">
        <v>515.87699999999995</v>
      </c>
      <c r="Z68">
        <v>2098.567</v>
      </c>
      <c r="AA68">
        <v>5015.5219999999999</v>
      </c>
      <c r="AB68" s="37">
        <v>9761.0709999999999</v>
      </c>
      <c r="AC68" s="38">
        <v>3789.076</v>
      </c>
      <c r="AD68">
        <v>159.14099999999999</v>
      </c>
      <c r="AE68">
        <v>20.817</v>
      </c>
      <c r="AF68">
        <v>2873</v>
      </c>
      <c r="AG68">
        <v>350</v>
      </c>
      <c r="AH68">
        <v>-341</v>
      </c>
      <c r="AI68">
        <v>7003.076</v>
      </c>
      <c r="AJ68">
        <v>294.12900000000002</v>
      </c>
      <c r="AK68" s="38">
        <v>38.475000000000001</v>
      </c>
      <c r="AN68">
        <v>290.47000000000003</v>
      </c>
      <c r="AO68">
        <v>12.2</v>
      </c>
      <c r="AP68">
        <v>1.5569999999999999</v>
      </c>
      <c r="AR68">
        <v>7</v>
      </c>
      <c r="AS68">
        <v>2</v>
      </c>
      <c r="AT68">
        <v>288.47000000000003</v>
      </c>
      <c r="AU68">
        <v>12.116</v>
      </c>
      <c r="AV68" s="39">
        <v>1.546</v>
      </c>
      <c r="AW68" s="40">
        <v>39.6</v>
      </c>
      <c r="AX68">
        <v>109.408</v>
      </c>
      <c r="AY68">
        <v>578.53499999999997</v>
      </c>
      <c r="AZ68">
        <v>727.54300000000001</v>
      </c>
      <c r="BA68">
        <v>0.36499999999999999</v>
      </c>
      <c r="BB68">
        <v>19.7</v>
      </c>
      <c r="BC68">
        <v>52.454000000000001</v>
      </c>
      <c r="BD68">
        <v>1.0129999999999999</v>
      </c>
      <c r="BE68">
        <v>76.289000000000001</v>
      </c>
      <c r="BF68">
        <v>46.963000000000001</v>
      </c>
      <c r="BG68">
        <v>3.6309999999999998</v>
      </c>
      <c r="BH68">
        <v>126.883</v>
      </c>
      <c r="BI68" s="40">
        <v>200.41499999999999</v>
      </c>
      <c r="BJ68" s="41">
        <v>1093.489</v>
      </c>
      <c r="BK68">
        <v>180.78399999999999</v>
      </c>
      <c r="BL68">
        <v>38.475000000000001</v>
      </c>
      <c r="BM68">
        <v>1.546</v>
      </c>
      <c r="BN68">
        <v>1314.2940000000001</v>
      </c>
      <c r="BO68">
        <v>2453.761</v>
      </c>
      <c r="BP68">
        <v>150.97399999999999</v>
      </c>
      <c r="BQ68">
        <v>164.54499999999999</v>
      </c>
      <c r="BR68">
        <v>1725.845</v>
      </c>
      <c r="BS68">
        <v>251.25299999999999</v>
      </c>
      <c r="BT68">
        <v>278.89</v>
      </c>
      <c r="BU68">
        <v>530.14300000000003</v>
      </c>
      <c r="BV68" s="41">
        <v>5025.268</v>
      </c>
      <c r="BW68">
        <v>1794433</v>
      </c>
      <c r="BX68">
        <v>71050</v>
      </c>
      <c r="BY68">
        <v>1473595</v>
      </c>
      <c r="BZ68">
        <v>136286</v>
      </c>
      <c r="CA68" s="42">
        <f t="shared" ref="CA68:CC77" si="3">BW68*42/1000</f>
        <v>75366.186000000002</v>
      </c>
      <c r="CB68" s="42">
        <f t="shared" si="3"/>
        <v>2984.1</v>
      </c>
      <c r="CC68" s="42">
        <f t="shared" si="3"/>
        <v>61890.99</v>
      </c>
      <c r="CD68" s="36">
        <f t="shared" si="2"/>
        <v>5724.0119999999997</v>
      </c>
    </row>
    <row r="69" spans="1:82">
      <c r="A69" s="34">
        <v>2015</v>
      </c>
      <c r="B69" s="35">
        <v>163.423</v>
      </c>
      <c r="C69">
        <v>2.226</v>
      </c>
      <c r="D69" s="36">
        <f t="shared" si="1"/>
        <v>2.8402689205736823E-4</v>
      </c>
      <c r="E69">
        <v>30079.687999999998</v>
      </c>
      <c r="F69">
        <v>1263.347</v>
      </c>
      <c r="G69">
        <v>161.197</v>
      </c>
      <c r="H69">
        <v>8399</v>
      </c>
      <c r="I69">
        <v>2090.7570000000001</v>
      </c>
      <c r="J69">
        <v>6308.2430000000004</v>
      </c>
      <c r="K69">
        <v>3943.299</v>
      </c>
      <c r="L69">
        <v>812.68100000000004</v>
      </c>
      <c r="M69">
        <v>35575.25</v>
      </c>
      <c r="N69">
        <v>1494.1610000000001</v>
      </c>
      <c r="O69" s="35">
        <v>190.648</v>
      </c>
      <c r="P69" s="37">
        <v>2311.768</v>
      </c>
      <c r="Q69">
        <v>2201.2089999999998</v>
      </c>
      <c r="R69">
        <v>5031.3490000000002</v>
      </c>
      <c r="S69">
        <v>6845.9269999999997</v>
      </c>
      <c r="T69">
        <v>849.86099999999999</v>
      </c>
      <c r="U69">
        <v>117.81100000000001</v>
      </c>
      <c r="V69">
        <v>196.17500000000001</v>
      </c>
      <c r="W69">
        <v>650.73199999999997</v>
      </c>
      <c r="X69">
        <v>2311.768</v>
      </c>
      <c r="Y69">
        <v>518.37099999999998</v>
      </c>
      <c r="Z69">
        <v>2184.748</v>
      </c>
      <c r="AA69">
        <v>5014.8869999999997</v>
      </c>
      <c r="AB69" s="37">
        <v>6829.4650000000001</v>
      </c>
      <c r="AC69" s="38">
        <v>4210.6580000000004</v>
      </c>
      <c r="AD69">
        <v>176.84800000000001</v>
      </c>
      <c r="AE69">
        <v>23.132999999999999</v>
      </c>
      <c r="AF69">
        <v>4874</v>
      </c>
      <c r="AG69">
        <v>634</v>
      </c>
      <c r="AH69">
        <v>284</v>
      </c>
      <c r="AI69">
        <v>8800.6579999999994</v>
      </c>
      <c r="AJ69">
        <v>369.62799999999999</v>
      </c>
      <c r="AK69" s="38">
        <v>48.350999999999999</v>
      </c>
      <c r="AN69">
        <v>393.37400000000002</v>
      </c>
      <c r="AO69">
        <v>16.521999999999998</v>
      </c>
      <c r="AP69">
        <v>2.1080000000000001</v>
      </c>
      <c r="AR69">
        <v>4</v>
      </c>
      <c r="AS69">
        <v>-3</v>
      </c>
      <c r="AT69">
        <v>396.37400000000002</v>
      </c>
      <c r="AU69">
        <v>16.648</v>
      </c>
      <c r="AV69" s="39">
        <v>2.1240000000000001</v>
      </c>
      <c r="AW69" s="40">
        <v>39.6</v>
      </c>
      <c r="AX69">
        <v>128.18100000000001</v>
      </c>
      <c r="AY69">
        <v>512.73599999999999</v>
      </c>
      <c r="AZ69">
        <v>680.51700000000005</v>
      </c>
      <c r="BA69">
        <v>0.32500000000000001</v>
      </c>
      <c r="BB69">
        <v>19.7</v>
      </c>
      <c r="BC69">
        <v>56.868000000000002</v>
      </c>
      <c r="BD69">
        <v>1.103</v>
      </c>
      <c r="BE69">
        <v>79.287999999999997</v>
      </c>
      <c r="BF69">
        <v>47.029000000000003</v>
      </c>
      <c r="BG69">
        <v>25.588000000000001</v>
      </c>
      <c r="BH69">
        <v>151.905</v>
      </c>
      <c r="BI69" s="40">
        <v>229.90100000000001</v>
      </c>
      <c r="BJ69" s="41">
        <v>1109.915</v>
      </c>
      <c r="BK69">
        <v>190.648</v>
      </c>
      <c r="BL69">
        <v>48.350999999999999</v>
      </c>
      <c r="BM69">
        <v>2.1240000000000001</v>
      </c>
      <c r="BN69">
        <v>1351.038</v>
      </c>
      <c r="BO69">
        <v>2306.4789999999998</v>
      </c>
      <c r="BP69">
        <v>148.256</v>
      </c>
      <c r="BQ69">
        <v>227.779</v>
      </c>
      <c r="BR69">
        <v>1774.7529999999999</v>
      </c>
      <c r="BS69">
        <v>243.857</v>
      </c>
      <c r="BT69">
        <v>281.02199999999999</v>
      </c>
      <c r="BU69">
        <v>524.87900000000002</v>
      </c>
      <c r="BV69" s="41">
        <v>4982.1450000000004</v>
      </c>
      <c r="BW69">
        <v>1818780</v>
      </c>
      <c r="BX69">
        <v>73178</v>
      </c>
      <c r="BY69">
        <v>1458262</v>
      </c>
      <c r="BZ69">
        <v>161326</v>
      </c>
      <c r="CA69" s="42">
        <f t="shared" si="3"/>
        <v>76388.759999999995</v>
      </c>
      <c r="CB69" s="42">
        <f t="shared" si="3"/>
        <v>3073.4760000000001</v>
      </c>
      <c r="CC69" s="42">
        <f t="shared" si="3"/>
        <v>61247.004000000001</v>
      </c>
      <c r="CD69" s="36">
        <f t="shared" si="2"/>
        <v>6775.692</v>
      </c>
    </row>
    <row r="70" spans="1:82">
      <c r="A70" s="34">
        <v>2016</v>
      </c>
      <c r="B70" s="35">
        <v>202.797</v>
      </c>
      <c r="C70">
        <v>2.762</v>
      </c>
      <c r="D70" s="36">
        <f t="shared" si="1"/>
        <v>3.5241825441880938E-4</v>
      </c>
      <c r="E70">
        <v>37326.894</v>
      </c>
      <c r="F70">
        <v>1567.73</v>
      </c>
      <c r="G70">
        <v>200.035</v>
      </c>
      <c r="H70">
        <v>16879</v>
      </c>
      <c r="I70">
        <v>2098.1869999999999</v>
      </c>
      <c r="J70">
        <v>14780.813</v>
      </c>
      <c r="K70">
        <v>6397.74</v>
      </c>
      <c r="L70">
        <v>2454.44</v>
      </c>
      <c r="M70">
        <v>49653.267</v>
      </c>
      <c r="N70">
        <v>2085.4369999999999</v>
      </c>
      <c r="O70" s="35">
        <v>266.09199999999998</v>
      </c>
      <c r="P70" s="37">
        <v>2299.14</v>
      </c>
      <c r="Q70">
        <v>2329.3980000000001</v>
      </c>
      <c r="R70">
        <v>5131.7569999999996</v>
      </c>
      <c r="S70">
        <v>7188.4170000000004</v>
      </c>
      <c r="T70">
        <v>913.77499999999998</v>
      </c>
      <c r="U70">
        <v>117.498</v>
      </c>
      <c r="V70">
        <v>250.88800000000001</v>
      </c>
      <c r="W70">
        <v>774.49900000000002</v>
      </c>
      <c r="X70">
        <v>2226.5650000000001</v>
      </c>
      <c r="Y70">
        <v>503.21899999999999</v>
      </c>
      <c r="Z70">
        <v>2333.27</v>
      </c>
      <c r="AA70">
        <v>5063.0540000000001</v>
      </c>
      <c r="AB70" s="37">
        <v>7119.7129999999997</v>
      </c>
      <c r="AC70" s="38">
        <v>5749.701</v>
      </c>
      <c r="AD70">
        <v>241.48699999999999</v>
      </c>
      <c r="AE70">
        <v>31.588999999999999</v>
      </c>
      <c r="AF70">
        <v>5304</v>
      </c>
      <c r="AG70">
        <v>1315</v>
      </c>
      <c r="AH70">
        <v>681</v>
      </c>
      <c r="AI70">
        <v>10372.700999999999</v>
      </c>
      <c r="AJ70">
        <v>435.65300000000002</v>
      </c>
      <c r="AK70" s="38">
        <v>56.988</v>
      </c>
      <c r="AN70">
        <v>503.46899999999999</v>
      </c>
      <c r="AO70">
        <v>21.146000000000001</v>
      </c>
      <c r="AP70">
        <v>2.698</v>
      </c>
      <c r="AR70">
        <v>43</v>
      </c>
      <c r="AS70">
        <v>39</v>
      </c>
      <c r="AT70">
        <v>464.46899999999999</v>
      </c>
      <c r="AU70">
        <v>19.507999999999999</v>
      </c>
      <c r="AV70" s="39">
        <v>2.4889999999999999</v>
      </c>
      <c r="AW70" s="40">
        <v>39.6</v>
      </c>
      <c r="AX70">
        <v>161.45400000000001</v>
      </c>
      <c r="AY70">
        <v>444.642</v>
      </c>
      <c r="AZ70">
        <v>645.69500000000005</v>
      </c>
      <c r="BA70">
        <v>2.0030000000000001</v>
      </c>
      <c r="BB70">
        <v>19.7</v>
      </c>
      <c r="BC70">
        <v>61.707999999999998</v>
      </c>
      <c r="BD70">
        <v>1.2130000000000001</v>
      </c>
      <c r="BE70">
        <v>83.74</v>
      </c>
      <c r="BF70">
        <v>48.131</v>
      </c>
      <c r="BG70">
        <v>25.797999999999998</v>
      </c>
      <c r="BH70">
        <v>157.66999999999999</v>
      </c>
      <c r="BI70" s="40">
        <v>242.29400000000001</v>
      </c>
      <c r="BJ70" s="41">
        <v>1143.0429999999999</v>
      </c>
      <c r="BK70">
        <v>266.09199999999998</v>
      </c>
      <c r="BL70">
        <v>56.988</v>
      </c>
      <c r="BM70">
        <v>2.4889999999999999</v>
      </c>
      <c r="BN70">
        <v>1468.6120000000001</v>
      </c>
      <c r="BO70">
        <v>2457.6559999999999</v>
      </c>
      <c r="BP70">
        <v>146.041</v>
      </c>
      <c r="BQ70">
        <v>327.57</v>
      </c>
      <c r="BR70">
        <v>2092.8209999999999</v>
      </c>
      <c r="BS70">
        <v>224.40700000000001</v>
      </c>
      <c r="BT70">
        <v>280.66199999999998</v>
      </c>
      <c r="BU70">
        <v>505.06900000000002</v>
      </c>
      <c r="BV70" s="41">
        <v>5529.1559999999999</v>
      </c>
      <c r="BW70">
        <v>1769335</v>
      </c>
      <c r="BX70">
        <v>53642</v>
      </c>
      <c r="BY70">
        <v>1419074</v>
      </c>
      <c r="BZ70">
        <v>166095</v>
      </c>
      <c r="CA70" s="42">
        <f t="shared" si="3"/>
        <v>74312.070000000007</v>
      </c>
      <c r="CB70" s="42">
        <f t="shared" si="3"/>
        <v>2252.9639999999999</v>
      </c>
      <c r="CC70" s="42">
        <f t="shared" si="3"/>
        <v>59601.108</v>
      </c>
      <c r="CD70" s="36">
        <f t="shared" si="2"/>
        <v>6975.99</v>
      </c>
    </row>
    <row r="71" spans="1:82">
      <c r="A71" s="34">
        <v>2017</v>
      </c>
      <c r="B71" s="35">
        <v>206.416</v>
      </c>
      <c r="C71">
        <v>2.8109999999999999</v>
      </c>
      <c r="D71" s="36">
        <f t="shared" si="1"/>
        <v>3.5867044367112047E-4</v>
      </c>
      <c r="E71">
        <v>37993.065000000002</v>
      </c>
      <c r="F71">
        <v>1595.7090000000001</v>
      </c>
      <c r="G71">
        <v>203.60499999999999</v>
      </c>
      <c r="H71">
        <v>9374</v>
      </c>
      <c r="I71">
        <v>2228.2489999999998</v>
      </c>
      <c r="J71">
        <v>7145.7510000000002</v>
      </c>
      <c r="K71">
        <v>4267.9489999999996</v>
      </c>
      <c r="L71">
        <v>-2129.7930000000001</v>
      </c>
      <c r="M71">
        <v>47268.608999999997</v>
      </c>
      <c r="N71">
        <v>1985.2819999999999</v>
      </c>
      <c r="O71" s="35">
        <v>253.31200000000001</v>
      </c>
      <c r="P71" s="37">
        <v>2263.5830000000001</v>
      </c>
      <c r="Q71">
        <v>2406.87</v>
      </c>
      <c r="R71">
        <v>5165.7129999999997</v>
      </c>
      <c r="S71">
        <v>7504.5950000000003</v>
      </c>
      <c r="T71">
        <v>1024.7360000000001</v>
      </c>
      <c r="U71">
        <v>117.842</v>
      </c>
      <c r="V71">
        <v>328.62299999999999</v>
      </c>
      <c r="W71">
        <v>867.68100000000004</v>
      </c>
      <c r="X71">
        <v>2184.9569999999999</v>
      </c>
      <c r="Y71">
        <v>495.26</v>
      </c>
      <c r="Z71">
        <v>2364.3820000000001</v>
      </c>
      <c r="AA71">
        <v>5044.598</v>
      </c>
      <c r="AB71" s="37">
        <v>7383.48</v>
      </c>
      <c r="AC71" s="38">
        <v>6151.0029999999997</v>
      </c>
      <c r="AD71">
        <v>258.34199999999998</v>
      </c>
      <c r="AE71">
        <v>33.793999999999997</v>
      </c>
      <c r="AF71">
        <v>4509</v>
      </c>
      <c r="AG71">
        <v>753</v>
      </c>
      <c r="AH71">
        <v>-562</v>
      </c>
      <c r="AI71">
        <v>11222.003000000001</v>
      </c>
      <c r="AJ71">
        <v>471.32400000000001</v>
      </c>
      <c r="AK71" s="38">
        <v>61.654000000000003</v>
      </c>
      <c r="AN71">
        <v>570.32399999999996</v>
      </c>
      <c r="AO71">
        <v>23.954000000000001</v>
      </c>
      <c r="AP71">
        <v>3.056</v>
      </c>
      <c r="AR71">
        <v>28</v>
      </c>
      <c r="AS71">
        <v>-15</v>
      </c>
      <c r="AT71">
        <v>585.32399999999996</v>
      </c>
      <c r="AU71">
        <v>24.584</v>
      </c>
      <c r="AV71" s="39">
        <v>3.137</v>
      </c>
      <c r="AW71" s="40">
        <v>39.6</v>
      </c>
      <c r="AX71">
        <v>193.328</v>
      </c>
      <c r="AY71">
        <v>429.57900000000001</v>
      </c>
      <c r="AZ71">
        <v>662.50599999999997</v>
      </c>
      <c r="BA71">
        <v>2.2069999999999999</v>
      </c>
      <c r="BB71">
        <v>19.7</v>
      </c>
      <c r="BC71">
        <v>75.558999999999997</v>
      </c>
      <c r="BD71">
        <v>1.3280000000000001</v>
      </c>
      <c r="BE71">
        <v>83.73</v>
      </c>
      <c r="BF71">
        <v>47.506</v>
      </c>
      <c r="BG71">
        <v>25.15</v>
      </c>
      <c r="BH71">
        <v>156.386</v>
      </c>
      <c r="BI71" s="40">
        <v>255.18</v>
      </c>
      <c r="BJ71" s="41">
        <v>1155.55</v>
      </c>
      <c r="BK71">
        <v>253.31200000000001</v>
      </c>
      <c r="BL71">
        <v>61.654000000000003</v>
      </c>
      <c r="BM71">
        <v>3.137</v>
      </c>
      <c r="BN71">
        <v>1473.653</v>
      </c>
      <c r="BO71">
        <v>2750.53</v>
      </c>
      <c r="BP71">
        <v>146.654</v>
      </c>
      <c r="BQ71">
        <v>485.47800000000001</v>
      </c>
      <c r="BR71">
        <v>2339.5140000000001</v>
      </c>
      <c r="BS71">
        <v>229.32400000000001</v>
      </c>
      <c r="BT71">
        <v>280.21699999999998</v>
      </c>
      <c r="BU71">
        <v>509.541</v>
      </c>
      <c r="BV71" s="41">
        <v>6231.7169999999996</v>
      </c>
      <c r="BW71">
        <v>1833879</v>
      </c>
      <c r="BX71">
        <v>54975</v>
      </c>
      <c r="BY71">
        <v>1435249</v>
      </c>
      <c r="BZ71">
        <v>145638</v>
      </c>
      <c r="CA71" s="42">
        <f t="shared" si="3"/>
        <v>77022.918000000005</v>
      </c>
      <c r="CB71" s="42">
        <f t="shared" si="3"/>
        <v>2308.9499999999998</v>
      </c>
      <c r="CC71" s="42">
        <f t="shared" si="3"/>
        <v>60280.457999999999</v>
      </c>
      <c r="CD71" s="36">
        <f t="shared" si="2"/>
        <v>6116.7960000000003</v>
      </c>
    </row>
    <row r="72" spans="1:82">
      <c r="A72" s="34">
        <v>2018</v>
      </c>
      <c r="B72" s="35">
        <v>240.25700000000001</v>
      </c>
      <c r="C72">
        <v>3.2719999999999998</v>
      </c>
      <c r="D72" s="36">
        <f t="shared" si="1"/>
        <v>4.1749151330493033E-4</v>
      </c>
      <c r="E72">
        <v>44221.87</v>
      </c>
      <c r="F72">
        <v>1857.319</v>
      </c>
      <c r="G72">
        <v>236.98500000000001</v>
      </c>
      <c r="H72">
        <v>3969</v>
      </c>
      <c r="I72">
        <v>2470.2950000000001</v>
      </c>
      <c r="J72">
        <v>1498.7049999999999</v>
      </c>
      <c r="K72">
        <v>4662.2169999999996</v>
      </c>
      <c r="L72">
        <v>394.26600000000002</v>
      </c>
      <c r="M72">
        <v>45326.309000000001</v>
      </c>
      <c r="N72">
        <v>1903.7049999999999</v>
      </c>
      <c r="O72" s="35">
        <v>242.904</v>
      </c>
      <c r="P72" s="37">
        <v>2356.0540000000001</v>
      </c>
      <c r="Q72">
        <v>2470.7460000000001</v>
      </c>
      <c r="R72">
        <v>5314.1469999999999</v>
      </c>
      <c r="S72">
        <v>7744.1949999999997</v>
      </c>
      <c r="T72">
        <v>998.09199999999998</v>
      </c>
      <c r="U72">
        <v>117.98</v>
      </c>
      <c r="V72">
        <v>383.63400000000001</v>
      </c>
      <c r="W72">
        <v>930.34100000000001</v>
      </c>
      <c r="X72">
        <v>2261.9960000000001</v>
      </c>
      <c r="Y72">
        <v>487.34699999999998</v>
      </c>
      <c r="Z72">
        <v>2355.17</v>
      </c>
      <c r="AA72">
        <v>5104.5129999999999</v>
      </c>
      <c r="AB72" s="37">
        <v>7534.5609999999997</v>
      </c>
      <c r="AC72" s="38">
        <v>7273.4390000000003</v>
      </c>
      <c r="AD72">
        <v>305.48399999999998</v>
      </c>
      <c r="AE72">
        <v>39.96</v>
      </c>
      <c r="AF72">
        <v>4124</v>
      </c>
      <c r="AG72">
        <v>1727</v>
      </c>
      <c r="AH72">
        <v>974</v>
      </c>
      <c r="AI72">
        <v>10423.439</v>
      </c>
      <c r="AJ72">
        <v>437.78399999999999</v>
      </c>
      <c r="AK72" s="38">
        <v>57.265999999999998</v>
      </c>
      <c r="AN72">
        <v>610.95899999999995</v>
      </c>
      <c r="AO72">
        <v>25.66</v>
      </c>
      <c r="AP72">
        <v>3.274</v>
      </c>
      <c r="AR72">
        <v>54</v>
      </c>
      <c r="AS72">
        <v>26</v>
      </c>
      <c r="AT72">
        <v>584.95899999999995</v>
      </c>
      <c r="AU72">
        <v>24.568000000000001</v>
      </c>
      <c r="AV72" s="39">
        <v>3.1349999999999998</v>
      </c>
      <c r="AW72" s="40">
        <v>39.6</v>
      </c>
      <c r="AX72">
        <v>220.69399999999999</v>
      </c>
      <c r="AY72">
        <v>524.85900000000004</v>
      </c>
      <c r="AZ72">
        <v>785.154</v>
      </c>
      <c r="BA72">
        <v>2.0680000000000001</v>
      </c>
      <c r="BB72">
        <v>20.004000000000001</v>
      </c>
      <c r="BC72">
        <v>93.924000000000007</v>
      </c>
      <c r="BD72">
        <v>1.5840000000000001</v>
      </c>
      <c r="BE72">
        <v>84.072999999999993</v>
      </c>
      <c r="BF72">
        <v>46.923999999999999</v>
      </c>
      <c r="BG72">
        <v>25.477</v>
      </c>
      <c r="BH72">
        <v>156.47399999999999</v>
      </c>
      <c r="BI72" s="40">
        <v>274.05399999999997</v>
      </c>
      <c r="BJ72" s="41">
        <v>1152.42</v>
      </c>
      <c r="BK72">
        <v>242.904</v>
      </c>
      <c r="BL72">
        <v>57.265999999999998</v>
      </c>
      <c r="BM72">
        <v>3.1349999999999998</v>
      </c>
      <c r="BN72">
        <v>1455.7249999999999</v>
      </c>
      <c r="BO72">
        <v>2648.8609999999999</v>
      </c>
      <c r="BP72">
        <v>144.965</v>
      </c>
      <c r="BQ72">
        <v>575.47400000000005</v>
      </c>
      <c r="BR72">
        <v>2478.2629999999999</v>
      </c>
      <c r="BS72">
        <v>221.06299999999999</v>
      </c>
      <c r="BT72">
        <v>275.02100000000002</v>
      </c>
      <c r="BU72">
        <v>496.08499999999998</v>
      </c>
      <c r="BV72" s="41">
        <v>6343.6480000000001</v>
      </c>
      <c r="BW72">
        <v>1886341</v>
      </c>
      <c r="BX72">
        <v>63769</v>
      </c>
      <c r="BY72">
        <v>1513227</v>
      </c>
      <c r="BZ72">
        <v>140162</v>
      </c>
      <c r="CA72" s="42">
        <f t="shared" si="3"/>
        <v>79226.322</v>
      </c>
      <c r="CB72" s="42">
        <f t="shared" si="3"/>
        <v>2678.2979999999998</v>
      </c>
      <c r="CC72" s="42">
        <f t="shared" si="3"/>
        <v>63555.534</v>
      </c>
      <c r="CD72" s="36">
        <f t="shared" si="2"/>
        <v>5886.8040000000001</v>
      </c>
    </row>
    <row r="73" spans="1:82">
      <c r="A73" s="34">
        <v>2019</v>
      </c>
      <c r="B73" s="35">
        <v>223.077</v>
      </c>
      <c r="C73">
        <v>3.0379999999999998</v>
      </c>
      <c r="D73" s="36">
        <f t="shared" si="1"/>
        <v>3.8763454250983034E-4</v>
      </c>
      <c r="E73">
        <v>41059.68</v>
      </c>
      <c r="F73">
        <v>1724.5070000000001</v>
      </c>
      <c r="G73">
        <v>220.03899999999999</v>
      </c>
      <c r="H73">
        <v>4078</v>
      </c>
      <c r="I73">
        <v>2730.357</v>
      </c>
      <c r="J73">
        <v>1347.643</v>
      </c>
      <c r="K73">
        <v>3906.6210000000001</v>
      </c>
      <c r="L73">
        <v>-755.596</v>
      </c>
      <c r="M73">
        <v>43162.919000000002</v>
      </c>
      <c r="N73">
        <v>1812.8430000000001</v>
      </c>
      <c r="O73" s="35">
        <v>231.31</v>
      </c>
      <c r="P73" s="37">
        <v>2340.9589999999998</v>
      </c>
      <c r="Q73">
        <v>2431.5970000000002</v>
      </c>
      <c r="R73">
        <v>5215.0020000000004</v>
      </c>
      <c r="S73">
        <v>7752.8180000000002</v>
      </c>
      <c r="T73">
        <v>982.22500000000002</v>
      </c>
      <c r="U73">
        <v>116.29300000000001</v>
      </c>
      <c r="V73">
        <v>429.74700000000001</v>
      </c>
      <c r="W73">
        <v>1009.551</v>
      </c>
      <c r="X73">
        <v>2237.3150000000001</v>
      </c>
      <c r="Y73">
        <v>442.447</v>
      </c>
      <c r="Z73">
        <v>2376.2379999999998</v>
      </c>
      <c r="AA73">
        <v>5056</v>
      </c>
      <c r="AB73" s="37">
        <v>7593.8159999999998</v>
      </c>
      <c r="AC73" s="38">
        <v>11714.558999999999</v>
      </c>
      <c r="AD73">
        <v>492.01100000000002</v>
      </c>
      <c r="AE73">
        <v>64.36</v>
      </c>
      <c r="AF73">
        <v>6143</v>
      </c>
      <c r="AG73">
        <v>1491</v>
      </c>
      <c r="AH73">
        <v>-236</v>
      </c>
      <c r="AI73">
        <v>18093.559000000001</v>
      </c>
      <c r="AJ73">
        <v>759.92899999999997</v>
      </c>
      <c r="AK73" s="38">
        <v>99.406000000000006</v>
      </c>
      <c r="AN73">
        <v>791.15300000000002</v>
      </c>
      <c r="AO73">
        <v>33.228000000000002</v>
      </c>
      <c r="AP73">
        <v>4.24</v>
      </c>
      <c r="AR73">
        <v>50</v>
      </c>
      <c r="AS73">
        <v>-4</v>
      </c>
      <c r="AT73">
        <v>795.15300000000002</v>
      </c>
      <c r="AU73">
        <v>33.396000000000001</v>
      </c>
      <c r="AV73" s="39">
        <v>4.2610000000000001</v>
      </c>
      <c r="AW73" s="40">
        <v>39.6</v>
      </c>
      <c r="AX73">
        <v>251.14099999999999</v>
      </c>
      <c r="AY73">
        <v>545.50900000000001</v>
      </c>
      <c r="AZ73">
        <v>836.25</v>
      </c>
      <c r="BA73">
        <v>1.675</v>
      </c>
      <c r="BB73">
        <v>23.631</v>
      </c>
      <c r="BC73">
        <v>103.126</v>
      </c>
      <c r="BD73">
        <v>1.591</v>
      </c>
      <c r="BE73">
        <v>84.299000000000007</v>
      </c>
      <c r="BF73">
        <v>39.04</v>
      </c>
      <c r="BG73">
        <v>25.934000000000001</v>
      </c>
      <c r="BH73">
        <v>149.273</v>
      </c>
      <c r="BI73" s="40">
        <v>279.29599999999999</v>
      </c>
      <c r="BJ73" s="41">
        <v>1161.614</v>
      </c>
      <c r="BK73">
        <v>231.31</v>
      </c>
      <c r="BL73">
        <v>99.406000000000006</v>
      </c>
      <c r="BM73">
        <v>4.2610000000000001</v>
      </c>
      <c r="BN73">
        <v>1496.5909999999999</v>
      </c>
      <c r="BO73">
        <v>2550.9169999999999</v>
      </c>
      <c r="BP73">
        <v>133.761</v>
      </c>
      <c r="BQ73">
        <v>634.18499999999995</v>
      </c>
      <c r="BR73">
        <v>2630.58</v>
      </c>
      <c r="BS73">
        <v>200.524</v>
      </c>
      <c r="BT73">
        <v>247.613</v>
      </c>
      <c r="BU73">
        <v>448.137</v>
      </c>
      <c r="BV73" s="41">
        <v>6397.5789999999997</v>
      </c>
      <c r="BW73">
        <v>1875015</v>
      </c>
      <c r="BX73">
        <v>73886</v>
      </c>
      <c r="BY73">
        <v>1497761</v>
      </c>
      <c r="BZ73">
        <v>140083</v>
      </c>
      <c r="CA73" s="42">
        <f t="shared" si="3"/>
        <v>78750.63</v>
      </c>
      <c r="CB73" s="42">
        <f t="shared" si="3"/>
        <v>3103.212</v>
      </c>
      <c r="CC73" s="42">
        <f t="shared" si="3"/>
        <v>62905.962</v>
      </c>
      <c r="CD73" s="36">
        <f t="shared" si="2"/>
        <v>5883.4859999999999</v>
      </c>
    </row>
    <row r="74" spans="1:82">
      <c r="A74" s="34">
        <v>2020</v>
      </c>
      <c r="B74" s="35">
        <v>234.744</v>
      </c>
      <c r="C74">
        <v>3.1970000000000001</v>
      </c>
      <c r="D74" s="36">
        <f t="shared" si="1"/>
        <v>4.0792228734478129E-4</v>
      </c>
      <c r="E74">
        <v>43207.097000000002</v>
      </c>
      <c r="F74">
        <v>1814.6980000000001</v>
      </c>
      <c r="G74">
        <v>231.547</v>
      </c>
      <c r="H74">
        <v>4684</v>
      </c>
      <c r="I74">
        <v>3457.5030000000002</v>
      </c>
      <c r="J74">
        <v>1226.4970000000001</v>
      </c>
      <c r="K74">
        <v>3665.3850000000002</v>
      </c>
      <c r="L74">
        <v>-241.23500000000001</v>
      </c>
      <c r="M74">
        <v>44674.828999999998</v>
      </c>
      <c r="N74">
        <v>1876.3430000000001</v>
      </c>
      <c r="O74" s="35">
        <v>239.41200000000001</v>
      </c>
      <c r="P74" s="37">
        <v>2075.6379999999999</v>
      </c>
      <c r="Q74">
        <v>2194.4009999999998</v>
      </c>
      <c r="R74">
        <v>4709.7730000000001</v>
      </c>
      <c r="S74">
        <v>7465.2030000000004</v>
      </c>
      <c r="T74">
        <v>973.35500000000002</v>
      </c>
      <c r="U74">
        <v>117.71599999999999</v>
      </c>
      <c r="V74">
        <v>511.315</v>
      </c>
      <c r="W74">
        <v>1153.0450000000001</v>
      </c>
      <c r="X74">
        <v>1969.6030000000001</v>
      </c>
      <c r="Y74">
        <v>439.73399999999998</v>
      </c>
      <c r="Z74">
        <v>2135.7930000000001</v>
      </c>
      <c r="AA74">
        <v>4545.13</v>
      </c>
      <c r="AB74" s="37">
        <v>7300.56</v>
      </c>
      <c r="AC74" s="38">
        <v>12702.251</v>
      </c>
      <c r="AD74">
        <v>533.495</v>
      </c>
      <c r="AE74">
        <v>69.786000000000001</v>
      </c>
      <c r="AF74">
        <v>6658</v>
      </c>
      <c r="AG74">
        <v>1287</v>
      </c>
      <c r="AH74">
        <v>-204</v>
      </c>
      <c r="AI74">
        <v>19564.251</v>
      </c>
      <c r="AJ74">
        <v>821.69899999999996</v>
      </c>
      <c r="AK74" s="38">
        <v>107.486</v>
      </c>
      <c r="AN74">
        <v>761.17499999999995</v>
      </c>
      <c r="AO74">
        <v>31.969000000000001</v>
      </c>
      <c r="AP74">
        <v>4.0789999999999997</v>
      </c>
      <c r="AR74">
        <v>27</v>
      </c>
      <c r="AS74">
        <v>-23</v>
      </c>
      <c r="AT74">
        <v>784.17499999999995</v>
      </c>
      <c r="AU74">
        <v>32.935000000000002</v>
      </c>
      <c r="AV74" s="39">
        <v>4.202</v>
      </c>
      <c r="AW74" s="40">
        <v>39.6</v>
      </c>
      <c r="AX74">
        <v>286.03699999999998</v>
      </c>
      <c r="AY74">
        <v>440.20800000000003</v>
      </c>
      <c r="AZ74">
        <v>765.84500000000003</v>
      </c>
      <c r="BA74">
        <v>1.873</v>
      </c>
      <c r="BB74">
        <v>23.635999999999999</v>
      </c>
      <c r="BC74">
        <v>117.875</v>
      </c>
      <c r="BD74">
        <v>1.472</v>
      </c>
      <c r="BE74">
        <v>82.95</v>
      </c>
      <c r="BF74">
        <v>37.853999999999999</v>
      </c>
      <c r="BG74">
        <v>26.181999999999999</v>
      </c>
      <c r="BH74">
        <v>146.98599999999999</v>
      </c>
      <c r="BI74" s="40">
        <v>291.84199999999998</v>
      </c>
      <c r="BJ74" s="41">
        <v>1004.386</v>
      </c>
      <c r="BK74">
        <v>239.41200000000001</v>
      </c>
      <c r="BL74">
        <v>107.486</v>
      </c>
      <c r="BM74">
        <v>4.202</v>
      </c>
      <c r="BN74">
        <v>1355.4870000000001</v>
      </c>
      <c r="BO74">
        <v>2490.348</v>
      </c>
      <c r="BP74">
        <v>135.369</v>
      </c>
      <c r="BQ74">
        <v>775.98</v>
      </c>
      <c r="BR74">
        <v>2955.82</v>
      </c>
      <c r="BS74">
        <v>185.374</v>
      </c>
      <c r="BT74">
        <v>242.19900000000001</v>
      </c>
      <c r="BU74">
        <v>427.57299999999998</v>
      </c>
      <c r="BV74" s="41">
        <v>6785.09</v>
      </c>
      <c r="BW74">
        <v>1733958</v>
      </c>
      <c r="BX74">
        <v>79789</v>
      </c>
      <c r="BY74">
        <v>1385590</v>
      </c>
      <c r="BZ74">
        <v>161188</v>
      </c>
      <c r="CA74" s="42">
        <f t="shared" si="3"/>
        <v>72826.236000000004</v>
      </c>
      <c r="CB74" s="42">
        <f t="shared" si="3"/>
        <v>3351.1379999999999</v>
      </c>
      <c r="CC74" s="42">
        <f t="shared" si="3"/>
        <v>58194.78</v>
      </c>
      <c r="CD74" s="36">
        <f t="shared" si="2"/>
        <v>6769.8959999999997</v>
      </c>
    </row>
    <row r="75" spans="1:82">
      <c r="A75" s="34">
        <v>2021</v>
      </c>
      <c r="B75" s="35">
        <v>221.04900000000001</v>
      </c>
      <c r="C75">
        <v>3.0110000000000001</v>
      </c>
      <c r="D75" s="36">
        <f t="shared" si="1"/>
        <v>3.8418915559571313E-4</v>
      </c>
      <c r="E75">
        <v>40686.324999999997</v>
      </c>
      <c r="F75">
        <v>1708.826</v>
      </c>
      <c r="G75">
        <v>218.03800000000001</v>
      </c>
      <c r="H75">
        <v>5005</v>
      </c>
      <c r="I75">
        <v>4452.4560000000001</v>
      </c>
      <c r="J75">
        <v>552.54399999999998</v>
      </c>
      <c r="K75">
        <v>4187.4989999999998</v>
      </c>
      <c r="L75">
        <v>522.11300000000006</v>
      </c>
      <c r="M75">
        <v>40716.756000000001</v>
      </c>
      <c r="N75">
        <v>1710.104</v>
      </c>
      <c r="O75" s="35">
        <v>218.20099999999999</v>
      </c>
      <c r="P75" s="37">
        <v>2109.2289999999998</v>
      </c>
      <c r="Q75">
        <v>2374.1190000000001</v>
      </c>
      <c r="R75">
        <v>4913.616</v>
      </c>
      <c r="S75">
        <v>7807.3</v>
      </c>
      <c r="T75">
        <v>858.40700000000004</v>
      </c>
      <c r="U75">
        <v>118.00700000000001</v>
      </c>
      <c r="V75">
        <v>626.86300000000006</v>
      </c>
      <c r="W75">
        <v>1290.4069999999999</v>
      </c>
      <c r="X75">
        <v>1989.4269999999999</v>
      </c>
      <c r="Y75">
        <v>430.267</v>
      </c>
      <c r="Z75">
        <v>2330.855</v>
      </c>
      <c r="AA75">
        <v>4750.55</v>
      </c>
      <c r="AB75" s="37">
        <v>7644.2340000000004</v>
      </c>
      <c r="AC75" s="38">
        <v>20502.879000000001</v>
      </c>
      <c r="AD75">
        <v>861.12099999999998</v>
      </c>
      <c r="AE75">
        <v>112.643</v>
      </c>
      <c r="AF75">
        <v>9340</v>
      </c>
      <c r="AG75">
        <v>2352.752</v>
      </c>
      <c r="AH75">
        <v>1065.7529999999999</v>
      </c>
      <c r="AI75">
        <v>28777.126</v>
      </c>
      <c r="AJ75">
        <v>1208.6389999999999</v>
      </c>
      <c r="AK75" s="38">
        <v>158.102</v>
      </c>
      <c r="AN75">
        <v>1913.9880000000001</v>
      </c>
      <c r="AO75">
        <v>80.387</v>
      </c>
      <c r="AP75">
        <v>10.257</v>
      </c>
      <c r="AQ75">
        <v>27</v>
      </c>
      <c r="AR75">
        <v>82.546000000000006</v>
      </c>
      <c r="AS75">
        <v>55.545000000000002</v>
      </c>
      <c r="AT75">
        <v>1885.443</v>
      </c>
      <c r="AU75">
        <v>79.188999999999993</v>
      </c>
      <c r="AV75" s="39">
        <v>10.103999999999999</v>
      </c>
      <c r="AW75" s="40">
        <v>39.6</v>
      </c>
      <c r="AX75">
        <v>332.78500000000003</v>
      </c>
      <c r="AY75">
        <v>438.96800000000002</v>
      </c>
      <c r="AZ75">
        <v>811.35299999999995</v>
      </c>
      <c r="BA75">
        <v>2.2789999999999999</v>
      </c>
      <c r="BB75">
        <v>24.137</v>
      </c>
      <c r="BC75">
        <v>139.04900000000001</v>
      </c>
      <c r="BD75">
        <v>1.484</v>
      </c>
      <c r="BE75">
        <v>82.703999999999994</v>
      </c>
      <c r="BF75">
        <v>39.305999999999997</v>
      </c>
      <c r="BG75">
        <v>26.623000000000001</v>
      </c>
      <c r="BH75">
        <v>148.63300000000001</v>
      </c>
      <c r="BI75" s="40">
        <v>315.58199999999999</v>
      </c>
      <c r="BJ75" s="41">
        <v>1109.548</v>
      </c>
      <c r="BK75">
        <v>218.20099999999999</v>
      </c>
      <c r="BL75">
        <v>158.102</v>
      </c>
      <c r="BM75">
        <v>10.103999999999999</v>
      </c>
      <c r="BN75">
        <v>1495.9549999999999</v>
      </c>
      <c r="BO75">
        <v>2214.4580000000001</v>
      </c>
      <c r="BP75">
        <v>136.84700000000001</v>
      </c>
      <c r="BQ75">
        <v>1012.8440000000001</v>
      </c>
      <c r="BR75">
        <v>3342.3009999999999</v>
      </c>
      <c r="BS75">
        <v>196.74600000000001</v>
      </c>
      <c r="BT75">
        <v>229.465</v>
      </c>
      <c r="BU75">
        <v>426.21100000000001</v>
      </c>
      <c r="BV75" s="41">
        <v>7132.6610000000001</v>
      </c>
      <c r="BW75">
        <v>1703688</v>
      </c>
      <c r="BX75">
        <v>105262</v>
      </c>
      <c r="BY75">
        <v>1449807</v>
      </c>
      <c r="BZ75">
        <v>130039</v>
      </c>
      <c r="CA75" s="42">
        <f t="shared" si="3"/>
        <v>71554.895999999993</v>
      </c>
      <c r="CB75" s="42">
        <f t="shared" si="3"/>
        <v>4421.0039999999999</v>
      </c>
      <c r="CC75" s="42">
        <f t="shared" si="3"/>
        <v>60891.894</v>
      </c>
      <c r="CD75" s="36">
        <f t="shared" si="2"/>
        <v>5461.6379999999999</v>
      </c>
    </row>
    <row r="76" spans="1:82">
      <c r="A76" s="34">
        <v>2022</v>
      </c>
      <c r="B76" s="35">
        <v>209.821</v>
      </c>
      <c r="C76">
        <v>2.8580000000000001</v>
      </c>
      <c r="D76" s="36">
        <f>(G76/F76)*C76/1000</f>
        <v>3.6466710439030645E-4</v>
      </c>
      <c r="E76">
        <v>38619.726000000002</v>
      </c>
      <c r="F76">
        <v>1622.028</v>
      </c>
      <c r="G76">
        <v>206.96299999999999</v>
      </c>
      <c r="H76">
        <v>5950</v>
      </c>
      <c r="I76">
        <v>5671.0950000000003</v>
      </c>
      <c r="J76">
        <v>278.90499999999997</v>
      </c>
      <c r="K76">
        <v>3607.8510000000001</v>
      </c>
      <c r="L76">
        <v>-579.64800000000002</v>
      </c>
      <c r="M76">
        <v>39478.279000000002</v>
      </c>
      <c r="N76">
        <v>1658.088</v>
      </c>
      <c r="O76" s="35">
        <v>211.56399999999999</v>
      </c>
      <c r="P76" s="37">
        <v>2150.105</v>
      </c>
      <c r="Q76">
        <v>2510.7779999999998</v>
      </c>
      <c r="R76">
        <v>5073.2110000000002</v>
      </c>
      <c r="S76">
        <v>8307.3410000000003</v>
      </c>
      <c r="T76">
        <v>869.33900000000006</v>
      </c>
      <c r="U76">
        <v>118.389</v>
      </c>
      <c r="V76">
        <v>764.58</v>
      </c>
      <c r="W76">
        <v>1481.8230000000001</v>
      </c>
      <c r="X76">
        <v>2011.712</v>
      </c>
      <c r="Y76">
        <v>412.32900000000001</v>
      </c>
      <c r="Z76">
        <v>2432.6239999999998</v>
      </c>
      <c r="AA76">
        <v>4856.665</v>
      </c>
      <c r="AB76" s="37">
        <v>8090.7950000000001</v>
      </c>
      <c r="AC76" s="38">
        <v>35691.785000000003</v>
      </c>
      <c r="AD76">
        <v>1499.0550000000001</v>
      </c>
      <c r="AE76">
        <v>196.09100000000001</v>
      </c>
      <c r="AF76">
        <v>6254</v>
      </c>
      <c r="AG76">
        <v>3405.4589999999998</v>
      </c>
      <c r="AH76">
        <v>1052.7080000000001</v>
      </c>
      <c r="AI76">
        <v>40893.076999999997</v>
      </c>
      <c r="AJ76">
        <v>1717.509</v>
      </c>
      <c r="AK76" s="38">
        <v>224.667</v>
      </c>
      <c r="AN76">
        <v>4841.3069999999998</v>
      </c>
      <c r="AO76">
        <v>203.33500000000001</v>
      </c>
      <c r="AP76">
        <v>25.945</v>
      </c>
      <c r="AQ76">
        <v>114</v>
      </c>
      <c r="AR76">
        <v>282.25299999999999</v>
      </c>
      <c r="AS76">
        <v>199.70699999999999</v>
      </c>
      <c r="AT76">
        <v>4755.6000000000004</v>
      </c>
      <c r="AU76">
        <v>199.73500000000001</v>
      </c>
      <c r="AV76" s="39">
        <v>25.484999999999999</v>
      </c>
      <c r="AW76" s="40">
        <v>39.6</v>
      </c>
      <c r="AX76">
        <v>199.65899999999999</v>
      </c>
      <c r="AY76">
        <v>422.48399999999998</v>
      </c>
      <c r="AZ76">
        <v>661.74300000000005</v>
      </c>
      <c r="BA76">
        <v>0.89800000000000002</v>
      </c>
      <c r="BB76">
        <v>19.7</v>
      </c>
      <c r="BC76">
        <v>62.756</v>
      </c>
      <c r="BD76">
        <v>0.59</v>
      </c>
      <c r="BE76">
        <v>83.045000000000002</v>
      </c>
      <c r="BF76">
        <v>75.058999999999997</v>
      </c>
      <c r="BG76">
        <v>31.507000000000001</v>
      </c>
      <c r="BH76">
        <v>189.61099999999999</v>
      </c>
      <c r="BI76" s="40">
        <v>273.55599999999998</v>
      </c>
      <c r="BJ76" s="41">
        <v>1111.3800000000001</v>
      </c>
      <c r="BK76">
        <v>211.56399999999999</v>
      </c>
      <c r="BL76">
        <v>224.667</v>
      </c>
      <c r="BM76">
        <v>25.484999999999999</v>
      </c>
      <c r="BN76">
        <v>1573.096</v>
      </c>
      <c r="BO76">
        <v>865.37400000000002</v>
      </c>
      <c r="BP76">
        <v>54.889000000000003</v>
      </c>
      <c r="BQ76">
        <v>487.411</v>
      </c>
      <c r="BR76">
        <v>1480.788</v>
      </c>
      <c r="BS76">
        <v>197.691</v>
      </c>
      <c r="BT76">
        <v>176.49</v>
      </c>
      <c r="BU76">
        <v>374.18099999999998</v>
      </c>
      <c r="BV76" s="41">
        <v>3262.6419999999998</v>
      </c>
      <c r="BW76">
        <v>1828961</v>
      </c>
      <c r="BX76">
        <v>68628</v>
      </c>
      <c r="BY76">
        <v>1469334</v>
      </c>
      <c r="BZ76">
        <v>118899</v>
      </c>
      <c r="CA76" s="42">
        <f t="shared" si="3"/>
        <v>76816.361999999994</v>
      </c>
      <c r="CB76" s="42">
        <f t="shared" si="3"/>
        <v>2882.3760000000002</v>
      </c>
      <c r="CC76" s="42">
        <f t="shared" si="3"/>
        <v>61712.027999999998</v>
      </c>
      <c r="CD76" s="36">
        <f t="shared" si="2"/>
        <v>4993.7579999999998</v>
      </c>
    </row>
    <row r="77" spans="1:82">
      <c r="A77" s="34">
        <v>2023</v>
      </c>
      <c r="B77" s="35">
        <v>219.751</v>
      </c>
      <c r="C77">
        <v>2.9929999999999999</v>
      </c>
      <c r="D77" s="36">
        <f>(G77/F77)*C77/1000</f>
        <v>3.8189272854314801E-4</v>
      </c>
      <c r="E77">
        <v>40447.451999999997</v>
      </c>
      <c r="F77">
        <v>1698.7929999999999</v>
      </c>
      <c r="G77">
        <v>216.75800000000001</v>
      </c>
      <c r="H77">
        <v>11929</v>
      </c>
      <c r="I77">
        <v>5980.3320000000003</v>
      </c>
      <c r="J77">
        <v>5948.6679999999997</v>
      </c>
      <c r="K77">
        <v>3827.4740000000002</v>
      </c>
      <c r="L77">
        <v>228.02500000000001</v>
      </c>
      <c r="M77">
        <v>46168.095000000001</v>
      </c>
      <c r="N77">
        <v>1939.06</v>
      </c>
      <c r="O77" s="35">
        <v>247.41499999999999</v>
      </c>
      <c r="P77" s="37">
        <v>2053.4259999999999</v>
      </c>
      <c r="Q77">
        <v>2708.2939999999999</v>
      </c>
      <c r="R77">
        <v>5159.8410000000003</v>
      </c>
      <c r="S77">
        <v>8426.3359999999993</v>
      </c>
      <c r="T77">
        <v>818.38400000000001</v>
      </c>
      <c r="U77">
        <v>119.66800000000001</v>
      </c>
      <c r="V77">
        <v>877.54</v>
      </c>
      <c r="W77">
        <v>1450.903</v>
      </c>
      <c r="X77">
        <v>1918.1320000000001</v>
      </c>
      <c r="Y77">
        <v>398.12099999999998</v>
      </c>
      <c r="Z77">
        <v>2661.826</v>
      </c>
      <c r="AA77">
        <v>4978.0789999999997</v>
      </c>
      <c r="AB77" s="37">
        <v>8244.5740000000005</v>
      </c>
      <c r="AC77" s="38">
        <v>61743.843000000001</v>
      </c>
      <c r="AD77">
        <v>2593.241</v>
      </c>
      <c r="AE77">
        <v>339.221</v>
      </c>
      <c r="AF77">
        <v>8622</v>
      </c>
      <c r="AG77">
        <v>5477.77</v>
      </c>
      <c r="AH77">
        <v>2072.3119999999999</v>
      </c>
      <c r="AI77">
        <v>68293.531000000003</v>
      </c>
      <c r="AJ77">
        <v>2868.328</v>
      </c>
      <c r="AK77" s="38">
        <v>375.20499999999998</v>
      </c>
      <c r="AN77">
        <v>6888.2629999999999</v>
      </c>
      <c r="AO77">
        <v>289.30700000000002</v>
      </c>
      <c r="AP77">
        <v>36.914000000000001</v>
      </c>
      <c r="AQ77">
        <v>112</v>
      </c>
      <c r="AR77">
        <v>304.726</v>
      </c>
      <c r="AS77">
        <v>22.472999999999999</v>
      </c>
      <c r="AT77">
        <v>6977.79</v>
      </c>
      <c r="AU77">
        <v>293.06700000000001</v>
      </c>
      <c r="AV77" s="39">
        <v>37.393999999999998</v>
      </c>
      <c r="AW77" s="40">
        <v>39.6</v>
      </c>
      <c r="AX77">
        <v>234.767</v>
      </c>
      <c r="AY77">
        <v>450.322</v>
      </c>
      <c r="AZ77">
        <v>724.69</v>
      </c>
      <c r="BA77">
        <v>0.81299999999999994</v>
      </c>
      <c r="BB77">
        <v>19.7</v>
      </c>
      <c r="BC77">
        <v>68.787999999999997</v>
      </c>
      <c r="BD77">
        <v>0.505</v>
      </c>
      <c r="BE77">
        <v>81.822000000000003</v>
      </c>
      <c r="BF77">
        <v>71.039000000000001</v>
      </c>
      <c r="BG77">
        <v>31.99</v>
      </c>
      <c r="BH77">
        <v>184.851</v>
      </c>
      <c r="BI77" s="40">
        <v>274.65699999999998</v>
      </c>
      <c r="BJ77" s="41">
        <v>1128.3920000000001</v>
      </c>
      <c r="BK77">
        <v>247.41499999999999</v>
      </c>
      <c r="BL77">
        <v>375.20499999999998</v>
      </c>
      <c r="BM77">
        <v>37.393999999999998</v>
      </c>
      <c r="BN77">
        <v>1788.405</v>
      </c>
      <c r="BO77">
        <v>814.48500000000001</v>
      </c>
      <c r="BP77">
        <v>56.167999999999999</v>
      </c>
      <c r="BQ77">
        <v>557.81100000000004</v>
      </c>
      <c r="BR77">
        <v>1449.973</v>
      </c>
      <c r="BS77">
        <v>161.55600000000001</v>
      </c>
      <c r="BT77">
        <v>167.49</v>
      </c>
      <c r="BU77">
        <v>329.04500000000002</v>
      </c>
      <c r="BV77" s="41">
        <v>3207.4810000000002</v>
      </c>
      <c r="BW77">
        <v>1790989</v>
      </c>
      <c r="BX77">
        <v>61271</v>
      </c>
      <c r="BY77">
        <v>1435530</v>
      </c>
      <c r="BZ77">
        <v>130713</v>
      </c>
      <c r="CA77" s="42">
        <f>BW77*42/1000</f>
        <v>75221.538</v>
      </c>
      <c r="CB77" s="42">
        <f t="shared" si="3"/>
        <v>2573.3820000000001</v>
      </c>
      <c r="CC77" s="42">
        <f t="shared" si="3"/>
        <v>60292.26</v>
      </c>
      <c r="CD77" s="36">
        <f t="shared" si="2"/>
        <v>5489.9459999999999</v>
      </c>
    </row>
    <row r="78" spans="1:82">
      <c r="CA78" s="42"/>
    </row>
    <row r="79" spans="1:82">
      <c r="CA79" s="42"/>
    </row>
    <row r="80" spans="1:82">
      <c r="CA80" s="42"/>
    </row>
    <row r="81" spans="79:79">
      <c r="CA81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63C5-5C5D-48DE-AAB4-CD1F04C28C1E}">
  <sheetPr>
    <tabColor rgb="FFFFFF00"/>
  </sheetPr>
  <dimension ref="A1:EW638"/>
  <sheetViews>
    <sheetView zoomScale="115" zoomScaleNormal="115" zoomScaleSheetLayoutView="84" workbookViewId="0">
      <pane xSplit="1" ySplit="2" topLeftCell="J609" activePane="bottomRight" state="frozen"/>
      <selection activeCell="B7" sqref="B7"/>
      <selection pane="topRight" activeCell="B7" sqref="B7"/>
      <selection pane="bottomLeft" activeCell="B7" sqref="B7"/>
      <selection pane="bottomRight" activeCell="Q1" sqref="Q1:AB1048576"/>
    </sheetView>
  </sheetViews>
  <sheetFormatPr defaultRowHeight="11.25"/>
  <cols>
    <col min="1" max="1" width="8.85546875" style="75" bestFit="1" customWidth="1"/>
    <col min="2" max="2" width="16.42578125" style="68" customWidth="1"/>
    <col min="3" max="3" width="12.7109375" style="76" hidden="1" customWidth="1"/>
    <col min="4" max="4" width="19.7109375" style="68" hidden="1" customWidth="1"/>
    <col min="5" max="5" width="16.85546875" style="68" hidden="1" customWidth="1"/>
    <col min="6" max="6" width="16.85546875" style="68" bestFit="1" customWidth="1"/>
    <col min="7" max="7" width="16.85546875" style="68" hidden="1" customWidth="1"/>
    <col min="8" max="9" width="15.42578125" style="68" bestFit="1" customWidth="1"/>
    <col min="10" max="10" width="17.5703125" style="68" bestFit="1" customWidth="1"/>
    <col min="11" max="11" width="15.42578125" style="68" bestFit="1" customWidth="1"/>
    <col min="12" max="14" width="18.7109375" style="68" bestFit="1" customWidth="1"/>
    <col min="15" max="15" width="18.7109375" style="76" hidden="1" customWidth="1"/>
    <col min="16" max="16" width="20.28515625" style="77" hidden="1" customWidth="1"/>
    <col min="17" max="17" width="16" style="68" hidden="1" customWidth="1"/>
    <col min="18" max="18" width="26.42578125" style="68" hidden="1" customWidth="1"/>
    <col min="19" max="19" width="28.5703125" style="68" hidden="1" customWidth="1"/>
    <col min="20" max="20" width="27.5703125" style="68" hidden="1" customWidth="1"/>
    <col min="21" max="21" width="26.7109375" style="68" hidden="1" customWidth="1"/>
    <col min="22" max="22" width="21.28515625" style="68" hidden="1" customWidth="1"/>
    <col min="23" max="23" width="21.5703125" style="68" hidden="1" customWidth="1"/>
    <col min="24" max="24" width="22.140625" style="68" hidden="1" customWidth="1"/>
    <col min="25" max="26" width="18" style="68" hidden="1" customWidth="1"/>
    <col min="27" max="27" width="22.28515625" style="68" hidden="1" customWidth="1"/>
    <col min="28" max="28" width="18" style="77" hidden="1" customWidth="1"/>
    <col min="29" max="29" width="18" style="78" customWidth="1"/>
    <col min="30" max="33" width="18" style="68" customWidth="1"/>
    <col min="34" max="36" width="18.42578125" style="68" customWidth="1"/>
    <col min="37" max="37" width="17.42578125" style="78" customWidth="1"/>
    <col min="38" max="38" width="30.42578125" style="68" customWidth="1"/>
    <col min="39" max="39" width="30.42578125" style="79" customWidth="1"/>
    <col min="40" max="40" width="20.28515625" style="80" bestFit="1" customWidth="1"/>
    <col min="41" max="41" width="30.7109375" style="68" bestFit="1" customWidth="1"/>
    <col min="42" max="44" width="21" style="68" bestFit="1" customWidth="1"/>
    <col min="45" max="45" width="18.5703125" style="68" bestFit="1" customWidth="1"/>
    <col min="46" max="46" width="17.42578125" style="68" bestFit="1" customWidth="1"/>
    <col min="47" max="47" width="22.85546875" style="68" bestFit="1" customWidth="1"/>
    <col min="48" max="49" width="23" style="68" bestFit="1" customWidth="1"/>
    <col min="50" max="50" width="23" style="80" bestFit="1" customWidth="1"/>
    <col min="51" max="51" width="22" style="81" customWidth="1"/>
    <col min="52" max="55" width="25.5703125" style="68" customWidth="1"/>
    <col min="56" max="57" width="24.7109375" style="68" customWidth="1"/>
    <col min="58" max="59" width="24.5703125" style="68" customWidth="1"/>
    <col min="60" max="62" width="27" style="68" customWidth="1"/>
    <col min="63" max="63" width="24.7109375" style="81" customWidth="1"/>
    <col min="64" max="64" width="29.5703125" style="82" customWidth="1"/>
    <col min="65" max="75" width="29.5703125" style="68" customWidth="1"/>
    <col min="76" max="76" width="29.5703125" style="82" customWidth="1"/>
    <col min="77" max="81" width="18.7109375" style="68" customWidth="1"/>
    <col min="82" max="82" width="15.7109375" style="68" customWidth="1"/>
    <col min="83" max="84" width="16.140625" style="79" customWidth="1"/>
    <col min="85" max="90" width="15.7109375" style="83" customWidth="1"/>
    <col min="91" max="91" width="9.42578125" style="68" bestFit="1" customWidth="1"/>
    <col min="92" max="16384" width="9.140625" style="68"/>
  </cols>
  <sheetData>
    <row r="1" spans="1:153" s="54" customFormat="1" ht="56.25">
      <c r="A1" s="43"/>
      <c r="B1" s="44"/>
      <c r="C1" s="45" t="s">
        <v>45</v>
      </c>
      <c r="D1" s="44" t="s">
        <v>46</v>
      </c>
      <c r="E1" s="44" t="s">
        <v>47</v>
      </c>
      <c r="F1" s="44" t="s">
        <v>47</v>
      </c>
      <c r="G1" s="44" t="s">
        <v>47</v>
      </c>
      <c r="H1" s="44" t="s">
        <v>48</v>
      </c>
      <c r="I1" s="44" t="s">
        <v>49</v>
      </c>
      <c r="J1" s="44" t="s">
        <v>50</v>
      </c>
      <c r="K1" s="44" t="s">
        <v>51</v>
      </c>
      <c r="L1" s="44" t="s">
        <v>52</v>
      </c>
      <c r="M1" s="44" t="s">
        <v>53</v>
      </c>
      <c r="N1" s="44" t="s">
        <v>53</v>
      </c>
      <c r="O1" s="45" t="s">
        <v>53</v>
      </c>
      <c r="P1" s="46" t="s">
        <v>54</v>
      </c>
      <c r="Q1" s="44" t="s">
        <v>55</v>
      </c>
      <c r="R1" s="44" t="s">
        <v>56</v>
      </c>
      <c r="S1" s="44" t="s">
        <v>57</v>
      </c>
      <c r="T1" s="44" t="s">
        <v>58</v>
      </c>
      <c r="U1" s="44" t="s">
        <v>59</v>
      </c>
      <c r="V1" s="44" t="s">
        <v>60</v>
      </c>
      <c r="W1" s="44" t="s">
        <v>61</v>
      </c>
      <c r="X1" s="44" t="s">
        <v>62</v>
      </c>
      <c r="Y1" s="44" t="s">
        <v>63</v>
      </c>
      <c r="Z1" s="44" t="s">
        <v>64</v>
      </c>
      <c r="AA1" s="44" t="s">
        <v>65</v>
      </c>
      <c r="AB1" s="46" t="s">
        <v>66</v>
      </c>
      <c r="AC1" s="47" t="s">
        <v>67</v>
      </c>
      <c r="AD1" s="44" t="s">
        <v>67</v>
      </c>
      <c r="AE1" s="44" t="s">
        <v>67</v>
      </c>
      <c r="AF1" s="44" t="s">
        <v>68</v>
      </c>
      <c r="AG1" s="44" t="s">
        <v>69</v>
      </c>
      <c r="AH1" s="44" t="s">
        <v>70</v>
      </c>
      <c r="AI1" s="44" t="s">
        <v>71</v>
      </c>
      <c r="AJ1" s="44" t="s">
        <v>71</v>
      </c>
      <c r="AK1" s="47" t="s">
        <v>71</v>
      </c>
      <c r="AL1" s="48" t="s">
        <v>123</v>
      </c>
      <c r="AM1" s="49" t="s">
        <v>71</v>
      </c>
      <c r="AN1" s="50" t="s">
        <v>72</v>
      </c>
      <c r="AO1" s="44" t="s">
        <v>73</v>
      </c>
      <c r="AP1" s="44" t="s">
        <v>74</v>
      </c>
      <c r="AQ1" s="44" t="s">
        <v>74</v>
      </c>
      <c r="AR1" s="44" t="s">
        <v>74</v>
      </c>
      <c r="AS1" s="44" t="s">
        <v>75</v>
      </c>
      <c r="AT1" s="44" t="s">
        <v>76</v>
      </c>
      <c r="AU1" s="44" t="s">
        <v>77</v>
      </c>
      <c r="AV1" s="44" t="s">
        <v>78</v>
      </c>
      <c r="AW1" s="44" t="s">
        <v>78</v>
      </c>
      <c r="AX1" s="50" t="s">
        <v>78</v>
      </c>
      <c r="AY1" s="51" t="s">
        <v>79</v>
      </c>
      <c r="AZ1" s="44" t="s">
        <v>80</v>
      </c>
      <c r="BA1" s="44" t="s">
        <v>81</v>
      </c>
      <c r="BB1" s="44" t="s">
        <v>82</v>
      </c>
      <c r="BC1" s="44" t="s">
        <v>83</v>
      </c>
      <c r="BD1" s="44" t="s">
        <v>84</v>
      </c>
      <c r="BE1" s="44" t="s">
        <v>85</v>
      </c>
      <c r="BF1" s="44" t="s">
        <v>86</v>
      </c>
      <c r="BG1" s="44" t="s">
        <v>87</v>
      </c>
      <c r="BH1" s="44" t="s">
        <v>88</v>
      </c>
      <c r="BI1" s="44" t="s">
        <v>89</v>
      </c>
      <c r="BJ1" s="44" t="s">
        <v>90</v>
      </c>
      <c r="BK1" s="51" t="s">
        <v>91</v>
      </c>
      <c r="BL1" s="52" t="s">
        <v>92</v>
      </c>
      <c r="BM1" s="44" t="s">
        <v>93</v>
      </c>
      <c r="BN1" s="44" t="s">
        <v>94</v>
      </c>
      <c r="BO1" s="44" t="s">
        <v>95</v>
      </c>
      <c r="BP1" s="44" t="s">
        <v>96</v>
      </c>
      <c r="BQ1" s="44" t="s">
        <v>97</v>
      </c>
      <c r="BR1" s="44" t="s">
        <v>98</v>
      </c>
      <c r="BS1" s="44" t="s">
        <v>99</v>
      </c>
      <c r="BT1" s="44" t="s">
        <v>100</v>
      </c>
      <c r="BU1" s="44" t="s">
        <v>101</v>
      </c>
      <c r="BV1" s="44" t="s">
        <v>102</v>
      </c>
      <c r="BW1" s="44" t="s">
        <v>103</v>
      </c>
      <c r="BX1" s="52" t="s">
        <v>104</v>
      </c>
      <c r="BY1" s="44" t="s">
        <v>124</v>
      </c>
      <c r="BZ1" s="44" t="s">
        <v>125</v>
      </c>
      <c r="CA1" s="44" t="s">
        <v>126</v>
      </c>
      <c r="CB1" s="44" t="s">
        <v>127</v>
      </c>
      <c r="CC1" s="44" t="s">
        <v>128</v>
      </c>
      <c r="CD1" s="44" t="s">
        <v>129</v>
      </c>
      <c r="CE1" s="49" t="s">
        <v>130</v>
      </c>
      <c r="CF1" s="49" t="s">
        <v>131</v>
      </c>
      <c r="CG1" s="48" t="s">
        <v>112</v>
      </c>
      <c r="CH1" s="53" t="s">
        <v>132</v>
      </c>
      <c r="CI1" s="53" t="s">
        <v>133</v>
      </c>
      <c r="CJ1" s="53" t="s">
        <v>134</v>
      </c>
      <c r="CK1" s="48" t="s">
        <v>111</v>
      </c>
      <c r="CL1" s="48" t="s">
        <v>129</v>
      </c>
    </row>
    <row r="2" spans="1:153" s="54" customFormat="1" ht="56.25">
      <c r="A2" s="43"/>
      <c r="B2" s="44"/>
      <c r="C2" s="45" t="s">
        <v>113</v>
      </c>
      <c r="D2" s="44" t="s">
        <v>113</v>
      </c>
      <c r="E2" s="44" t="s">
        <v>114</v>
      </c>
      <c r="F2" s="44" t="s">
        <v>115</v>
      </c>
      <c r="G2" s="44" t="s">
        <v>113</v>
      </c>
      <c r="H2" s="44" t="s">
        <v>114</v>
      </c>
      <c r="I2" s="44" t="s">
        <v>114</v>
      </c>
      <c r="J2" s="44" t="s">
        <v>114</v>
      </c>
      <c r="K2" s="44" t="s">
        <v>114</v>
      </c>
      <c r="L2" s="44" t="s">
        <v>114</v>
      </c>
      <c r="M2" s="44" t="s">
        <v>114</v>
      </c>
      <c r="N2" s="44" t="s">
        <v>115</v>
      </c>
      <c r="O2" s="45" t="s">
        <v>113</v>
      </c>
      <c r="P2" s="46" t="s">
        <v>113</v>
      </c>
      <c r="Q2" s="44" t="s">
        <v>113</v>
      </c>
      <c r="R2" s="44" t="s">
        <v>113</v>
      </c>
      <c r="S2" s="44" t="s">
        <v>113</v>
      </c>
      <c r="T2" s="44" t="s">
        <v>113</v>
      </c>
      <c r="U2" s="44" t="s">
        <v>113</v>
      </c>
      <c r="V2" s="44" t="s">
        <v>113</v>
      </c>
      <c r="W2" s="44" t="s">
        <v>113</v>
      </c>
      <c r="X2" s="44" t="s">
        <v>113</v>
      </c>
      <c r="Y2" s="44" t="s">
        <v>113</v>
      </c>
      <c r="Z2" s="44" t="s">
        <v>113</v>
      </c>
      <c r="AA2" s="44" t="s">
        <v>113</v>
      </c>
      <c r="AB2" s="46" t="s">
        <v>113</v>
      </c>
      <c r="AC2" s="47" t="s">
        <v>114</v>
      </c>
      <c r="AD2" s="44" t="s">
        <v>115</v>
      </c>
      <c r="AE2" s="44" t="s">
        <v>113</v>
      </c>
      <c r="AF2" s="44" t="s">
        <v>114</v>
      </c>
      <c r="AG2" s="44" t="s">
        <v>114</v>
      </c>
      <c r="AH2" s="44" t="s">
        <v>114</v>
      </c>
      <c r="AI2" s="44" t="s">
        <v>114</v>
      </c>
      <c r="AJ2" s="44" t="s">
        <v>115</v>
      </c>
      <c r="AK2" s="47" t="s">
        <v>113</v>
      </c>
      <c r="AL2" s="48" t="s">
        <v>115</v>
      </c>
      <c r="AM2" s="49" t="s">
        <v>113</v>
      </c>
      <c r="AN2" s="50" t="s">
        <v>113</v>
      </c>
      <c r="AO2" s="44" t="s">
        <v>113</v>
      </c>
      <c r="AP2" s="44" t="s">
        <v>114</v>
      </c>
      <c r="AQ2" s="44" t="s">
        <v>115</v>
      </c>
      <c r="AR2" s="44" t="s">
        <v>113</v>
      </c>
      <c r="AS2" s="44" t="s">
        <v>114</v>
      </c>
      <c r="AT2" s="44" t="s">
        <v>114</v>
      </c>
      <c r="AU2" s="44" t="s">
        <v>114</v>
      </c>
      <c r="AV2" s="44" t="s">
        <v>114</v>
      </c>
      <c r="AW2" s="44" t="s">
        <v>115</v>
      </c>
      <c r="AX2" s="50" t="s">
        <v>113</v>
      </c>
      <c r="AY2" s="51" t="s">
        <v>113</v>
      </c>
      <c r="AZ2" s="44" t="s">
        <v>113</v>
      </c>
      <c r="BA2" s="44" t="s">
        <v>113</v>
      </c>
      <c r="BB2" s="44" t="s">
        <v>113</v>
      </c>
      <c r="BC2" s="44" t="s">
        <v>113</v>
      </c>
      <c r="BD2" s="44" t="s">
        <v>113</v>
      </c>
      <c r="BE2" s="44" t="s">
        <v>113</v>
      </c>
      <c r="BF2" s="44" t="s">
        <v>113</v>
      </c>
      <c r="BG2" s="44" t="s">
        <v>113</v>
      </c>
      <c r="BH2" s="44" t="s">
        <v>113</v>
      </c>
      <c r="BI2" s="44" t="s">
        <v>113</v>
      </c>
      <c r="BJ2" s="44" t="s">
        <v>113</v>
      </c>
      <c r="BK2" s="51" t="s">
        <v>113</v>
      </c>
      <c r="BL2" s="52" t="s">
        <v>113</v>
      </c>
      <c r="BM2" s="44" t="s">
        <v>113</v>
      </c>
      <c r="BN2" s="44" t="s">
        <v>113</v>
      </c>
      <c r="BO2" s="44" t="s">
        <v>113</v>
      </c>
      <c r="BP2" s="44" t="s">
        <v>113</v>
      </c>
      <c r="BQ2" s="44" t="s">
        <v>113</v>
      </c>
      <c r="BR2" s="44" t="s">
        <v>113</v>
      </c>
      <c r="BS2" s="44" t="s">
        <v>113</v>
      </c>
      <c r="BT2" s="44" t="s">
        <v>113</v>
      </c>
      <c r="BU2" s="44" t="s">
        <v>113</v>
      </c>
      <c r="BV2" s="44" t="s">
        <v>113</v>
      </c>
      <c r="BW2" s="44" t="s">
        <v>113</v>
      </c>
      <c r="BX2" s="52" t="s">
        <v>113</v>
      </c>
      <c r="BY2" s="44" t="s">
        <v>135</v>
      </c>
      <c r="BZ2" s="44" t="s">
        <v>136</v>
      </c>
      <c r="CA2" s="55" t="s">
        <v>137</v>
      </c>
      <c r="CB2" s="55" t="s">
        <v>138</v>
      </c>
      <c r="CC2" s="55" t="s">
        <v>139</v>
      </c>
      <c r="CD2" s="55" t="s">
        <v>140</v>
      </c>
      <c r="CE2" s="49" t="s">
        <v>141</v>
      </c>
      <c r="CF2" s="49" t="s">
        <v>141</v>
      </c>
      <c r="CG2" s="48" t="s">
        <v>142</v>
      </c>
      <c r="CH2" s="48" t="s">
        <v>141</v>
      </c>
      <c r="CI2" s="48" t="s">
        <v>141</v>
      </c>
      <c r="CJ2" s="48" t="s">
        <v>141</v>
      </c>
      <c r="CK2" s="48" t="s">
        <v>115</v>
      </c>
      <c r="CL2" s="48" t="s">
        <v>115</v>
      </c>
    </row>
    <row r="3" spans="1:153">
      <c r="A3" s="56">
        <v>26665</v>
      </c>
      <c r="B3" s="57"/>
      <c r="C3" s="58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8"/>
      <c r="P3" s="60">
        <v>129.63</v>
      </c>
      <c r="Q3" s="61" t="s">
        <v>121</v>
      </c>
      <c r="R3" s="61">
        <v>129.78700000000001</v>
      </c>
      <c r="S3" s="61">
        <v>403.98099999999999</v>
      </c>
      <c r="T3" s="61">
        <v>272.70299999999997</v>
      </c>
      <c r="U3" s="61">
        <v>1.4910000000000001</v>
      </c>
      <c r="V3" s="61" t="s">
        <v>121</v>
      </c>
      <c r="W3" s="61" t="s">
        <v>121</v>
      </c>
      <c r="X3" s="61">
        <v>129.63</v>
      </c>
      <c r="Y3" s="61">
        <v>0.157</v>
      </c>
      <c r="Z3" s="61" t="s">
        <v>121</v>
      </c>
      <c r="AA3" s="61">
        <v>129.78700000000001</v>
      </c>
      <c r="AB3" s="60">
        <v>403.98099999999999</v>
      </c>
      <c r="AC3" s="62"/>
      <c r="AD3" s="61"/>
      <c r="AE3" s="61"/>
      <c r="AF3" s="61"/>
      <c r="AG3" s="61"/>
      <c r="AH3" s="61"/>
      <c r="AI3" s="61"/>
      <c r="AJ3" s="61"/>
      <c r="AK3" s="62"/>
      <c r="AL3" s="63"/>
      <c r="AM3" s="64"/>
      <c r="AN3" s="65" t="e">
        <v>#N/A</v>
      </c>
      <c r="AO3" s="61" t="e">
        <v>#N/A</v>
      </c>
      <c r="AP3" s="61" t="e">
        <v>#N/A</v>
      </c>
      <c r="AQ3" s="61" t="e">
        <v>#N/A</v>
      </c>
      <c r="AR3" s="61" t="e">
        <v>#N/A</v>
      </c>
      <c r="AS3" s="61" t="e">
        <v>#N/A</v>
      </c>
      <c r="AT3" s="61" t="e">
        <v>#N/A</v>
      </c>
      <c r="AU3" s="61" t="e">
        <v>#N/A</v>
      </c>
      <c r="AV3" s="61" t="e">
        <v>#N/A</v>
      </c>
      <c r="AW3" s="61" t="e">
        <v>#N/A</v>
      </c>
      <c r="AX3" s="65" t="e">
        <v>#N/A</v>
      </c>
      <c r="AY3" s="66" t="s">
        <v>121</v>
      </c>
      <c r="AZ3" s="61" t="s">
        <v>121</v>
      </c>
      <c r="BA3" s="61">
        <v>30.074000000000002</v>
      </c>
      <c r="BB3" s="61">
        <v>30.074000000000002</v>
      </c>
      <c r="BC3" s="61" t="s">
        <v>121</v>
      </c>
      <c r="BD3" s="61" t="s">
        <v>121</v>
      </c>
      <c r="BE3" s="61" t="s">
        <v>121</v>
      </c>
      <c r="BF3" s="61" t="s">
        <v>121</v>
      </c>
      <c r="BG3" s="61">
        <v>0.56999999999999995</v>
      </c>
      <c r="BH3" s="61" t="s">
        <v>121</v>
      </c>
      <c r="BI3" s="61" t="s">
        <v>121</v>
      </c>
      <c r="BJ3" s="61">
        <v>0.56999999999999995</v>
      </c>
      <c r="BK3" s="66">
        <v>0.56999999999999995</v>
      </c>
      <c r="BL3" s="67" t="s">
        <v>121</v>
      </c>
      <c r="BM3" s="61" t="s">
        <v>121</v>
      </c>
      <c r="BN3" s="61" t="s">
        <v>121</v>
      </c>
      <c r="BO3" s="61" t="s">
        <v>121</v>
      </c>
      <c r="BP3" s="61" t="s">
        <v>121</v>
      </c>
      <c r="BQ3" s="61">
        <v>269.536</v>
      </c>
      <c r="BR3" s="61">
        <v>1.4910000000000001</v>
      </c>
      <c r="BS3" s="61" t="s">
        <v>121</v>
      </c>
      <c r="BT3" s="61" t="s">
        <v>121</v>
      </c>
      <c r="BU3" s="61">
        <v>5.3999999999999999E-2</v>
      </c>
      <c r="BV3" s="61">
        <v>0.157</v>
      </c>
      <c r="BW3" s="61">
        <v>0.21099999999999999</v>
      </c>
      <c r="BX3" s="67">
        <v>271.238</v>
      </c>
      <c r="BY3" s="68">
        <v>93862</v>
      </c>
      <c r="BZ3" s="68">
        <v>128286</v>
      </c>
      <c r="CA3" s="69">
        <v>11289</v>
      </c>
      <c r="CB3" s="68">
        <v>130993</v>
      </c>
      <c r="CC3" s="68">
        <v>332</v>
      </c>
      <c r="CD3" s="61"/>
      <c r="CE3" s="64"/>
      <c r="CF3" s="64"/>
      <c r="CG3" s="70">
        <f t="shared" ref="CG3:CG66" si="0">CB3*42/1000</f>
        <v>5501.7060000000001</v>
      </c>
      <c r="CH3" s="70">
        <f t="shared" ref="CH3:CH66" si="1">CA3*42/1000</f>
        <v>474.13799999999998</v>
      </c>
      <c r="CI3" s="70">
        <f t="shared" ref="CI3:CI66" si="2">CC3*42/1000</f>
        <v>13.944000000000001</v>
      </c>
      <c r="CJ3" s="70">
        <f>BY3*42/1000</f>
        <v>3942.2040000000002</v>
      </c>
      <c r="CK3" s="70">
        <f t="shared" ref="CK3:CK66" si="3">BZ3*42/1000</f>
        <v>5388.0119999999997</v>
      </c>
      <c r="CL3" s="70">
        <f>CC3*42/1000</f>
        <v>13.944000000000001</v>
      </c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</row>
    <row r="4" spans="1:153">
      <c r="A4" s="56">
        <v>26696</v>
      </c>
      <c r="B4" s="57"/>
      <c r="C4" s="58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8"/>
      <c r="P4" s="60">
        <v>117.194</v>
      </c>
      <c r="Q4" s="61" t="s">
        <v>121</v>
      </c>
      <c r="R4" s="61">
        <v>117.33799999999999</v>
      </c>
      <c r="S4" s="61">
        <v>360.9</v>
      </c>
      <c r="T4" s="61">
        <v>242.19900000000001</v>
      </c>
      <c r="U4" s="61">
        <v>1.363</v>
      </c>
      <c r="V4" s="61" t="s">
        <v>121</v>
      </c>
      <c r="W4" s="61" t="s">
        <v>121</v>
      </c>
      <c r="X4" s="61">
        <v>117.194</v>
      </c>
      <c r="Y4" s="61">
        <v>0.14399999999999999</v>
      </c>
      <c r="Z4" s="61" t="s">
        <v>121</v>
      </c>
      <c r="AA4" s="61">
        <v>117.33799999999999</v>
      </c>
      <c r="AB4" s="60">
        <v>360.9</v>
      </c>
      <c r="AC4" s="62"/>
      <c r="AD4" s="61"/>
      <c r="AE4" s="61"/>
      <c r="AF4" s="61"/>
      <c r="AG4" s="61"/>
      <c r="AH4" s="61"/>
      <c r="AI4" s="61"/>
      <c r="AJ4" s="61"/>
      <c r="AK4" s="62"/>
      <c r="AL4" s="63"/>
      <c r="AM4" s="64"/>
      <c r="AN4" s="65" t="e">
        <v>#N/A</v>
      </c>
      <c r="AO4" s="61" t="e">
        <v>#N/A</v>
      </c>
      <c r="AP4" s="61" t="e">
        <v>#N/A</v>
      </c>
      <c r="AQ4" s="61" t="e">
        <v>#N/A</v>
      </c>
      <c r="AR4" s="61" t="e">
        <v>#N/A</v>
      </c>
      <c r="AS4" s="61" t="e">
        <v>#N/A</v>
      </c>
      <c r="AT4" s="61" t="e">
        <v>#N/A</v>
      </c>
      <c r="AU4" s="61" t="e">
        <v>#N/A</v>
      </c>
      <c r="AV4" s="61" t="e">
        <v>#N/A</v>
      </c>
      <c r="AW4" s="61" t="e">
        <v>#N/A</v>
      </c>
      <c r="AX4" s="65" t="e">
        <v>#N/A</v>
      </c>
      <c r="AY4" s="66" t="s">
        <v>121</v>
      </c>
      <c r="AZ4" s="61" t="s">
        <v>121</v>
      </c>
      <c r="BA4" s="61">
        <v>27.164000000000001</v>
      </c>
      <c r="BB4" s="61">
        <v>27.164000000000001</v>
      </c>
      <c r="BC4" s="61" t="s">
        <v>121</v>
      </c>
      <c r="BD4" s="61" t="s">
        <v>121</v>
      </c>
      <c r="BE4" s="61" t="s">
        <v>121</v>
      </c>
      <c r="BF4" s="61" t="s">
        <v>121</v>
      </c>
      <c r="BG4" s="61">
        <v>0.51500000000000001</v>
      </c>
      <c r="BH4" s="61" t="s">
        <v>121</v>
      </c>
      <c r="BI4" s="61" t="s">
        <v>121</v>
      </c>
      <c r="BJ4" s="61">
        <v>0.51500000000000001</v>
      </c>
      <c r="BK4" s="66">
        <v>0.51500000000000001</v>
      </c>
      <c r="BL4" s="67" t="s">
        <v>121</v>
      </c>
      <c r="BM4" s="61" t="s">
        <v>121</v>
      </c>
      <c r="BN4" s="61" t="s">
        <v>121</v>
      </c>
      <c r="BO4" s="61" t="s">
        <v>121</v>
      </c>
      <c r="BP4" s="61" t="s">
        <v>121</v>
      </c>
      <c r="BQ4" s="61">
        <v>239.27099999999999</v>
      </c>
      <c r="BR4" s="61">
        <v>1.363</v>
      </c>
      <c r="BS4" s="61" t="s">
        <v>121</v>
      </c>
      <c r="BT4" s="61" t="s">
        <v>121</v>
      </c>
      <c r="BU4" s="61">
        <v>0.157</v>
      </c>
      <c r="BV4" s="61">
        <v>0.14399999999999999</v>
      </c>
      <c r="BW4" s="61">
        <v>0.30099999999999999</v>
      </c>
      <c r="BX4" s="67">
        <v>240.935</v>
      </c>
      <c r="BY4" s="68">
        <v>82242</v>
      </c>
      <c r="BZ4" s="68">
        <v>120447</v>
      </c>
      <c r="CA4" s="69">
        <v>20474</v>
      </c>
      <c r="CB4" s="68">
        <v>113310</v>
      </c>
      <c r="CC4" s="68">
        <v>67</v>
      </c>
      <c r="CD4" s="61"/>
      <c r="CE4" s="64"/>
      <c r="CF4" s="64"/>
      <c r="CG4" s="70">
        <f t="shared" si="0"/>
        <v>4759.0200000000004</v>
      </c>
      <c r="CH4" s="70">
        <f t="shared" si="1"/>
        <v>859.90800000000002</v>
      </c>
      <c r="CI4" s="70">
        <f t="shared" si="2"/>
        <v>2.8140000000000001</v>
      </c>
      <c r="CJ4" s="70">
        <f t="shared" ref="CJ4:CK70" si="4">BY4*42/1000</f>
        <v>3454.1640000000002</v>
      </c>
      <c r="CK4" s="70">
        <f t="shared" si="3"/>
        <v>5058.7740000000003</v>
      </c>
      <c r="CL4" s="70">
        <f t="shared" ref="CL4:CL67" si="5">CC4*42/1000</f>
        <v>2.8140000000000001</v>
      </c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</row>
    <row r="5" spans="1:153">
      <c r="A5" s="56">
        <v>26724</v>
      </c>
      <c r="B5" s="57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8"/>
      <c r="P5" s="60">
        <v>129.76300000000001</v>
      </c>
      <c r="Q5" s="61" t="s">
        <v>121</v>
      </c>
      <c r="R5" s="61">
        <v>129.93799999999999</v>
      </c>
      <c r="S5" s="61">
        <v>400.161</v>
      </c>
      <c r="T5" s="61">
        <v>268.81</v>
      </c>
      <c r="U5" s="61">
        <v>1.4119999999999999</v>
      </c>
      <c r="V5" s="61" t="s">
        <v>121</v>
      </c>
      <c r="W5" s="61" t="s">
        <v>121</v>
      </c>
      <c r="X5" s="61">
        <v>129.76300000000001</v>
      </c>
      <c r="Y5" s="61">
        <v>0.17599999999999999</v>
      </c>
      <c r="Z5" s="61" t="s">
        <v>121</v>
      </c>
      <c r="AA5" s="61">
        <v>129.93799999999999</v>
      </c>
      <c r="AB5" s="60">
        <v>400.161</v>
      </c>
      <c r="AC5" s="62"/>
      <c r="AD5" s="61"/>
      <c r="AE5" s="61"/>
      <c r="AF5" s="61"/>
      <c r="AG5" s="61"/>
      <c r="AH5" s="61"/>
      <c r="AI5" s="61"/>
      <c r="AJ5" s="61"/>
      <c r="AK5" s="62"/>
      <c r="AL5" s="63"/>
      <c r="AM5" s="64"/>
      <c r="AN5" s="65" t="e">
        <v>#N/A</v>
      </c>
      <c r="AO5" s="61" t="e">
        <v>#N/A</v>
      </c>
      <c r="AP5" s="61" t="e">
        <v>#N/A</v>
      </c>
      <c r="AQ5" s="61" t="e">
        <v>#N/A</v>
      </c>
      <c r="AR5" s="61" t="e">
        <v>#N/A</v>
      </c>
      <c r="AS5" s="61" t="e">
        <v>#N/A</v>
      </c>
      <c r="AT5" s="61" t="e">
        <v>#N/A</v>
      </c>
      <c r="AU5" s="61" t="e">
        <v>#N/A</v>
      </c>
      <c r="AV5" s="61" t="e">
        <v>#N/A</v>
      </c>
      <c r="AW5" s="61" t="e">
        <v>#N/A</v>
      </c>
      <c r="AX5" s="65" t="e">
        <v>#N/A</v>
      </c>
      <c r="AY5" s="66" t="s">
        <v>121</v>
      </c>
      <c r="AZ5" s="61" t="s">
        <v>121</v>
      </c>
      <c r="BA5" s="61">
        <v>30.074000000000002</v>
      </c>
      <c r="BB5" s="61">
        <v>30.074000000000002</v>
      </c>
      <c r="BC5" s="61" t="s">
        <v>121</v>
      </c>
      <c r="BD5" s="61" t="s">
        <v>121</v>
      </c>
      <c r="BE5" s="61" t="s">
        <v>121</v>
      </c>
      <c r="BF5" s="61" t="s">
        <v>121</v>
      </c>
      <c r="BG5" s="61">
        <v>0.56999999999999995</v>
      </c>
      <c r="BH5" s="61" t="s">
        <v>121</v>
      </c>
      <c r="BI5" s="61" t="s">
        <v>121</v>
      </c>
      <c r="BJ5" s="61">
        <v>0.56999999999999995</v>
      </c>
      <c r="BK5" s="66">
        <v>0.56999999999999995</v>
      </c>
      <c r="BL5" s="67" t="s">
        <v>121</v>
      </c>
      <c r="BM5" s="61" t="s">
        <v>121</v>
      </c>
      <c r="BN5" s="61" t="s">
        <v>121</v>
      </c>
      <c r="BO5" s="61" t="s">
        <v>121</v>
      </c>
      <c r="BP5" s="61" t="s">
        <v>121</v>
      </c>
      <c r="BQ5" s="61">
        <v>265.57</v>
      </c>
      <c r="BR5" s="61">
        <v>1.4119999999999999</v>
      </c>
      <c r="BS5" s="61" t="s">
        <v>121</v>
      </c>
      <c r="BT5" s="61" t="s">
        <v>121</v>
      </c>
      <c r="BU5" s="61">
        <v>0.186</v>
      </c>
      <c r="BV5" s="61">
        <v>0.17599999999999999</v>
      </c>
      <c r="BW5" s="61">
        <v>0.36199999999999999</v>
      </c>
      <c r="BX5" s="67">
        <v>267.34500000000003</v>
      </c>
      <c r="BY5" s="68">
        <v>82679</v>
      </c>
      <c r="BZ5" s="68">
        <v>103451</v>
      </c>
      <c r="CA5" s="69">
        <v>18672</v>
      </c>
      <c r="CB5" s="68">
        <v>111299</v>
      </c>
      <c r="CC5" s="68">
        <v>72</v>
      </c>
      <c r="CD5" s="61"/>
      <c r="CE5" s="64"/>
      <c r="CF5" s="64"/>
      <c r="CG5" s="70">
        <f t="shared" si="0"/>
        <v>4674.558</v>
      </c>
      <c r="CH5" s="70">
        <f t="shared" si="1"/>
        <v>784.22400000000005</v>
      </c>
      <c r="CI5" s="70">
        <f t="shared" si="2"/>
        <v>3.024</v>
      </c>
      <c r="CJ5" s="70">
        <f t="shared" si="4"/>
        <v>3472.518</v>
      </c>
      <c r="CK5" s="70">
        <f t="shared" si="3"/>
        <v>4344.942</v>
      </c>
      <c r="CL5" s="70">
        <f t="shared" si="5"/>
        <v>3.024</v>
      </c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</row>
    <row r="6" spans="1:153">
      <c r="A6" s="56">
        <v>26755</v>
      </c>
      <c r="B6" s="57"/>
      <c r="C6" s="58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8"/>
      <c r="P6" s="60">
        <v>125.462</v>
      </c>
      <c r="Q6" s="61" t="s">
        <v>121</v>
      </c>
      <c r="R6" s="61">
        <v>125.636</v>
      </c>
      <c r="S6" s="61">
        <v>380.47</v>
      </c>
      <c r="T6" s="61">
        <v>253.185</v>
      </c>
      <c r="U6" s="61">
        <v>1.649</v>
      </c>
      <c r="V6" s="61" t="s">
        <v>121</v>
      </c>
      <c r="W6" s="61" t="s">
        <v>121</v>
      </c>
      <c r="X6" s="61">
        <v>125.462</v>
      </c>
      <c r="Y6" s="61">
        <v>0.17399999999999999</v>
      </c>
      <c r="Z6" s="61" t="s">
        <v>121</v>
      </c>
      <c r="AA6" s="61">
        <v>125.636</v>
      </c>
      <c r="AB6" s="60">
        <v>380.47</v>
      </c>
      <c r="AC6" s="62"/>
      <c r="AD6" s="61"/>
      <c r="AE6" s="61"/>
      <c r="AF6" s="61"/>
      <c r="AG6" s="61"/>
      <c r="AH6" s="61"/>
      <c r="AI6" s="61"/>
      <c r="AJ6" s="61"/>
      <c r="AK6" s="62"/>
      <c r="AL6" s="63"/>
      <c r="AM6" s="64"/>
      <c r="AN6" s="65" t="e">
        <v>#N/A</v>
      </c>
      <c r="AO6" s="61" t="e">
        <v>#N/A</v>
      </c>
      <c r="AP6" s="61" t="e">
        <v>#N/A</v>
      </c>
      <c r="AQ6" s="61" t="e">
        <v>#N/A</v>
      </c>
      <c r="AR6" s="61" t="e">
        <v>#N/A</v>
      </c>
      <c r="AS6" s="61" t="e">
        <v>#N/A</v>
      </c>
      <c r="AT6" s="61" t="e">
        <v>#N/A</v>
      </c>
      <c r="AU6" s="61" t="e">
        <v>#N/A</v>
      </c>
      <c r="AV6" s="61" t="e">
        <v>#N/A</v>
      </c>
      <c r="AW6" s="61" t="e">
        <v>#N/A</v>
      </c>
      <c r="AX6" s="65" t="e">
        <v>#N/A</v>
      </c>
      <c r="AY6" s="66" t="s">
        <v>121</v>
      </c>
      <c r="AZ6" s="61" t="s">
        <v>121</v>
      </c>
      <c r="BA6" s="61">
        <v>29.103999999999999</v>
      </c>
      <c r="BB6" s="61">
        <v>29.103999999999999</v>
      </c>
      <c r="BC6" s="61" t="s">
        <v>121</v>
      </c>
      <c r="BD6" s="61" t="s">
        <v>121</v>
      </c>
      <c r="BE6" s="61" t="s">
        <v>121</v>
      </c>
      <c r="BF6" s="61" t="s">
        <v>121</v>
      </c>
      <c r="BG6" s="61">
        <v>0.55100000000000005</v>
      </c>
      <c r="BH6" s="61" t="s">
        <v>121</v>
      </c>
      <c r="BI6" s="61" t="s">
        <v>121</v>
      </c>
      <c r="BJ6" s="61">
        <v>0.55100000000000005</v>
      </c>
      <c r="BK6" s="66">
        <v>0.55100000000000005</v>
      </c>
      <c r="BL6" s="67" t="s">
        <v>121</v>
      </c>
      <c r="BM6" s="61" t="s">
        <v>121</v>
      </c>
      <c r="BN6" s="61" t="s">
        <v>121</v>
      </c>
      <c r="BO6" s="61" t="s">
        <v>121</v>
      </c>
      <c r="BP6" s="61" t="s">
        <v>121</v>
      </c>
      <c r="BQ6" s="61">
        <v>250.09</v>
      </c>
      <c r="BR6" s="61">
        <v>1.649</v>
      </c>
      <c r="BS6" s="61" t="s">
        <v>121</v>
      </c>
      <c r="BT6" s="61" t="s">
        <v>121</v>
      </c>
      <c r="BU6" s="61">
        <v>6.6000000000000003E-2</v>
      </c>
      <c r="BV6" s="61">
        <v>0.17399999999999999</v>
      </c>
      <c r="BW6" s="61">
        <v>0.24</v>
      </c>
      <c r="BX6" s="67">
        <v>251.97900000000001</v>
      </c>
      <c r="BY6" s="68">
        <v>75306</v>
      </c>
      <c r="BZ6" s="68">
        <v>79037</v>
      </c>
      <c r="CA6" s="69">
        <v>7207</v>
      </c>
      <c r="CB6" s="68">
        <v>114723</v>
      </c>
      <c r="CC6" s="68">
        <v>197</v>
      </c>
      <c r="CD6" s="61"/>
      <c r="CE6" s="64"/>
      <c r="CF6" s="64"/>
      <c r="CG6" s="70">
        <f t="shared" si="0"/>
        <v>4818.366</v>
      </c>
      <c r="CH6" s="70">
        <f t="shared" si="1"/>
        <v>302.69400000000002</v>
      </c>
      <c r="CI6" s="70">
        <f t="shared" si="2"/>
        <v>8.2739999999999991</v>
      </c>
      <c r="CJ6" s="70">
        <f t="shared" si="4"/>
        <v>3162.8519999999999</v>
      </c>
      <c r="CK6" s="70">
        <f t="shared" si="3"/>
        <v>3319.5540000000001</v>
      </c>
      <c r="CL6" s="70">
        <f t="shared" si="5"/>
        <v>8.2739999999999991</v>
      </c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</row>
    <row r="7" spans="1:153">
      <c r="A7" s="56">
        <v>26785</v>
      </c>
      <c r="B7" s="57"/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8"/>
      <c r="P7" s="60">
        <v>129.624</v>
      </c>
      <c r="Q7" s="61" t="s">
        <v>121</v>
      </c>
      <c r="R7" s="61">
        <v>129.834</v>
      </c>
      <c r="S7" s="61">
        <v>392.14100000000002</v>
      </c>
      <c r="T7" s="61">
        <v>260.77</v>
      </c>
      <c r="U7" s="61">
        <v>1.5369999999999999</v>
      </c>
      <c r="V7" s="61" t="s">
        <v>121</v>
      </c>
      <c r="W7" s="61" t="s">
        <v>121</v>
      </c>
      <c r="X7" s="61">
        <v>129.624</v>
      </c>
      <c r="Y7" s="61">
        <v>0.21</v>
      </c>
      <c r="Z7" s="61" t="s">
        <v>121</v>
      </c>
      <c r="AA7" s="61">
        <v>129.834</v>
      </c>
      <c r="AB7" s="60">
        <v>392.14100000000002</v>
      </c>
      <c r="AC7" s="62"/>
      <c r="AD7" s="61"/>
      <c r="AE7" s="61"/>
      <c r="AF7" s="61"/>
      <c r="AG7" s="61"/>
      <c r="AH7" s="61"/>
      <c r="AI7" s="61"/>
      <c r="AJ7" s="61"/>
      <c r="AK7" s="62"/>
      <c r="AL7" s="63"/>
      <c r="AM7" s="64"/>
      <c r="AN7" s="65" t="e">
        <v>#N/A</v>
      </c>
      <c r="AO7" s="61" t="e">
        <v>#N/A</v>
      </c>
      <c r="AP7" s="61" t="e">
        <v>#N/A</v>
      </c>
      <c r="AQ7" s="61" t="e">
        <v>#N/A</v>
      </c>
      <c r="AR7" s="61" t="e">
        <v>#N/A</v>
      </c>
      <c r="AS7" s="61" t="e">
        <v>#N/A</v>
      </c>
      <c r="AT7" s="61" t="e">
        <v>#N/A</v>
      </c>
      <c r="AU7" s="61" t="e">
        <v>#N/A</v>
      </c>
      <c r="AV7" s="61" t="e">
        <v>#N/A</v>
      </c>
      <c r="AW7" s="61" t="e">
        <v>#N/A</v>
      </c>
      <c r="AX7" s="65" t="e">
        <v>#N/A</v>
      </c>
      <c r="AY7" s="66" t="s">
        <v>121</v>
      </c>
      <c r="AZ7" s="61" t="s">
        <v>121</v>
      </c>
      <c r="BA7" s="61">
        <v>30.074000000000002</v>
      </c>
      <c r="BB7" s="61">
        <v>30.074000000000002</v>
      </c>
      <c r="BC7" s="61" t="s">
        <v>121</v>
      </c>
      <c r="BD7" s="61" t="s">
        <v>121</v>
      </c>
      <c r="BE7" s="61" t="s">
        <v>121</v>
      </c>
      <c r="BF7" s="61" t="s">
        <v>121</v>
      </c>
      <c r="BG7" s="61">
        <v>0.56999999999999995</v>
      </c>
      <c r="BH7" s="61" t="s">
        <v>121</v>
      </c>
      <c r="BI7" s="61" t="s">
        <v>121</v>
      </c>
      <c r="BJ7" s="61">
        <v>0.56999999999999995</v>
      </c>
      <c r="BK7" s="66">
        <v>0.56999999999999995</v>
      </c>
      <c r="BL7" s="67" t="s">
        <v>121</v>
      </c>
      <c r="BM7" s="61" t="s">
        <v>121</v>
      </c>
      <c r="BN7" s="61" t="s">
        <v>121</v>
      </c>
      <c r="BO7" s="61" t="s">
        <v>121</v>
      </c>
      <c r="BP7" s="61" t="s">
        <v>121</v>
      </c>
      <c r="BQ7" s="61">
        <v>257.577</v>
      </c>
      <c r="BR7" s="61">
        <v>1.5369999999999999</v>
      </c>
      <c r="BS7" s="61" t="s">
        <v>121</v>
      </c>
      <c r="BT7" s="61" t="s">
        <v>121</v>
      </c>
      <c r="BU7" s="61">
        <v>4.8000000000000001E-2</v>
      </c>
      <c r="BV7" s="61">
        <v>0.21</v>
      </c>
      <c r="BW7" s="61">
        <v>0.25800000000000001</v>
      </c>
      <c r="BX7" s="67">
        <v>259.37200000000001</v>
      </c>
      <c r="BY7" s="68">
        <v>78860</v>
      </c>
      <c r="BZ7" s="68">
        <v>82851</v>
      </c>
      <c r="CA7" s="69">
        <v>8301</v>
      </c>
      <c r="CB7" s="68">
        <v>119131</v>
      </c>
      <c r="CC7" s="68">
        <v>54</v>
      </c>
      <c r="CD7" s="61"/>
      <c r="CE7" s="64"/>
      <c r="CF7" s="64"/>
      <c r="CG7" s="70">
        <f t="shared" si="0"/>
        <v>5003.5020000000004</v>
      </c>
      <c r="CH7" s="70">
        <f t="shared" si="1"/>
        <v>348.642</v>
      </c>
      <c r="CI7" s="70">
        <f t="shared" si="2"/>
        <v>2.2679999999999998</v>
      </c>
      <c r="CJ7" s="70">
        <f t="shared" si="4"/>
        <v>3312.12</v>
      </c>
      <c r="CK7" s="70">
        <f t="shared" si="3"/>
        <v>3479.7420000000002</v>
      </c>
      <c r="CL7" s="70">
        <f t="shared" si="5"/>
        <v>2.2679999999999998</v>
      </c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</row>
    <row r="8" spans="1:153">
      <c r="A8" s="56">
        <v>26816</v>
      </c>
      <c r="B8" s="57"/>
      <c r="C8" s="58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8"/>
      <c r="P8" s="60">
        <v>125.435</v>
      </c>
      <c r="Q8" s="61" t="s">
        <v>121</v>
      </c>
      <c r="R8" s="61">
        <v>125.611</v>
      </c>
      <c r="S8" s="61">
        <v>377.23200000000003</v>
      </c>
      <c r="T8" s="61">
        <v>249.85900000000001</v>
      </c>
      <c r="U8" s="61">
        <v>1.7629999999999999</v>
      </c>
      <c r="V8" s="61" t="s">
        <v>121</v>
      </c>
      <c r="W8" s="61" t="s">
        <v>121</v>
      </c>
      <c r="X8" s="61">
        <v>125.435</v>
      </c>
      <c r="Y8" s="61">
        <v>0.17599999999999999</v>
      </c>
      <c r="Z8" s="61" t="s">
        <v>121</v>
      </c>
      <c r="AA8" s="61">
        <v>125.611</v>
      </c>
      <c r="AB8" s="60">
        <v>377.23200000000003</v>
      </c>
      <c r="AC8" s="62"/>
      <c r="AD8" s="61"/>
      <c r="AE8" s="61"/>
      <c r="AF8" s="61"/>
      <c r="AG8" s="61"/>
      <c r="AH8" s="61"/>
      <c r="AI8" s="61"/>
      <c r="AJ8" s="61"/>
      <c r="AK8" s="62"/>
      <c r="AL8" s="63"/>
      <c r="AM8" s="64"/>
      <c r="AN8" s="65" t="e">
        <v>#N/A</v>
      </c>
      <c r="AO8" s="61" t="e">
        <v>#N/A</v>
      </c>
      <c r="AP8" s="61" t="e">
        <v>#N/A</v>
      </c>
      <c r="AQ8" s="61" t="e">
        <v>#N/A</v>
      </c>
      <c r="AR8" s="61" t="e">
        <v>#N/A</v>
      </c>
      <c r="AS8" s="61" t="e">
        <v>#N/A</v>
      </c>
      <c r="AT8" s="61" t="e">
        <v>#N/A</v>
      </c>
      <c r="AU8" s="61" t="e">
        <v>#N/A</v>
      </c>
      <c r="AV8" s="61" t="e">
        <v>#N/A</v>
      </c>
      <c r="AW8" s="61" t="e">
        <v>#N/A</v>
      </c>
      <c r="AX8" s="65" t="e">
        <v>#N/A</v>
      </c>
      <c r="AY8" s="66" t="s">
        <v>121</v>
      </c>
      <c r="AZ8" s="61" t="s">
        <v>121</v>
      </c>
      <c r="BA8" s="61">
        <v>29.103999999999999</v>
      </c>
      <c r="BB8" s="61">
        <v>29.103999999999999</v>
      </c>
      <c r="BC8" s="61" t="s">
        <v>121</v>
      </c>
      <c r="BD8" s="61" t="s">
        <v>121</v>
      </c>
      <c r="BE8" s="61" t="s">
        <v>121</v>
      </c>
      <c r="BF8" s="61" t="s">
        <v>121</v>
      </c>
      <c r="BG8" s="61">
        <v>0.55100000000000005</v>
      </c>
      <c r="BH8" s="61" t="s">
        <v>121</v>
      </c>
      <c r="BI8" s="61" t="s">
        <v>121</v>
      </c>
      <c r="BJ8" s="61">
        <v>0.55100000000000005</v>
      </c>
      <c r="BK8" s="66">
        <v>0.55100000000000005</v>
      </c>
      <c r="BL8" s="67" t="s">
        <v>121</v>
      </c>
      <c r="BM8" s="61" t="s">
        <v>121</v>
      </c>
      <c r="BN8" s="61" t="s">
        <v>121</v>
      </c>
      <c r="BO8" s="61" t="s">
        <v>121</v>
      </c>
      <c r="BP8" s="61" t="s">
        <v>121</v>
      </c>
      <c r="BQ8" s="61">
        <v>246.76</v>
      </c>
      <c r="BR8" s="61">
        <v>1.7629999999999999</v>
      </c>
      <c r="BS8" s="61" t="s">
        <v>121</v>
      </c>
      <c r="BT8" s="61" t="s">
        <v>121</v>
      </c>
      <c r="BU8" s="61">
        <v>3.9E-2</v>
      </c>
      <c r="BV8" s="61">
        <v>0.17599999999999999</v>
      </c>
      <c r="BW8" s="61">
        <v>0.214</v>
      </c>
      <c r="BX8" s="67">
        <v>248.73699999999999</v>
      </c>
      <c r="BY8" s="68">
        <v>84759</v>
      </c>
      <c r="BZ8" s="68">
        <v>72560</v>
      </c>
      <c r="CA8" s="69">
        <v>6660</v>
      </c>
      <c r="CB8" s="68">
        <v>137869</v>
      </c>
      <c r="CC8" s="68">
        <v>253</v>
      </c>
      <c r="CD8" s="61"/>
      <c r="CE8" s="64"/>
      <c r="CF8" s="64"/>
      <c r="CG8" s="70">
        <f t="shared" si="0"/>
        <v>5790.4979999999996</v>
      </c>
      <c r="CH8" s="70">
        <f t="shared" si="1"/>
        <v>279.72000000000003</v>
      </c>
      <c r="CI8" s="70">
        <f t="shared" si="2"/>
        <v>10.625999999999999</v>
      </c>
      <c r="CJ8" s="70">
        <f t="shared" si="4"/>
        <v>3559.8780000000002</v>
      </c>
      <c r="CK8" s="70">
        <f t="shared" si="3"/>
        <v>3047.52</v>
      </c>
      <c r="CL8" s="70">
        <f t="shared" si="5"/>
        <v>10.625999999999999</v>
      </c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</row>
    <row r="9" spans="1:153">
      <c r="A9" s="56">
        <v>26846</v>
      </c>
      <c r="B9" s="57"/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8"/>
      <c r="P9" s="60">
        <v>129.61600000000001</v>
      </c>
      <c r="Q9" s="61" t="s">
        <v>121</v>
      </c>
      <c r="R9" s="61">
        <v>129.78700000000001</v>
      </c>
      <c r="S9" s="61">
        <v>367.32499999999999</v>
      </c>
      <c r="T9" s="61">
        <v>235.67</v>
      </c>
      <c r="U9" s="61">
        <v>1.869</v>
      </c>
      <c r="V9" s="61" t="s">
        <v>121</v>
      </c>
      <c r="W9" s="61" t="s">
        <v>121</v>
      </c>
      <c r="X9" s="61">
        <v>129.61600000000001</v>
      </c>
      <c r="Y9" s="61">
        <v>0.17</v>
      </c>
      <c r="Z9" s="61" t="s">
        <v>121</v>
      </c>
      <c r="AA9" s="61">
        <v>129.78700000000001</v>
      </c>
      <c r="AB9" s="60">
        <v>367.32499999999999</v>
      </c>
      <c r="AC9" s="62"/>
      <c r="AD9" s="61"/>
      <c r="AE9" s="61"/>
      <c r="AF9" s="61"/>
      <c r="AG9" s="61"/>
      <c r="AH9" s="61"/>
      <c r="AI9" s="61"/>
      <c r="AJ9" s="61"/>
      <c r="AK9" s="62"/>
      <c r="AL9" s="63"/>
      <c r="AM9" s="64"/>
      <c r="AN9" s="65" t="e">
        <v>#N/A</v>
      </c>
      <c r="AO9" s="61" t="e">
        <v>#N/A</v>
      </c>
      <c r="AP9" s="61" t="e">
        <v>#N/A</v>
      </c>
      <c r="AQ9" s="61" t="e">
        <v>#N/A</v>
      </c>
      <c r="AR9" s="61" t="e">
        <v>#N/A</v>
      </c>
      <c r="AS9" s="61" t="e">
        <v>#N/A</v>
      </c>
      <c r="AT9" s="61" t="e">
        <v>#N/A</v>
      </c>
      <c r="AU9" s="61" t="e">
        <v>#N/A</v>
      </c>
      <c r="AV9" s="61" t="e">
        <v>#N/A</v>
      </c>
      <c r="AW9" s="61" t="e">
        <v>#N/A</v>
      </c>
      <c r="AX9" s="65" t="e">
        <v>#N/A</v>
      </c>
      <c r="AY9" s="66" t="s">
        <v>121</v>
      </c>
      <c r="AZ9" s="61" t="s">
        <v>121</v>
      </c>
      <c r="BA9" s="61">
        <v>30.074000000000002</v>
      </c>
      <c r="BB9" s="61">
        <v>30.074000000000002</v>
      </c>
      <c r="BC9" s="61" t="s">
        <v>121</v>
      </c>
      <c r="BD9" s="61" t="s">
        <v>121</v>
      </c>
      <c r="BE9" s="61" t="s">
        <v>121</v>
      </c>
      <c r="BF9" s="61" t="s">
        <v>121</v>
      </c>
      <c r="BG9" s="61">
        <v>0.56999999999999995</v>
      </c>
      <c r="BH9" s="61" t="s">
        <v>121</v>
      </c>
      <c r="BI9" s="61" t="s">
        <v>121</v>
      </c>
      <c r="BJ9" s="61">
        <v>0.56999999999999995</v>
      </c>
      <c r="BK9" s="66">
        <v>0.56999999999999995</v>
      </c>
      <c r="BL9" s="67" t="s">
        <v>121</v>
      </c>
      <c r="BM9" s="61" t="s">
        <v>121</v>
      </c>
      <c r="BN9" s="61" t="s">
        <v>121</v>
      </c>
      <c r="BO9" s="61" t="s">
        <v>121</v>
      </c>
      <c r="BP9" s="61" t="s">
        <v>121</v>
      </c>
      <c r="BQ9" s="61">
        <v>232.91</v>
      </c>
      <c r="BR9" s="61">
        <v>1.869</v>
      </c>
      <c r="BS9" s="61" t="s">
        <v>121</v>
      </c>
      <c r="BT9" s="61" t="s">
        <v>121</v>
      </c>
      <c r="BU9" s="61">
        <v>0.04</v>
      </c>
      <c r="BV9" s="61">
        <v>0.17</v>
      </c>
      <c r="BW9" s="61">
        <v>0.21</v>
      </c>
      <c r="BX9" s="67">
        <v>234.989</v>
      </c>
      <c r="BY9" s="68">
        <v>85299</v>
      </c>
      <c r="BZ9" s="68">
        <v>72175</v>
      </c>
      <c r="CA9" s="69">
        <v>9870</v>
      </c>
      <c r="CB9" s="68">
        <v>160901</v>
      </c>
      <c r="CC9" s="68">
        <v>105</v>
      </c>
      <c r="CD9" s="61"/>
      <c r="CE9" s="64"/>
      <c r="CF9" s="64"/>
      <c r="CG9" s="70">
        <f t="shared" si="0"/>
        <v>6757.8419999999996</v>
      </c>
      <c r="CH9" s="70">
        <f t="shared" si="1"/>
        <v>414.54</v>
      </c>
      <c r="CI9" s="70">
        <f t="shared" si="2"/>
        <v>4.41</v>
      </c>
      <c r="CJ9" s="70">
        <f t="shared" si="4"/>
        <v>3582.558</v>
      </c>
      <c r="CK9" s="70">
        <f t="shared" si="3"/>
        <v>3031.35</v>
      </c>
      <c r="CL9" s="70">
        <f t="shared" si="5"/>
        <v>4.41</v>
      </c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</row>
    <row r="10" spans="1:153">
      <c r="A10" s="56">
        <v>26877</v>
      </c>
      <c r="B10" s="57"/>
      <c r="C10" s="5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8"/>
      <c r="P10" s="60">
        <v>129.73400000000001</v>
      </c>
      <c r="Q10" s="61" t="s">
        <v>121</v>
      </c>
      <c r="R10" s="61">
        <v>129.91800000000001</v>
      </c>
      <c r="S10" s="61">
        <v>353.75700000000001</v>
      </c>
      <c r="T10" s="61">
        <v>222.077</v>
      </c>
      <c r="U10" s="61">
        <v>1.762</v>
      </c>
      <c r="V10" s="61" t="s">
        <v>121</v>
      </c>
      <c r="W10" s="61" t="s">
        <v>121</v>
      </c>
      <c r="X10" s="61">
        <v>129.73400000000001</v>
      </c>
      <c r="Y10" s="61">
        <v>0.184</v>
      </c>
      <c r="Z10" s="61" t="s">
        <v>121</v>
      </c>
      <c r="AA10" s="61">
        <v>129.91800000000001</v>
      </c>
      <c r="AB10" s="60">
        <v>353.75700000000001</v>
      </c>
      <c r="AC10" s="62"/>
      <c r="AD10" s="61"/>
      <c r="AE10" s="61"/>
      <c r="AF10" s="61"/>
      <c r="AG10" s="61"/>
      <c r="AH10" s="61"/>
      <c r="AI10" s="61"/>
      <c r="AJ10" s="61"/>
      <c r="AK10" s="62"/>
      <c r="AL10" s="63"/>
      <c r="AM10" s="64"/>
      <c r="AN10" s="65" t="e">
        <v>#N/A</v>
      </c>
      <c r="AO10" s="61" t="e">
        <v>#N/A</v>
      </c>
      <c r="AP10" s="61" t="e">
        <v>#N/A</v>
      </c>
      <c r="AQ10" s="61" t="e">
        <v>#N/A</v>
      </c>
      <c r="AR10" s="61" t="e">
        <v>#N/A</v>
      </c>
      <c r="AS10" s="61" t="e">
        <v>#N/A</v>
      </c>
      <c r="AT10" s="61" t="e">
        <v>#N/A</v>
      </c>
      <c r="AU10" s="61" t="e">
        <v>#N/A</v>
      </c>
      <c r="AV10" s="61" t="e">
        <v>#N/A</v>
      </c>
      <c r="AW10" s="61" t="e">
        <v>#N/A</v>
      </c>
      <c r="AX10" s="65" t="e">
        <v>#N/A</v>
      </c>
      <c r="AY10" s="66" t="s">
        <v>121</v>
      </c>
      <c r="AZ10" s="61" t="s">
        <v>121</v>
      </c>
      <c r="BA10" s="61">
        <v>30.074000000000002</v>
      </c>
      <c r="BB10" s="61">
        <v>30.074000000000002</v>
      </c>
      <c r="BC10" s="61" t="s">
        <v>121</v>
      </c>
      <c r="BD10" s="61" t="s">
        <v>121</v>
      </c>
      <c r="BE10" s="61" t="s">
        <v>121</v>
      </c>
      <c r="BF10" s="61" t="s">
        <v>121</v>
      </c>
      <c r="BG10" s="61">
        <v>0.56999999999999995</v>
      </c>
      <c r="BH10" s="61" t="s">
        <v>121</v>
      </c>
      <c r="BI10" s="61" t="s">
        <v>121</v>
      </c>
      <c r="BJ10" s="61">
        <v>0.56999999999999995</v>
      </c>
      <c r="BK10" s="66">
        <v>0.56999999999999995</v>
      </c>
      <c r="BL10" s="67" t="s">
        <v>121</v>
      </c>
      <c r="BM10" s="61" t="s">
        <v>121</v>
      </c>
      <c r="BN10" s="61" t="s">
        <v>121</v>
      </c>
      <c r="BO10" s="61" t="s">
        <v>121</v>
      </c>
      <c r="BP10" s="61" t="s">
        <v>121</v>
      </c>
      <c r="BQ10" s="61">
        <v>219.41200000000001</v>
      </c>
      <c r="BR10" s="61">
        <v>1.762</v>
      </c>
      <c r="BS10" s="61" t="s">
        <v>121</v>
      </c>
      <c r="BT10" s="61" t="s">
        <v>121</v>
      </c>
      <c r="BU10" s="61">
        <v>0.157</v>
      </c>
      <c r="BV10" s="61">
        <v>0.184</v>
      </c>
      <c r="BW10" s="61">
        <v>0.34100000000000003</v>
      </c>
      <c r="BX10" s="67">
        <v>221.51599999999999</v>
      </c>
      <c r="BY10" s="68">
        <v>86840</v>
      </c>
      <c r="BZ10" s="68">
        <v>79208</v>
      </c>
      <c r="CA10" s="69">
        <v>8915</v>
      </c>
      <c r="CB10" s="68">
        <v>177304</v>
      </c>
      <c r="CC10" s="68">
        <v>264</v>
      </c>
      <c r="CD10" s="61"/>
      <c r="CE10" s="64"/>
      <c r="CF10" s="64"/>
      <c r="CG10" s="70">
        <f t="shared" si="0"/>
        <v>7446.768</v>
      </c>
      <c r="CH10" s="70">
        <f t="shared" si="1"/>
        <v>374.43</v>
      </c>
      <c r="CI10" s="70">
        <f t="shared" si="2"/>
        <v>11.087999999999999</v>
      </c>
      <c r="CJ10" s="70">
        <f t="shared" si="4"/>
        <v>3647.28</v>
      </c>
      <c r="CK10" s="70">
        <f t="shared" si="3"/>
        <v>3326.7359999999999</v>
      </c>
      <c r="CL10" s="70">
        <f t="shared" si="5"/>
        <v>11.087999999999999</v>
      </c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</row>
    <row r="11" spans="1:153">
      <c r="A11" s="56">
        <v>26908</v>
      </c>
      <c r="B11" s="57"/>
      <c r="C11" s="58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8"/>
      <c r="P11" s="60">
        <v>125.60299999999999</v>
      </c>
      <c r="Q11" s="61" t="s">
        <v>121</v>
      </c>
      <c r="R11" s="61">
        <v>125.782</v>
      </c>
      <c r="S11" s="61">
        <v>307.00599999999997</v>
      </c>
      <c r="T11" s="61">
        <v>179.733</v>
      </c>
      <c r="U11" s="61">
        <v>1.492</v>
      </c>
      <c r="V11" s="61" t="s">
        <v>121</v>
      </c>
      <c r="W11" s="61" t="s">
        <v>121</v>
      </c>
      <c r="X11" s="61">
        <v>125.60299999999999</v>
      </c>
      <c r="Y11" s="61">
        <v>0.17799999999999999</v>
      </c>
      <c r="Z11" s="61" t="s">
        <v>121</v>
      </c>
      <c r="AA11" s="61">
        <v>125.782</v>
      </c>
      <c r="AB11" s="60">
        <v>307.00599999999997</v>
      </c>
      <c r="AC11" s="62"/>
      <c r="AD11" s="61"/>
      <c r="AE11" s="61"/>
      <c r="AF11" s="61"/>
      <c r="AG11" s="61"/>
      <c r="AH11" s="61"/>
      <c r="AI11" s="61"/>
      <c r="AJ11" s="61"/>
      <c r="AK11" s="62"/>
      <c r="AL11" s="63"/>
      <c r="AM11" s="64"/>
      <c r="AN11" s="65" t="e">
        <v>#N/A</v>
      </c>
      <c r="AO11" s="61" t="e">
        <v>#N/A</v>
      </c>
      <c r="AP11" s="61" t="e">
        <v>#N/A</v>
      </c>
      <c r="AQ11" s="61" t="e">
        <v>#N/A</v>
      </c>
      <c r="AR11" s="61" t="e">
        <v>#N/A</v>
      </c>
      <c r="AS11" s="61" t="e">
        <v>#N/A</v>
      </c>
      <c r="AT11" s="61" t="e">
        <v>#N/A</v>
      </c>
      <c r="AU11" s="61" t="e">
        <v>#N/A</v>
      </c>
      <c r="AV11" s="61" t="e">
        <v>#N/A</v>
      </c>
      <c r="AW11" s="61" t="e">
        <v>#N/A</v>
      </c>
      <c r="AX11" s="65" t="e">
        <v>#N/A</v>
      </c>
      <c r="AY11" s="66" t="s">
        <v>121</v>
      </c>
      <c r="AZ11" s="61" t="s">
        <v>121</v>
      </c>
      <c r="BA11" s="61">
        <v>29.103999999999999</v>
      </c>
      <c r="BB11" s="61">
        <v>29.103999999999999</v>
      </c>
      <c r="BC11" s="61" t="s">
        <v>121</v>
      </c>
      <c r="BD11" s="61" t="s">
        <v>121</v>
      </c>
      <c r="BE11" s="61" t="s">
        <v>121</v>
      </c>
      <c r="BF11" s="61" t="s">
        <v>121</v>
      </c>
      <c r="BG11" s="61">
        <v>0.55100000000000005</v>
      </c>
      <c r="BH11" s="61" t="s">
        <v>121</v>
      </c>
      <c r="BI11" s="61" t="s">
        <v>121</v>
      </c>
      <c r="BJ11" s="61">
        <v>0.55100000000000005</v>
      </c>
      <c r="BK11" s="66">
        <v>0.55100000000000005</v>
      </c>
      <c r="BL11" s="67" t="s">
        <v>121</v>
      </c>
      <c r="BM11" s="61" t="s">
        <v>121</v>
      </c>
      <c r="BN11" s="61" t="s">
        <v>121</v>
      </c>
      <c r="BO11" s="61" t="s">
        <v>121</v>
      </c>
      <c r="BP11" s="61" t="s">
        <v>121</v>
      </c>
      <c r="BQ11" s="61">
        <v>177.40700000000001</v>
      </c>
      <c r="BR11" s="61">
        <v>1.492</v>
      </c>
      <c r="BS11" s="61" t="s">
        <v>121</v>
      </c>
      <c r="BT11" s="61" t="s">
        <v>121</v>
      </c>
      <c r="BU11" s="61">
        <v>0.20699999999999999</v>
      </c>
      <c r="BV11" s="61">
        <v>0.17799999999999999</v>
      </c>
      <c r="BW11" s="61">
        <v>0.38500000000000001</v>
      </c>
      <c r="BX11" s="67">
        <v>179.28399999999999</v>
      </c>
      <c r="BY11" s="68">
        <v>84379</v>
      </c>
      <c r="BZ11" s="68">
        <v>80241</v>
      </c>
      <c r="CA11" s="69">
        <v>9399</v>
      </c>
      <c r="CB11" s="68">
        <v>190209</v>
      </c>
      <c r="CC11" s="68">
        <v>761</v>
      </c>
      <c r="CD11" s="61"/>
      <c r="CE11" s="64"/>
      <c r="CF11" s="64"/>
      <c r="CG11" s="70">
        <f t="shared" si="0"/>
        <v>7988.7780000000002</v>
      </c>
      <c r="CH11" s="70">
        <f t="shared" si="1"/>
        <v>394.75799999999998</v>
      </c>
      <c r="CI11" s="70">
        <f t="shared" si="2"/>
        <v>31.962</v>
      </c>
      <c r="CJ11" s="70">
        <f t="shared" si="4"/>
        <v>3543.9180000000001</v>
      </c>
      <c r="CK11" s="70">
        <f t="shared" si="3"/>
        <v>3370.1219999999998</v>
      </c>
      <c r="CL11" s="70">
        <f t="shared" si="5"/>
        <v>31.962</v>
      </c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</row>
    <row r="12" spans="1:153">
      <c r="A12" s="56">
        <v>26938</v>
      </c>
      <c r="B12" s="57"/>
      <c r="C12" s="58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8"/>
      <c r="P12" s="60">
        <v>129.76900000000001</v>
      </c>
      <c r="Q12" s="61" t="s">
        <v>121</v>
      </c>
      <c r="R12" s="61">
        <v>129.97</v>
      </c>
      <c r="S12" s="61">
        <v>323.45299999999997</v>
      </c>
      <c r="T12" s="61">
        <v>191.72300000000001</v>
      </c>
      <c r="U12" s="61">
        <v>1.76</v>
      </c>
      <c r="V12" s="61" t="s">
        <v>121</v>
      </c>
      <c r="W12" s="61" t="s">
        <v>121</v>
      </c>
      <c r="X12" s="61">
        <v>129.76900000000001</v>
      </c>
      <c r="Y12" s="61">
        <v>0.2</v>
      </c>
      <c r="Z12" s="61" t="s">
        <v>121</v>
      </c>
      <c r="AA12" s="61">
        <v>129.97</v>
      </c>
      <c r="AB12" s="60">
        <v>323.45299999999997</v>
      </c>
      <c r="AC12" s="62"/>
      <c r="AD12" s="61"/>
      <c r="AE12" s="61"/>
      <c r="AF12" s="61"/>
      <c r="AG12" s="61"/>
      <c r="AH12" s="61"/>
      <c r="AI12" s="61"/>
      <c r="AJ12" s="61"/>
      <c r="AK12" s="62"/>
      <c r="AL12" s="63"/>
      <c r="AM12" s="64"/>
      <c r="AN12" s="65" t="e">
        <v>#N/A</v>
      </c>
      <c r="AO12" s="61" t="e">
        <v>#N/A</v>
      </c>
      <c r="AP12" s="61" t="e">
        <v>#N/A</v>
      </c>
      <c r="AQ12" s="61" t="e">
        <v>#N/A</v>
      </c>
      <c r="AR12" s="61" t="e">
        <v>#N/A</v>
      </c>
      <c r="AS12" s="61" t="e">
        <v>#N/A</v>
      </c>
      <c r="AT12" s="61" t="e">
        <v>#N/A</v>
      </c>
      <c r="AU12" s="61" t="e">
        <v>#N/A</v>
      </c>
      <c r="AV12" s="61" t="e">
        <v>#N/A</v>
      </c>
      <c r="AW12" s="61" t="e">
        <v>#N/A</v>
      </c>
      <c r="AX12" s="65" t="e">
        <v>#N/A</v>
      </c>
      <c r="AY12" s="66" t="s">
        <v>121</v>
      </c>
      <c r="AZ12" s="61" t="s">
        <v>121</v>
      </c>
      <c r="BA12" s="61">
        <v>30.074000000000002</v>
      </c>
      <c r="BB12" s="61">
        <v>30.074000000000002</v>
      </c>
      <c r="BC12" s="61" t="s">
        <v>121</v>
      </c>
      <c r="BD12" s="61" t="s">
        <v>121</v>
      </c>
      <c r="BE12" s="61" t="s">
        <v>121</v>
      </c>
      <c r="BF12" s="61" t="s">
        <v>121</v>
      </c>
      <c r="BG12" s="61">
        <v>0.56999999999999995</v>
      </c>
      <c r="BH12" s="61" t="s">
        <v>121</v>
      </c>
      <c r="BI12" s="61" t="s">
        <v>121</v>
      </c>
      <c r="BJ12" s="61">
        <v>0.56999999999999995</v>
      </c>
      <c r="BK12" s="66">
        <v>0.56999999999999995</v>
      </c>
      <c r="BL12" s="67" t="s">
        <v>121</v>
      </c>
      <c r="BM12" s="61" t="s">
        <v>121</v>
      </c>
      <c r="BN12" s="61" t="s">
        <v>121</v>
      </c>
      <c r="BO12" s="61" t="s">
        <v>121</v>
      </c>
      <c r="BP12" s="61" t="s">
        <v>121</v>
      </c>
      <c r="BQ12" s="61">
        <v>189.18899999999999</v>
      </c>
      <c r="BR12" s="61">
        <v>1.76</v>
      </c>
      <c r="BS12" s="61" t="s">
        <v>121</v>
      </c>
      <c r="BT12" s="61" t="s">
        <v>121</v>
      </c>
      <c r="BU12" s="61">
        <v>0.193</v>
      </c>
      <c r="BV12" s="61">
        <v>0.2</v>
      </c>
      <c r="BW12" s="61">
        <v>0.39300000000000002</v>
      </c>
      <c r="BX12" s="67">
        <v>191.34299999999999</v>
      </c>
      <c r="BY12" s="68">
        <v>90230</v>
      </c>
      <c r="BZ12" s="68">
        <v>90834</v>
      </c>
      <c r="CA12" s="69">
        <v>13978</v>
      </c>
      <c r="CB12" s="68">
        <v>203000</v>
      </c>
      <c r="CC12" s="68">
        <v>721</v>
      </c>
      <c r="CD12" s="61"/>
      <c r="CE12" s="64"/>
      <c r="CF12" s="64"/>
      <c r="CG12" s="70">
        <f t="shared" si="0"/>
        <v>8526</v>
      </c>
      <c r="CH12" s="70">
        <f t="shared" si="1"/>
        <v>587.07600000000002</v>
      </c>
      <c r="CI12" s="70">
        <f t="shared" si="2"/>
        <v>30.282</v>
      </c>
      <c r="CJ12" s="70">
        <f t="shared" si="4"/>
        <v>3789.66</v>
      </c>
      <c r="CK12" s="70">
        <f t="shared" si="3"/>
        <v>3815.0279999999998</v>
      </c>
      <c r="CL12" s="70">
        <f t="shared" si="5"/>
        <v>30.282</v>
      </c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</row>
    <row r="13" spans="1:153">
      <c r="A13" s="56">
        <v>26969</v>
      </c>
      <c r="B13" s="57"/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8"/>
      <c r="P13" s="60">
        <v>125.492</v>
      </c>
      <c r="Q13" s="61" t="s">
        <v>121</v>
      </c>
      <c r="R13" s="61">
        <v>125.643</v>
      </c>
      <c r="S13" s="61">
        <v>337.81700000000001</v>
      </c>
      <c r="T13" s="61">
        <v>210.285</v>
      </c>
      <c r="U13" s="61">
        <v>1.889</v>
      </c>
      <c r="V13" s="61" t="s">
        <v>121</v>
      </c>
      <c r="W13" s="61" t="s">
        <v>121</v>
      </c>
      <c r="X13" s="61">
        <v>125.492</v>
      </c>
      <c r="Y13" s="61">
        <v>0.151</v>
      </c>
      <c r="Z13" s="61" t="s">
        <v>121</v>
      </c>
      <c r="AA13" s="61">
        <v>125.643</v>
      </c>
      <c r="AB13" s="60">
        <v>337.81700000000001</v>
      </c>
      <c r="AC13" s="62"/>
      <c r="AD13" s="61"/>
      <c r="AE13" s="61"/>
      <c r="AF13" s="61"/>
      <c r="AG13" s="61"/>
      <c r="AH13" s="61"/>
      <c r="AI13" s="61"/>
      <c r="AJ13" s="61"/>
      <c r="AK13" s="62"/>
      <c r="AL13" s="63"/>
      <c r="AM13" s="64"/>
      <c r="AN13" s="65" t="e">
        <v>#N/A</v>
      </c>
      <c r="AO13" s="61" t="e">
        <v>#N/A</v>
      </c>
      <c r="AP13" s="61" t="e">
        <v>#N/A</v>
      </c>
      <c r="AQ13" s="61" t="e">
        <v>#N/A</v>
      </c>
      <c r="AR13" s="61" t="e">
        <v>#N/A</v>
      </c>
      <c r="AS13" s="61" t="e">
        <v>#N/A</v>
      </c>
      <c r="AT13" s="61" t="e">
        <v>#N/A</v>
      </c>
      <c r="AU13" s="61" t="e">
        <v>#N/A</v>
      </c>
      <c r="AV13" s="61" t="e">
        <v>#N/A</v>
      </c>
      <c r="AW13" s="61" t="e">
        <v>#N/A</v>
      </c>
      <c r="AX13" s="65" t="e">
        <v>#N/A</v>
      </c>
      <c r="AY13" s="66" t="s">
        <v>121</v>
      </c>
      <c r="AZ13" s="61" t="s">
        <v>121</v>
      </c>
      <c r="BA13" s="61">
        <v>29.103999999999999</v>
      </c>
      <c r="BB13" s="61">
        <v>29.103999999999999</v>
      </c>
      <c r="BC13" s="61" t="s">
        <v>121</v>
      </c>
      <c r="BD13" s="61" t="s">
        <v>121</v>
      </c>
      <c r="BE13" s="61" t="s">
        <v>121</v>
      </c>
      <c r="BF13" s="61" t="s">
        <v>121</v>
      </c>
      <c r="BG13" s="61">
        <v>0.55100000000000005</v>
      </c>
      <c r="BH13" s="61" t="s">
        <v>121</v>
      </c>
      <c r="BI13" s="61" t="s">
        <v>121</v>
      </c>
      <c r="BJ13" s="61">
        <v>0.55100000000000005</v>
      </c>
      <c r="BK13" s="66">
        <v>0.55100000000000005</v>
      </c>
      <c r="BL13" s="67" t="s">
        <v>121</v>
      </c>
      <c r="BM13" s="61" t="s">
        <v>121</v>
      </c>
      <c r="BN13" s="61" t="s">
        <v>121</v>
      </c>
      <c r="BO13" s="61" t="s">
        <v>121</v>
      </c>
      <c r="BP13" s="61" t="s">
        <v>121</v>
      </c>
      <c r="BQ13" s="61">
        <v>207.61699999999999</v>
      </c>
      <c r="BR13" s="61">
        <v>1.889</v>
      </c>
      <c r="BS13" s="61" t="s">
        <v>121</v>
      </c>
      <c r="BT13" s="61" t="s">
        <v>121</v>
      </c>
      <c r="BU13" s="61">
        <v>9.5000000000000001E-2</v>
      </c>
      <c r="BV13" s="61">
        <v>0.151</v>
      </c>
      <c r="BW13" s="61">
        <v>0.246</v>
      </c>
      <c r="BX13" s="67">
        <v>209.75200000000001</v>
      </c>
      <c r="BY13" s="68">
        <v>87672</v>
      </c>
      <c r="BZ13" s="68">
        <v>105230</v>
      </c>
      <c r="CA13" s="69">
        <v>14769</v>
      </c>
      <c r="CB13" s="68">
        <v>200218</v>
      </c>
      <c r="CC13" s="68">
        <v>97</v>
      </c>
      <c r="CD13" s="61"/>
      <c r="CE13" s="64"/>
      <c r="CF13" s="64"/>
      <c r="CG13" s="70">
        <f t="shared" si="0"/>
        <v>8409.1560000000009</v>
      </c>
      <c r="CH13" s="70">
        <f t="shared" si="1"/>
        <v>620.298</v>
      </c>
      <c r="CI13" s="70">
        <f t="shared" si="2"/>
        <v>4.0739999999999998</v>
      </c>
      <c r="CJ13" s="70">
        <f t="shared" si="4"/>
        <v>3682.2240000000002</v>
      </c>
      <c r="CK13" s="70">
        <f t="shared" si="3"/>
        <v>4419.66</v>
      </c>
      <c r="CL13" s="70">
        <f t="shared" si="5"/>
        <v>4.0739999999999998</v>
      </c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</row>
    <row r="14" spans="1:153">
      <c r="A14" s="56">
        <v>26999</v>
      </c>
      <c r="B14" s="57"/>
      <c r="C14" s="58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8"/>
      <c r="P14" s="60">
        <v>129.69</v>
      </c>
      <c r="Q14" s="61" t="s">
        <v>121</v>
      </c>
      <c r="R14" s="61">
        <v>129.82400000000001</v>
      </c>
      <c r="S14" s="61">
        <v>406.69400000000002</v>
      </c>
      <c r="T14" s="61">
        <v>274.435</v>
      </c>
      <c r="U14" s="61">
        <v>2.4350000000000001</v>
      </c>
      <c r="V14" s="61" t="s">
        <v>121</v>
      </c>
      <c r="W14" s="61" t="s">
        <v>121</v>
      </c>
      <c r="X14" s="61">
        <v>129.69</v>
      </c>
      <c r="Y14" s="61">
        <v>0.13500000000000001</v>
      </c>
      <c r="Z14" s="61" t="s">
        <v>121</v>
      </c>
      <c r="AA14" s="61">
        <v>129.82400000000001</v>
      </c>
      <c r="AB14" s="60">
        <v>406.69400000000002</v>
      </c>
      <c r="AC14" s="62"/>
      <c r="AD14" s="61"/>
      <c r="AE14" s="61"/>
      <c r="AF14" s="61"/>
      <c r="AG14" s="61"/>
      <c r="AH14" s="61"/>
      <c r="AI14" s="61"/>
      <c r="AJ14" s="61"/>
      <c r="AK14" s="62"/>
      <c r="AL14" s="63"/>
      <c r="AM14" s="64"/>
      <c r="AN14" s="65" t="e">
        <v>#N/A</v>
      </c>
      <c r="AO14" s="61" t="e">
        <v>#N/A</v>
      </c>
      <c r="AP14" s="61" t="e">
        <v>#N/A</v>
      </c>
      <c r="AQ14" s="61" t="e">
        <v>#N/A</v>
      </c>
      <c r="AR14" s="61" t="e">
        <v>#N/A</v>
      </c>
      <c r="AS14" s="61" t="e">
        <v>#N/A</v>
      </c>
      <c r="AT14" s="61" t="e">
        <v>#N/A</v>
      </c>
      <c r="AU14" s="61" t="e">
        <v>#N/A</v>
      </c>
      <c r="AV14" s="61" t="e">
        <v>#N/A</v>
      </c>
      <c r="AW14" s="61" t="e">
        <v>#N/A</v>
      </c>
      <c r="AX14" s="65" t="e">
        <v>#N/A</v>
      </c>
      <c r="AY14" s="66" t="s">
        <v>121</v>
      </c>
      <c r="AZ14" s="61" t="s">
        <v>121</v>
      </c>
      <c r="BA14" s="61">
        <v>30.074000000000002</v>
      </c>
      <c r="BB14" s="61">
        <v>30.074000000000002</v>
      </c>
      <c r="BC14" s="61" t="s">
        <v>121</v>
      </c>
      <c r="BD14" s="61" t="s">
        <v>121</v>
      </c>
      <c r="BE14" s="61" t="s">
        <v>121</v>
      </c>
      <c r="BF14" s="61" t="s">
        <v>121</v>
      </c>
      <c r="BG14" s="61">
        <v>0.56999999999999995</v>
      </c>
      <c r="BH14" s="61" t="s">
        <v>121</v>
      </c>
      <c r="BI14" s="61" t="s">
        <v>121</v>
      </c>
      <c r="BJ14" s="61">
        <v>0.56999999999999995</v>
      </c>
      <c r="BK14" s="66">
        <v>0.56999999999999995</v>
      </c>
      <c r="BL14" s="67" t="s">
        <v>121</v>
      </c>
      <c r="BM14" s="61" t="s">
        <v>121</v>
      </c>
      <c r="BN14" s="61" t="s">
        <v>121</v>
      </c>
      <c r="BO14" s="61" t="s">
        <v>121</v>
      </c>
      <c r="BP14" s="61" t="s">
        <v>121</v>
      </c>
      <c r="BQ14" s="61">
        <v>271.33499999999998</v>
      </c>
      <c r="BR14" s="61">
        <v>2.4350000000000001</v>
      </c>
      <c r="BS14" s="61" t="s">
        <v>121</v>
      </c>
      <c r="BT14" s="61" t="s">
        <v>121</v>
      </c>
      <c r="BU14" s="61">
        <v>0.113</v>
      </c>
      <c r="BV14" s="61">
        <v>0.13500000000000001</v>
      </c>
      <c r="BW14" s="61">
        <v>0.248</v>
      </c>
      <c r="BX14" s="67">
        <v>274.01900000000001</v>
      </c>
      <c r="BY14" s="68">
        <v>97215</v>
      </c>
      <c r="BZ14" s="68">
        <v>114394</v>
      </c>
      <c r="CA14" s="69">
        <v>13615</v>
      </c>
      <c r="CB14" s="68">
        <v>196461</v>
      </c>
      <c r="CC14" s="68">
        <v>308</v>
      </c>
      <c r="CD14" s="61"/>
      <c r="CE14" s="64"/>
      <c r="CF14" s="64"/>
      <c r="CG14" s="70">
        <f t="shared" si="0"/>
        <v>8251.3619999999992</v>
      </c>
      <c r="CH14" s="70">
        <f t="shared" si="1"/>
        <v>571.83000000000004</v>
      </c>
      <c r="CI14" s="70">
        <f t="shared" si="2"/>
        <v>12.936</v>
      </c>
      <c r="CJ14" s="70">
        <f t="shared" si="4"/>
        <v>4083.03</v>
      </c>
      <c r="CK14" s="70">
        <f t="shared" si="3"/>
        <v>4804.5479999999998</v>
      </c>
      <c r="CL14" s="70">
        <f t="shared" si="5"/>
        <v>12.936</v>
      </c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</row>
    <row r="15" spans="1:153">
      <c r="A15" s="56">
        <v>27030</v>
      </c>
      <c r="B15" s="57"/>
      <c r="C15" s="58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8"/>
      <c r="P15" s="60">
        <v>130.655</v>
      </c>
      <c r="Q15" s="61" t="s">
        <v>121</v>
      </c>
      <c r="R15" s="61">
        <v>130.80699999999999</v>
      </c>
      <c r="S15" s="61">
        <v>437.46699999999998</v>
      </c>
      <c r="T15" s="61">
        <v>304.50599999999997</v>
      </c>
      <c r="U15" s="61">
        <v>2.1539999999999999</v>
      </c>
      <c r="V15" s="61" t="s">
        <v>121</v>
      </c>
      <c r="W15" s="61" t="s">
        <v>121</v>
      </c>
      <c r="X15" s="61">
        <v>130.655</v>
      </c>
      <c r="Y15" s="61">
        <v>0.152</v>
      </c>
      <c r="Z15" s="61" t="s">
        <v>121</v>
      </c>
      <c r="AA15" s="61">
        <v>130.80699999999999</v>
      </c>
      <c r="AB15" s="60">
        <v>437.46699999999998</v>
      </c>
      <c r="AC15" s="62"/>
      <c r="AD15" s="61"/>
      <c r="AE15" s="61"/>
      <c r="AF15" s="61"/>
      <c r="AG15" s="61"/>
      <c r="AH15" s="61"/>
      <c r="AI15" s="61"/>
      <c r="AJ15" s="61"/>
      <c r="AK15" s="62"/>
      <c r="AL15" s="63"/>
      <c r="AM15" s="64"/>
      <c r="AN15" s="65" t="e">
        <v>#N/A</v>
      </c>
      <c r="AO15" s="61" t="e">
        <v>#N/A</v>
      </c>
      <c r="AP15" s="61" t="e">
        <v>#N/A</v>
      </c>
      <c r="AQ15" s="61" t="e">
        <v>#N/A</v>
      </c>
      <c r="AR15" s="61" t="e">
        <v>#N/A</v>
      </c>
      <c r="AS15" s="61" t="e">
        <v>#N/A</v>
      </c>
      <c r="AT15" s="61" t="e">
        <v>#N/A</v>
      </c>
      <c r="AU15" s="61" t="e">
        <v>#N/A</v>
      </c>
      <c r="AV15" s="61" t="e">
        <v>#N/A</v>
      </c>
      <c r="AW15" s="61" t="e">
        <v>#N/A</v>
      </c>
      <c r="AX15" s="65" t="e">
        <v>#N/A</v>
      </c>
      <c r="AY15" s="66" t="s">
        <v>121</v>
      </c>
      <c r="AZ15" s="61" t="s">
        <v>121</v>
      </c>
      <c r="BA15" s="61">
        <v>31.506</v>
      </c>
      <c r="BB15" s="61">
        <v>31.506</v>
      </c>
      <c r="BC15" s="61" t="s">
        <v>121</v>
      </c>
      <c r="BD15" s="61" t="s">
        <v>121</v>
      </c>
      <c r="BE15" s="61" t="s">
        <v>121</v>
      </c>
      <c r="BF15" s="61" t="s">
        <v>121</v>
      </c>
      <c r="BG15" s="61">
        <v>0.59599999999999997</v>
      </c>
      <c r="BH15" s="61" t="s">
        <v>121</v>
      </c>
      <c r="BI15" s="61" t="s">
        <v>121</v>
      </c>
      <c r="BJ15" s="61">
        <v>0.59599999999999997</v>
      </c>
      <c r="BK15" s="66">
        <v>0.59599999999999997</v>
      </c>
      <c r="BL15" s="67" t="s">
        <v>121</v>
      </c>
      <c r="BM15" s="61" t="s">
        <v>121</v>
      </c>
      <c r="BN15" s="61" t="s">
        <v>121</v>
      </c>
      <c r="BO15" s="61" t="s">
        <v>121</v>
      </c>
      <c r="BP15" s="61" t="s">
        <v>121</v>
      </c>
      <c r="BQ15" s="61">
        <v>301.36799999999999</v>
      </c>
      <c r="BR15" s="61">
        <v>2.1539999999999999</v>
      </c>
      <c r="BS15" s="61" t="s">
        <v>121</v>
      </c>
      <c r="BT15" s="61" t="s">
        <v>121</v>
      </c>
      <c r="BU15" s="61">
        <v>0.111</v>
      </c>
      <c r="BV15" s="61">
        <v>0.152</v>
      </c>
      <c r="BW15" s="61">
        <v>0.26300000000000001</v>
      </c>
      <c r="BX15" s="67">
        <v>303.78500000000003</v>
      </c>
      <c r="BY15" s="68">
        <v>89341</v>
      </c>
      <c r="BZ15" s="68">
        <v>118898</v>
      </c>
      <c r="CA15" s="69">
        <v>14377</v>
      </c>
      <c r="CB15" s="68">
        <v>181217</v>
      </c>
      <c r="CC15" s="68">
        <v>125</v>
      </c>
      <c r="CD15" s="61"/>
      <c r="CE15" s="64"/>
      <c r="CF15" s="64"/>
      <c r="CG15" s="70">
        <f t="shared" si="0"/>
        <v>7611.1139999999996</v>
      </c>
      <c r="CH15" s="70">
        <f t="shared" si="1"/>
        <v>603.83399999999995</v>
      </c>
      <c r="CI15" s="70">
        <f t="shared" si="2"/>
        <v>5.25</v>
      </c>
      <c r="CJ15" s="70">
        <f t="shared" si="4"/>
        <v>3752.3220000000001</v>
      </c>
      <c r="CK15" s="70">
        <f t="shared" si="3"/>
        <v>4993.7160000000003</v>
      </c>
      <c r="CL15" s="70">
        <f t="shared" si="5"/>
        <v>5.25</v>
      </c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61"/>
      <c r="ET15" s="61"/>
      <c r="EU15" s="61"/>
      <c r="EV15" s="61"/>
      <c r="EW15" s="61"/>
    </row>
    <row r="16" spans="1:153">
      <c r="A16" s="56">
        <v>27061</v>
      </c>
      <c r="B16" s="57"/>
      <c r="C16" s="58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8"/>
      <c r="P16" s="60">
        <v>117.949</v>
      </c>
      <c r="Q16" s="61" t="s">
        <v>121</v>
      </c>
      <c r="R16" s="61">
        <v>118.09099999999999</v>
      </c>
      <c r="S16" s="61">
        <v>399.94200000000001</v>
      </c>
      <c r="T16" s="61">
        <v>279.95</v>
      </c>
      <c r="U16" s="61">
        <v>1.901</v>
      </c>
      <c r="V16" s="61" t="s">
        <v>121</v>
      </c>
      <c r="W16" s="61" t="s">
        <v>121</v>
      </c>
      <c r="X16" s="61">
        <v>117.949</v>
      </c>
      <c r="Y16" s="61">
        <v>0.14199999999999999</v>
      </c>
      <c r="Z16" s="61" t="s">
        <v>121</v>
      </c>
      <c r="AA16" s="61">
        <v>118.09099999999999</v>
      </c>
      <c r="AB16" s="60">
        <v>399.94200000000001</v>
      </c>
      <c r="AC16" s="62"/>
      <c r="AD16" s="61"/>
      <c r="AE16" s="61"/>
      <c r="AF16" s="61"/>
      <c r="AG16" s="61"/>
      <c r="AH16" s="61"/>
      <c r="AI16" s="61"/>
      <c r="AJ16" s="61"/>
      <c r="AK16" s="62"/>
      <c r="AL16" s="63"/>
      <c r="AM16" s="64"/>
      <c r="AN16" s="65" t="e">
        <v>#N/A</v>
      </c>
      <c r="AO16" s="61" t="e">
        <v>#N/A</v>
      </c>
      <c r="AP16" s="61" t="e">
        <v>#N/A</v>
      </c>
      <c r="AQ16" s="61" t="e">
        <v>#N/A</v>
      </c>
      <c r="AR16" s="61" t="e">
        <v>#N/A</v>
      </c>
      <c r="AS16" s="61" t="e">
        <v>#N/A</v>
      </c>
      <c r="AT16" s="61" t="e">
        <v>#N/A</v>
      </c>
      <c r="AU16" s="61" t="e">
        <v>#N/A</v>
      </c>
      <c r="AV16" s="61" t="e">
        <v>#N/A</v>
      </c>
      <c r="AW16" s="61" t="e">
        <v>#N/A</v>
      </c>
      <c r="AX16" s="65" t="e">
        <v>#N/A</v>
      </c>
      <c r="AY16" s="66" t="s">
        <v>121</v>
      </c>
      <c r="AZ16" s="61" t="s">
        <v>121</v>
      </c>
      <c r="BA16" s="61">
        <v>28.457000000000001</v>
      </c>
      <c r="BB16" s="61">
        <v>28.457000000000001</v>
      </c>
      <c r="BC16" s="61" t="s">
        <v>121</v>
      </c>
      <c r="BD16" s="61" t="s">
        <v>121</v>
      </c>
      <c r="BE16" s="61" t="s">
        <v>121</v>
      </c>
      <c r="BF16" s="61" t="s">
        <v>121</v>
      </c>
      <c r="BG16" s="61">
        <v>0.53800000000000003</v>
      </c>
      <c r="BH16" s="61" t="s">
        <v>121</v>
      </c>
      <c r="BI16" s="61" t="s">
        <v>121</v>
      </c>
      <c r="BJ16" s="61">
        <v>0.53800000000000003</v>
      </c>
      <c r="BK16" s="66">
        <v>0.53800000000000003</v>
      </c>
      <c r="BL16" s="67" t="s">
        <v>121</v>
      </c>
      <c r="BM16" s="61" t="s">
        <v>121</v>
      </c>
      <c r="BN16" s="61" t="s">
        <v>121</v>
      </c>
      <c r="BO16" s="61" t="s">
        <v>121</v>
      </c>
      <c r="BP16" s="61" t="s">
        <v>121</v>
      </c>
      <c r="BQ16" s="61">
        <v>277.084</v>
      </c>
      <c r="BR16" s="61">
        <v>1.901</v>
      </c>
      <c r="BS16" s="61" t="s">
        <v>121</v>
      </c>
      <c r="BT16" s="61" t="s">
        <v>121</v>
      </c>
      <c r="BU16" s="61">
        <v>3.9E-2</v>
      </c>
      <c r="BV16" s="61">
        <v>0.14199999999999999</v>
      </c>
      <c r="BW16" s="61">
        <v>0.18099999999999999</v>
      </c>
      <c r="BX16" s="67">
        <v>279.16500000000002</v>
      </c>
      <c r="BY16" s="68">
        <v>67185</v>
      </c>
      <c r="BZ16" s="68">
        <v>107765</v>
      </c>
      <c r="CA16" s="69">
        <v>8577</v>
      </c>
      <c r="CB16" s="68">
        <v>149162</v>
      </c>
      <c r="CC16" s="68">
        <v>108</v>
      </c>
      <c r="CD16" s="61"/>
      <c r="CE16" s="64"/>
      <c r="CF16" s="64"/>
      <c r="CG16" s="70">
        <f t="shared" si="0"/>
        <v>6264.8040000000001</v>
      </c>
      <c r="CH16" s="70">
        <f t="shared" si="1"/>
        <v>360.23399999999998</v>
      </c>
      <c r="CI16" s="70">
        <f t="shared" si="2"/>
        <v>4.5359999999999996</v>
      </c>
      <c r="CJ16" s="70">
        <f t="shared" si="4"/>
        <v>2821.77</v>
      </c>
      <c r="CK16" s="70">
        <f t="shared" si="3"/>
        <v>4526.13</v>
      </c>
      <c r="CL16" s="70">
        <f t="shared" si="5"/>
        <v>4.5359999999999996</v>
      </c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61"/>
      <c r="EO16" s="61"/>
      <c r="EP16" s="61"/>
      <c r="EQ16" s="61"/>
      <c r="ER16" s="61"/>
      <c r="ES16" s="61"/>
      <c r="ET16" s="61"/>
      <c r="EU16" s="61"/>
      <c r="EV16" s="61"/>
      <c r="EW16" s="61"/>
    </row>
    <row r="17" spans="1:153">
      <c r="A17" s="56">
        <v>27089</v>
      </c>
      <c r="B17" s="57"/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8"/>
      <c r="P17" s="60">
        <v>130.57900000000001</v>
      </c>
      <c r="Q17" s="61" t="s">
        <v>121</v>
      </c>
      <c r="R17" s="61">
        <v>130.727</v>
      </c>
      <c r="S17" s="61">
        <v>423.47399999999999</v>
      </c>
      <c r="T17" s="61">
        <v>290.58199999999999</v>
      </c>
      <c r="U17" s="61">
        <v>2.165</v>
      </c>
      <c r="V17" s="61" t="s">
        <v>121</v>
      </c>
      <c r="W17" s="61" t="s">
        <v>121</v>
      </c>
      <c r="X17" s="61">
        <v>130.57900000000001</v>
      </c>
      <c r="Y17" s="61">
        <v>0.14799999999999999</v>
      </c>
      <c r="Z17" s="61" t="s">
        <v>121</v>
      </c>
      <c r="AA17" s="61">
        <v>130.727</v>
      </c>
      <c r="AB17" s="60">
        <v>423.47399999999999</v>
      </c>
      <c r="AC17" s="62"/>
      <c r="AD17" s="61"/>
      <c r="AE17" s="61"/>
      <c r="AF17" s="61"/>
      <c r="AG17" s="61"/>
      <c r="AH17" s="61"/>
      <c r="AI17" s="61"/>
      <c r="AJ17" s="61"/>
      <c r="AK17" s="62"/>
      <c r="AL17" s="63"/>
      <c r="AM17" s="64"/>
      <c r="AN17" s="65" t="e">
        <v>#N/A</v>
      </c>
      <c r="AO17" s="61" t="e">
        <v>#N/A</v>
      </c>
      <c r="AP17" s="61" t="e">
        <v>#N/A</v>
      </c>
      <c r="AQ17" s="61" t="e">
        <v>#N/A</v>
      </c>
      <c r="AR17" s="61" t="e">
        <v>#N/A</v>
      </c>
      <c r="AS17" s="61" t="e">
        <v>#N/A</v>
      </c>
      <c r="AT17" s="61" t="e">
        <v>#N/A</v>
      </c>
      <c r="AU17" s="61" t="e">
        <v>#N/A</v>
      </c>
      <c r="AV17" s="61" t="e">
        <v>#N/A</v>
      </c>
      <c r="AW17" s="61" t="e">
        <v>#N/A</v>
      </c>
      <c r="AX17" s="65" t="e">
        <v>#N/A</v>
      </c>
      <c r="AY17" s="66" t="s">
        <v>121</v>
      </c>
      <c r="AZ17" s="61" t="s">
        <v>121</v>
      </c>
      <c r="BA17" s="61">
        <v>31.506</v>
      </c>
      <c r="BB17" s="61">
        <v>31.506</v>
      </c>
      <c r="BC17" s="61" t="s">
        <v>121</v>
      </c>
      <c r="BD17" s="61" t="s">
        <v>121</v>
      </c>
      <c r="BE17" s="61" t="s">
        <v>121</v>
      </c>
      <c r="BF17" s="61" t="s">
        <v>121</v>
      </c>
      <c r="BG17" s="61">
        <v>0.59599999999999997</v>
      </c>
      <c r="BH17" s="61" t="s">
        <v>121</v>
      </c>
      <c r="BI17" s="61" t="s">
        <v>121</v>
      </c>
      <c r="BJ17" s="61">
        <v>0.59599999999999997</v>
      </c>
      <c r="BK17" s="66">
        <v>0.59599999999999997</v>
      </c>
      <c r="BL17" s="67" t="s">
        <v>121</v>
      </c>
      <c r="BM17" s="61" t="s">
        <v>121</v>
      </c>
      <c r="BN17" s="61" t="s">
        <v>121</v>
      </c>
      <c r="BO17" s="61" t="s">
        <v>121</v>
      </c>
      <c r="BP17" s="61" t="s">
        <v>121</v>
      </c>
      <c r="BQ17" s="61">
        <v>287.51</v>
      </c>
      <c r="BR17" s="61">
        <v>2.165</v>
      </c>
      <c r="BS17" s="61" t="s">
        <v>121</v>
      </c>
      <c r="BT17" s="61" t="s">
        <v>121</v>
      </c>
      <c r="BU17" s="61">
        <v>3.5999999999999997E-2</v>
      </c>
      <c r="BV17" s="61">
        <v>0.14799999999999999</v>
      </c>
      <c r="BW17" s="61">
        <v>0.184</v>
      </c>
      <c r="BX17" s="67">
        <v>289.858</v>
      </c>
      <c r="BY17" s="68">
        <v>69037</v>
      </c>
      <c r="BZ17" s="68">
        <v>98088</v>
      </c>
      <c r="CA17" s="69">
        <v>8893</v>
      </c>
      <c r="CB17" s="68">
        <v>128852</v>
      </c>
      <c r="CC17" s="68">
        <v>204</v>
      </c>
      <c r="CD17" s="61"/>
      <c r="CE17" s="64"/>
      <c r="CF17" s="64"/>
      <c r="CG17" s="70">
        <f t="shared" si="0"/>
        <v>5411.7839999999997</v>
      </c>
      <c r="CH17" s="70">
        <f t="shared" si="1"/>
        <v>373.50599999999997</v>
      </c>
      <c r="CI17" s="70">
        <f t="shared" si="2"/>
        <v>8.5679999999999996</v>
      </c>
      <c r="CJ17" s="70">
        <f t="shared" si="4"/>
        <v>2899.5540000000001</v>
      </c>
      <c r="CK17" s="70">
        <f t="shared" si="3"/>
        <v>4119.6959999999999</v>
      </c>
      <c r="CL17" s="70">
        <f t="shared" si="5"/>
        <v>8.5679999999999996</v>
      </c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61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61"/>
      <c r="EO17" s="61"/>
      <c r="EP17" s="61"/>
      <c r="EQ17" s="61"/>
      <c r="ER17" s="61"/>
      <c r="ES17" s="61"/>
      <c r="ET17" s="61"/>
      <c r="EU17" s="61"/>
      <c r="EV17" s="61"/>
      <c r="EW17" s="61"/>
    </row>
    <row r="18" spans="1:153">
      <c r="A18" s="56">
        <v>27120</v>
      </c>
      <c r="B18" s="57"/>
      <c r="C18" s="58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8"/>
      <c r="P18" s="60">
        <v>126.441</v>
      </c>
      <c r="Q18" s="61" t="s">
        <v>121</v>
      </c>
      <c r="R18" s="61">
        <v>126.583</v>
      </c>
      <c r="S18" s="61">
        <v>422.32299999999998</v>
      </c>
      <c r="T18" s="61">
        <v>293.702</v>
      </c>
      <c r="U18" s="61">
        <v>2.0390000000000001</v>
      </c>
      <c r="V18" s="61" t="s">
        <v>121</v>
      </c>
      <c r="W18" s="61" t="s">
        <v>121</v>
      </c>
      <c r="X18" s="61">
        <v>126.441</v>
      </c>
      <c r="Y18" s="61">
        <v>0.14199999999999999</v>
      </c>
      <c r="Z18" s="61" t="s">
        <v>121</v>
      </c>
      <c r="AA18" s="61">
        <v>126.583</v>
      </c>
      <c r="AB18" s="60">
        <v>422.32299999999998</v>
      </c>
      <c r="AC18" s="62"/>
      <c r="AD18" s="61"/>
      <c r="AE18" s="61"/>
      <c r="AF18" s="61"/>
      <c r="AG18" s="61"/>
      <c r="AH18" s="61"/>
      <c r="AI18" s="61"/>
      <c r="AJ18" s="61"/>
      <c r="AK18" s="62"/>
      <c r="AL18" s="63"/>
      <c r="AM18" s="64"/>
      <c r="AN18" s="65" t="e">
        <v>#N/A</v>
      </c>
      <c r="AO18" s="61" t="e">
        <v>#N/A</v>
      </c>
      <c r="AP18" s="61" t="e">
        <v>#N/A</v>
      </c>
      <c r="AQ18" s="61" t="e">
        <v>#N/A</v>
      </c>
      <c r="AR18" s="61" t="e">
        <v>#N/A</v>
      </c>
      <c r="AS18" s="61" t="e">
        <v>#N/A</v>
      </c>
      <c r="AT18" s="61" t="e">
        <v>#N/A</v>
      </c>
      <c r="AU18" s="61" t="e">
        <v>#N/A</v>
      </c>
      <c r="AV18" s="61" t="e">
        <v>#N/A</v>
      </c>
      <c r="AW18" s="61" t="e">
        <v>#N/A</v>
      </c>
      <c r="AX18" s="65" t="e">
        <v>#N/A</v>
      </c>
      <c r="AY18" s="66" t="s">
        <v>121</v>
      </c>
      <c r="AZ18" s="61" t="s">
        <v>121</v>
      </c>
      <c r="BA18" s="61">
        <v>30.489000000000001</v>
      </c>
      <c r="BB18" s="61">
        <v>30.489000000000001</v>
      </c>
      <c r="BC18" s="61" t="s">
        <v>121</v>
      </c>
      <c r="BD18" s="61" t="s">
        <v>121</v>
      </c>
      <c r="BE18" s="61" t="s">
        <v>121</v>
      </c>
      <c r="BF18" s="61" t="s">
        <v>121</v>
      </c>
      <c r="BG18" s="61">
        <v>0.57699999999999996</v>
      </c>
      <c r="BH18" s="61" t="s">
        <v>121</v>
      </c>
      <c r="BI18" s="61" t="s">
        <v>121</v>
      </c>
      <c r="BJ18" s="61">
        <v>0.57699999999999996</v>
      </c>
      <c r="BK18" s="66">
        <v>0.57699999999999996</v>
      </c>
      <c r="BL18" s="67" t="s">
        <v>121</v>
      </c>
      <c r="BM18" s="61" t="s">
        <v>121</v>
      </c>
      <c r="BN18" s="61" t="s">
        <v>121</v>
      </c>
      <c r="BO18" s="61" t="s">
        <v>121</v>
      </c>
      <c r="BP18" s="61" t="s">
        <v>121</v>
      </c>
      <c r="BQ18" s="61">
        <v>290.666</v>
      </c>
      <c r="BR18" s="61">
        <v>2.0390000000000001</v>
      </c>
      <c r="BS18" s="61" t="s">
        <v>121</v>
      </c>
      <c r="BT18" s="61" t="s">
        <v>121</v>
      </c>
      <c r="BU18" s="61">
        <v>0.108</v>
      </c>
      <c r="BV18" s="61">
        <v>0.14199999999999999</v>
      </c>
      <c r="BW18" s="61">
        <v>0.25</v>
      </c>
      <c r="BX18" s="67">
        <v>292.95499999999998</v>
      </c>
      <c r="BY18" s="68">
        <v>75675</v>
      </c>
      <c r="BZ18" s="68">
        <v>85566</v>
      </c>
      <c r="CA18" s="69">
        <v>6612</v>
      </c>
      <c r="CB18" s="68">
        <v>125587</v>
      </c>
      <c r="CC18" s="68">
        <v>41</v>
      </c>
      <c r="CD18" s="61"/>
      <c r="CE18" s="64"/>
      <c r="CF18" s="64"/>
      <c r="CG18" s="70">
        <f t="shared" si="0"/>
        <v>5274.6540000000005</v>
      </c>
      <c r="CH18" s="70">
        <f t="shared" si="1"/>
        <v>277.70400000000001</v>
      </c>
      <c r="CI18" s="70">
        <f t="shared" si="2"/>
        <v>1.722</v>
      </c>
      <c r="CJ18" s="70">
        <f t="shared" si="4"/>
        <v>3178.35</v>
      </c>
      <c r="CK18" s="70">
        <f t="shared" si="3"/>
        <v>3593.7719999999999</v>
      </c>
      <c r="CL18" s="70">
        <f t="shared" si="5"/>
        <v>1.722</v>
      </c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</row>
    <row r="19" spans="1:153">
      <c r="A19" s="56">
        <v>27150</v>
      </c>
      <c r="B19" s="57"/>
      <c r="C19" s="58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60">
        <v>130.65899999999999</v>
      </c>
      <c r="Q19" s="61" t="s">
        <v>121</v>
      </c>
      <c r="R19" s="61">
        <v>130.78899999999999</v>
      </c>
      <c r="S19" s="61">
        <v>427.65699999999998</v>
      </c>
      <c r="T19" s="61">
        <v>294.82799999999997</v>
      </c>
      <c r="U19" s="61">
        <v>2.04</v>
      </c>
      <c r="V19" s="61" t="s">
        <v>121</v>
      </c>
      <c r="W19" s="61" t="s">
        <v>121</v>
      </c>
      <c r="X19" s="61">
        <v>130.65899999999999</v>
      </c>
      <c r="Y19" s="61">
        <v>0.129</v>
      </c>
      <c r="Z19" s="61" t="s">
        <v>121</v>
      </c>
      <c r="AA19" s="61">
        <v>130.78899999999999</v>
      </c>
      <c r="AB19" s="60">
        <v>427.65699999999998</v>
      </c>
      <c r="AC19" s="62"/>
      <c r="AD19" s="61"/>
      <c r="AE19" s="61"/>
      <c r="AF19" s="61"/>
      <c r="AG19" s="61"/>
      <c r="AH19" s="61"/>
      <c r="AI19" s="61"/>
      <c r="AJ19" s="61"/>
      <c r="AK19" s="62"/>
      <c r="AL19" s="63"/>
      <c r="AM19" s="64"/>
      <c r="AN19" s="65" t="e">
        <v>#N/A</v>
      </c>
      <c r="AO19" s="61" t="e">
        <v>#N/A</v>
      </c>
      <c r="AP19" s="61" t="e">
        <v>#N/A</v>
      </c>
      <c r="AQ19" s="61" t="e">
        <v>#N/A</v>
      </c>
      <c r="AR19" s="61" t="e">
        <v>#N/A</v>
      </c>
      <c r="AS19" s="61" t="e">
        <v>#N/A</v>
      </c>
      <c r="AT19" s="61" t="e">
        <v>#N/A</v>
      </c>
      <c r="AU19" s="61" t="e">
        <v>#N/A</v>
      </c>
      <c r="AV19" s="61" t="e">
        <v>#N/A</v>
      </c>
      <c r="AW19" s="61" t="e">
        <v>#N/A</v>
      </c>
      <c r="AX19" s="65" t="e">
        <v>#N/A</v>
      </c>
      <c r="AY19" s="66" t="s">
        <v>121</v>
      </c>
      <c r="AZ19" s="61" t="s">
        <v>121</v>
      </c>
      <c r="BA19" s="61">
        <v>31.506</v>
      </c>
      <c r="BB19" s="61">
        <v>31.506</v>
      </c>
      <c r="BC19" s="61" t="s">
        <v>121</v>
      </c>
      <c r="BD19" s="61" t="s">
        <v>121</v>
      </c>
      <c r="BE19" s="61" t="s">
        <v>121</v>
      </c>
      <c r="BF19" s="61" t="s">
        <v>121</v>
      </c>
      <c r="BG19" s="61">
        <v>0.59599999999999997</v>
      </c>
      <c r="BH19" s="61" t="s">
        <v>121</v>
      </c>
      <c r="BI19" s="61" t="s">
        <v>121</v>
      </c>
      <c r="BJ19" s="61">
        <v>0.59599999999999997</v>
      </c>
      <c r="BK19" s="66">
        <v>0.59599999999999997</v>
      </c>
      <c r="BL19" s="67" t="s">
        <v>121</v>
      </c>
      <c r="BM19" s="61" t="s">
        <v>121</v>
      </c>
      <c r="BN19" s="61" t="s">
        <v>121</v>
      </c>
      <c r="BO19" s="61" t="s">
        <v>121</v>
      </c>
      <c r="BP19" s="61" t="s">
        <v>121</v>
      </c>
      <c r="BQ19" s="61">
        <v>291.69799999999998</v>
      </c>
      <c r="BR19" s="61">
        <v>2.04</v>
      </c>
      <c r="BS19" s="61" t="s">
        <v>121</v>
      </c>
      <c r="BT19" s="61" t="s">
        <v>121</v>
      </c>
      <c r="BU19" s="61">
        <v>0.11600000000000001</v>
      </c>
      <c r="BV19" s="61">
        <v>0.129</v>
      </c>
      <c r="BW19" s="61">
        <v>0.245</v>
      </c>
      <c r="BX19" s="67">
        <v>293.983</v>
      </c>
      <c r="BY19" s="68">
        <v>83855</v>
      </c>
      <c r="BZ19" s="68">
        <v>75949</v>
      </c>
      <c r="CA19" s="69">
        <v>8305</v>
      </c>
      <c r="CB19" s="68">
        <v>141843</v>
      </c>
      <c r="CC19" s="68">
        <v>27</v>
      </c>
      <c r="CD19" s="61"/>
      <c r="CE19" s="64"/>
      <c r="CF19" s="64"/>
      <c r="CG19" s="70">
        <f t="shared" si="0"/>
        <v>5957.4059999999999</v>
      </c>
      <c r="CH19" s="70">
        <f t="shared" si="1"/>
        <v>348.81</v>
      </c>
      <c r="CI19" s="70">
        <f t="shared" si="2"/>
        <v>1.1339999999999999</v>
      </c>
      <c r="CJ19" s="70">
        <f t="shared" si="4"/>
        <v>3521.91</v>
      </c>
      <c r="CK19" s="70">
        <f t="shared" si="3"/>
        <v>3189.8580000000002</v>
      </c>
      <c r="CL19" s="70">
        <f t="shared" si="5"/>
        <v>1.1339999999999999</v>
      </c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  <c r="EV19" s="61"/>
      <c r="EW19" s="61"/>
    </row>
    <row r="20" spans="1:153">
      <c r="A20" s="56">
        <v>27181</v>
      </c>
      <c r="B20" s="57"/>
      <c r="C20" s="58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8"/>
      <c r="P20" s="60">
        <v>126.432</v>
      </c>
      <c r="Q20" s="61" t="s">
        <v>121</v>
      </c>
      <c r="R20" s="61">
        <v>126.611</v>
      </c>
      <c r="S20" s="61">
        <v>409.28100000000001</v>
      </c>
      <c r="T20" s="61">
        <v>280.69499999999999</v>
      </c>
      <c r="U20" s="61">
        <v>1.9750000000000001</v>
      </c>
      <c r="V20" s="61" t="s">
        <v>121</v>
      </c>
      <c r="W20" s="61" t="s">
        <v>121</v>
      </c>
      <c r="X20" s="61">
        <v>126.432</v>
      </c>
      <c r="Y20" s="61">
        <v>0.17899999999999999</v>
      </c>
      <c r="Z20" s="61" t="s">
        <v>121</v>
      </c>
      <c r="AA20" s="61">
        <v>126.611</v>
      </c>
      <c r="AB20" s="60">
        <v>409.28100000000001</v>
      </c>
      <c r="AC20" s="62"/>
      <c r="AD20" s="61"/>
      <c r="AE20" s="61"/>
      <c r="AF20" s="61"/>
      <c r="AG20" s="61"/>
      <c r="AH20" s="61"/>
      <c r="AI20" s="61"/>
      <c r="AJ20" s="61"/>
      <c r="AK20" s="62"/>
      <c r="AL20" s="63"/>
      <c r="AM20" s="64"/>
      <c r="AN20" s="65" t="e">
        <v>#N/A</v>
      </c>
      <c r="AO20" s="61" t="e">
        <v>#N/A</v>
      </c>
      <c r="AP20" s="61" t="e">
        <v>#N/A</v>
      </c>
      <c r="AQ20" s="61" t="e">
        <v>#N/A</v>
      </c>
      <c r="AR20" s="61" t="e">
        <v>#N/A</v>
      </c>
      <c r="AS20" s="61" t="e">
        <v>#N/A</v>
      </c>
      <c r="AT20" s="61" t="e">
        <v>#N/A</v>
      </c>
      <c r="AU20" s="61" t="e">
        <v>#N/A</v>
      </c>
      <c r="AV20" s="61" t="e">
        <v>#N/A</v>
      </c>
      <c r="AW20" s="61" t="e">
        <v>#N/A</v>
      </c>
      <c r="AX20" s="65" t="e">
        <v>#N/A</v>
      </c>
      <c r="AY20" s="66" t="s">
        <v>121</v>
      </c>
      <c r="AZ20" s="61" t="s">
        <v>121</v>
      </c>
      <c r="BA20" s="61">
        <v>30.489000000000001</v>
      </c>
      <c r="BB20" s="61">
        <v>30.489000000000001</v>
      </c>
      <c r="BC20" s="61" t="s">
        <v>121</v>
      </c>
      <c r="BD20" s="61" t="s">
        <v>121</v>
      </c>
      <c r="BE20" s="61" t="s">
        <v>121</v>
      </c>
      <c r="BF20" s="61" t="s">
        <v>121</v>
      </c>
      <c r="BG20" s="61">
        <v>0.57699999999999996</v>
      </c>
      <c r="BH20" s="61" t="s">
        <v>121</v>
      </c>
      <c r="BI20" s="61" t="s">
        <v>121</v>
      </c>
      <c r="BJ20" s="61">
        <v>0.57699999999999996</v>
      </c>
      <c r="BK20" s="66">
        <v>0.57699999999999996</v>
      </c>
      <c r="BL20" s="67" t="s">
        <v>121</v>
      </c>
      <c r="BM20" s="61" t="s">
        <v>121</v>
      </c>
      <c r="BN20" s="61" t="s">
        <v>121</v>
      </c>
      <c r="BO20" s="61" t="s">
        <v>121</v>
      </c>
      <c r="BP20" s="61" t="s">
        <v>121</v>
      </c>
      <c r="BQ20" s="61">
        <v>277.77800000000002</v>
      </c>
      <c r="BR20" s="61">
        <v>1.9750000000000001</v>
      </c>
      <c r="BS20" s="61" t="s">
        <v>121</v>
      </c>
      <c r="BT20" s="61" t="s">
        <v>121</v>
      </c>
      <c r="BU20" s="61">
        <v>0.1</v>
      </c>
      <c r="BV20" s="61">
        <v>0.17899999999999999</v>
      </c>
      <c r="BW20" s="61">
        <v>0.27900000000000003</v>
      </c>
      <c r="BX20" s="67">
        <v>280.03199999999998</v>
      </c>
      <c r="BY20" s="68">
        <v>83504</v>
      </c>
      <c r="BZ20" s="68">
        <v>71311</v>
      </c>
      <c r="CA20" s="69">
        <v>6589</v>
      </c>
      <c r="CB20" s="68">
        <v>160680</v>
      </c>
      <c r="CC20" s="68">
        <v>34</v>
      </c>
      <c r="CD20" s="61"/>
      <c r="CE20" s="64"/>
      <c r="CF20" s="64"/>
      <c r="CG20" s="70">
        <f t="shared" si="0"/>
        <v>6748.56</v>
      </c>
      <c r="CH20" s="70">
        <f t="shared" si="1"/>
        <v>276.738</v>
      </c>
      <c r="CI20" s="70">
        <f t="shared" si="2"/>
        <v>1.4279999999999999</v>
      </c>
      <c r="CJ20" s="70">
        <f t="shared" si="4"/>
        <v>3507.1680000000001</v>
      </c>
      <c r="CK20" s="70">
        <f t="shared" si="3"/>
        <v>2995.0619999999999</v>
      </c>
      <c r="CL20" s="70">
        <f t="shared" si="5"/>
        <v>1.4279999999999999</v>
      </c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</row>
    <row r="21" spans="1:153">
      <c r="A21" s="56">
        <v>27211</v>
      </c>
      <c r="B21" s="57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8"/>
      <c r="P21" s="60">
        <v>130.548</v>
      </c>
      <c r="Q21" s="61" t="s">
        <v>121</v>
      </c>
      <c r="R21" s="61">
        <v>130.756</v>
      </c>
      <c r="S21" s="61">
        <v>409.71899999999999</v>
      </c>
      <c r="T21" s="61">
        <v>276.77199999999999</v>
      </c>
      <c r="U21" s="61">
        <v>2.1909999999999998</v>
      </c>
      <c r="V21" s="61" t="s">
        <v>121</v>
      </c>
      <c r="W21" s="61" t="s">
        <v>121</v>
      </c>
      <c r="X21" s="61">
        <v>130.548</v>
      </c>
      <c r="Y21" s="61">
        <v>0.20799999999999999</v>
      </c>
      <c r="Z21" s="61" t="s">
        <v>121</v>
      </c>
      <c r="AA21" s="61">
        <v>130.756</v>
      </c>
      <c r="AB21" s="60">
        <v>409.71899999999999</v>
      </c>
      <c r="AC21" s="62"/>
      <c r="AD21" s="61"/>
      <c r="AE21" s="61"/>
      <c r="AF21" s="61"/>
      <c r="AG21" s="61"/>
      <c r="AH21" s="61"/>
      <c r="AI21" s="61"/>
      <c r="AJ21" s="61"/>
      <c r="AK21" s="62"/>
      <c r="AL21" s="63"/>
      <c r="AM21" s="64"/>
      <c r="AN21" s="65" t="e">
        <v>#N/A</v>
      </c>
      <c r="AO21" s="61" t="e">
        <v>#N/A</v>
      </c>
      <c r="AP21" s="61" t="e">
        <v>#N/A</v>
      </c>
      <c r="AQ21" s="61" t="e">
        <v>#N/A</v>
      </c>
      <c r="AR21" s="61" t="e">
        <v>#N/A</v>
      </c>
      <c r="AS21" s="61" t="e">
        <v>#N/A</v>
      </c>
      <c r="AT21" s="61" t="e">
        <v>#N/A</v>
      </c>
      <c r="AU21" s="61" t="e">
        <v>#N/A</v>
      </c>
      <c r="AV21" s="61" t="e">
        <v>#N/A</v>
      </c>
      <c r="AW21" s="61" t="e">
        <v>#N/A</v>
      </c>
      <c r="AX21" s="65" t="e">
        <v>#N/A</v>
      </c>
      <c r="AY21" s="66" t="s">
        <v>121</v>
      </c>
      <c r="AZ21" s="61" t="s">
        <v>121</v>
      </c>
      <c r="BA21" s="61">
        <v>31.506</v>
      </c>
      <c r="BB21" s="61">
        <v>31.506</v>
      </c>
      <c r="BC21" s="61" t="s">
        <v>121</v>
      </c>
      <c r="BD21" s="61" t="s">
        <v>121</v>
      </c>
      <c r="BE21" s="61" t="s">
        <v>121</v>
      </c>
      <c r="BF21" s="61" t="s">
        <v>121</v>
      </c>
      <c r="BG21" s="61">
        <v>0.59599999999999997</v>
      </c>
      <c r="BH21" s="61" t="s">
        <v>121</v>
      </c>
      <c r="BI21" s="61" t="s">
        <v>121</v>
      </c>
      <c r="BJ21" s="61">
        <v>0.59599999999999997</v>
      </c>
      <c r="BK21" s="66">
        <v>0.59599999999999997</v>
      </c>
      <c r="BL21" s="67" t="s">
        <v>121</v>
      </c>
      <c r="BM21" s="61" t="s">
        <v>121</v>
      </c>
      <c r="BN21" s="61" t="s">
        <v>121</v>
      </c>
      <c r="BO21" s="61" t="s">
        <v>121</v>
      </c>
      <c r="BP21" s="61" t="s">
        <v>121</v>
      </c>
      <c r="BQ21" s="61">
        <v>274.10500000000002</v>
      </c>
      <c r="BR21" s="61">
        <v>2.1909999999999998</v>
      </c>
      <c r="BS21" s="61" t="s">
        <v>121</v>
      </c>
      <c r="BT21" s="61" t="s">
        <v>121</v>
      </c>
      <c r="BU21" s="61">
        <v>5.0000000000000001E-3</v>
      </c>
      <c r="BV21" s="61">
        <v>0.20799999999999999</v>
      </c>
      <c r="BW21" s="61">
        <v>0.21299999999999999</v>
      </c>
      <c r="BX21" s="67">
        <v>276.50799999999998</v>
      </c>
      <c r="BY21" s="68">
        <v>86565</v>
      </c>
      <c r="BZ21" s="68">
        <v>71566</v>
      </c>
      <c r="CA21" s="69">
        <v>6838</v>
      </c>
      <c r="CB21" s="68">
        <v>182495</v>
      </c>
      <c r="CC21" s="68">
        <v>84</v>
      </c>
      <c r="CD21" s="61"/>
      <c r="CE21" s="64"/>
      <c r="CF21" s="64"/>
      <c r="CG21" s="70">
        <f t="shared" si="0"/>
        <v>7664.79</v>
      </c>
      <c r="CH21" s="70">
        <f t="shared" si="1"/>
        <v>287.19600000000003</v>
      </c>
      <c r="CI21" s="70">
        <f t="shared" si="2"/>
        <v>3.528</v>
      </c>
      <c r="CJ21" s="70">
        <f t="shared" si="4"/>
        <v>3635.73</v>
      </c>
      <c r="CK21" s="70">
        <f t="shared" si="3"/>
        <v>3005.7719999999999</v>
      </c>
      <c r="CL21" s="70">
        <f t="shared" si="5"/>
        <v>3.528</v>
      </c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</row>
    <row r="22" spans="1:153">
      <c r="A22" s="56">
        <v>27242</v>
      </c>
      <c r="B22" s="57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8"/>
      <c r="P22" s="60">
        <v>130.57400000000001</v>
      </c>
      <c r="Q22" s="61" t="s">
        <v>121</v>
      </c>
      <c r="R22" s="61">
        <v>130.76300000000001</v>
      </c>
      <c r="S22" s="61">
        <v>386.101</v>
      </c>
      <c r="T22" s="61">
        <v>253.17500000000001</v>
      </c>
      <c r="U22" s="61">
        <v>2.1629999999999998</v>
      </c>
      <c r="V22" s="61" t="s">
        <v>121</v>
      </c>
      <c r="W22" s="61" t="s">
        <v>121</v>
      </c>
      <c r="X22" s="61">
        <v>130.57400000000001</v>
      </c>
      <c r="Y22" s="61">
        <v>0.189</v>
      </c>
      <c r="Z22" s="61" t="s">
        <v>121</v>
      </c>
      <c r="AA22" s="61">
        <v>130.76300000000001</v>
      </c>
      <c r="AB22" s="60">
        <v>386.101</v>
      </c>
      <c r="AC22" s="62"/>
      <c r="AD22" s="61"/>
      <c r="AE22" s="61"/>
      <c r="AF22" s="61"/>
      <c r="AG22" s="61"/>
      <c r="AH22" s="61"/>
      <c r="AI22" s="61"/>
      <c r="AJ22" s="61"/>
      <c r="AK22" s="62"/>
      <c r="AL22" s="63"/>
      <c r="AM22" s="64"/>
      <c r="AN22" s="65" t="e">
        <v>#N/A</v>
      </c>
      <c r="AO22" s="61" t="e">
        <v>#N/A</v>
      </c>
      <c r="AP22" s="61" t="e">
        <v>#N/A</v>
      </c>
      <c r="AQ22" s="61" t="e">
        <v>#N/A</v>
      </c>
      <c r="AR22" s="61" t="e">
        <v>#N/A</v>
      </c>
      <c r="AS22" s="61" t="e">
        <v>#N/A</v>
      </c>
      <c r="AT22" s="61" t="e">
        <v>#N/A</v>
      </c>
      <c r="AU22" s="61" t="e">
        <v>#N/A</v>
      </c>
      <c r="AV22" s="61" t="e">
        <v>#N/A</v>
      </c>
      <c r="AW22" s="61" t="e">
        <v>#N/A</v>
      </c>
      <c r="AX22" s="65" t="e">
        <v>#N/A</v>
      </c>
      <c r="AY22" s="66" t="s">
        <v>121</v>
      </c>
      <c r="AZ22" s="61" t="s">
        <v>121</v>
      </c>
      <c r="BA22" s="61">
        <v>31.506</v>
      </c>
      <c r="BB22" s="61">
        <v>31.506</v>
      </c>
      <c r="BC22" s="61" t="s">
        <v>121</v>
      </c>
      <c r="BD22" s="61" t="s">
        <v>121</v>
      </c>
      <c r="BE22" s="61" t="s">
        <v>121</v>
      </c>
      <c r="BF22" s="61" t="s">
        <v>121</v>
      </c>
      <c r="BG22" s="61">
        <v>0.59599999999999997</v>
      </c>
      <c r="BH22" s="61" t="s">
        <v>121</v>
      </c>
      <c r="BI22" s="61" t="s">
        <v>121</v>
      </c>
      <c r="BJ22" s="61">
        <v>0.59599999999999997</v>
      </c>
      <c r="BK22" s="66">
        <v>0.59599999999999997</v>
      </c>
      <c r="BL22" s="67" t="s">
        <v>121</v>
      </c>
      <c r="BM22" s="61" t="s">
        <v>121</v>
      </c>
      <c r="BN22" s="61" t="s">
        <v>121</v>
      </c>
      <c r="BO22" s="61" t="s">
        <v>121</v>
      </c>
      <c r="BP22" s="61" t="s">
        <v>121</v>
      </c>
      <c r="BQ22" s="61">
        <v>250.667</v>
      </c>
      <c r="BR22" s="61">
        <v>2.1629999999999998</v>
      </c>
      <c r="BS22" s="61" t="s">
        <v>121</v>
      </c>
      <c r="BT22" s="61" t="s">
        <v>121</v>
      </c>
      <c r="BU22" s="61">
        <v>3.1E-2</v>
      </c>
      <c r="BV22" s="61">
        <v>0.189</v>
      </c>
      <c r="BW22" s="61">
        <v>0.22</v>
      </c>
      <c r="BX22" s="67">
        <v>253.05</v>
      </c>
      <c r="BY22" s="68">
        <v>83868</v>
      </c>
      <c r="BZ22" s="68">
        <v>71575</v>
      </c>
      <c r="CA22" s="69">
        <v>3869</v>
      </c>
      <c r="CB22" s="68">
        <v>198710</v>
      </c>
      <c r="CC22" s="68">
        <v>17</v>
      </c>
      <c r="CD22" s="61"/>
      <c r="CE22" s="64"/>
      <c r="CF22" s="64"/>
      <c r="CG22" s="70">
        <f t="shared" si="0"/>
        <v>8345.82</v>
      </c>
      <c r="CH22" s="70">
        <f t="shared" si="1"/>
        <v>162.49799999999999</v>
      </c>
      <c r="CI22" s="70">
        <f t="shared" si="2"/>
        <v>0.71399999999999997</v>
      </c>
      <c r="CJ22" s="70">
        <f t="shared" si="4"/>
        <v>3522.4560000000001</v>
      </c>
      <c r="CK22" s="70">
        <f t="shared" si="3"/>
        <v>3006.15</v>
      </c>
      <c r="CL22" s="70">
        <f t="shared" si="5"/>
        <v>0.71399999999999997</v>
      </c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</row>
    <row r="23" spans="1:153">
      <c r="A23" s="56">
        <v>27273</v>
      </c>
      <c r="B23" s="57"/>
      <c r="C23" s="58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8"/>
      <c r="P23" s="60">
        <v>126.45399999999999</v>
      </c>
      <c r="Q23" s="61" t="s">
        <v>121</v>
      </c>
      <c r="R23" s="61">
        <v>126.637</v>
      </c>
      <c r="S23" s="61">
        <v>353.91</v>
      </c>
      <c r="T23" s="61">
        <v>225.274</v>
      </c>
      <c r="U23" s="61">
        <v>1.9990000000000001</v>
      </c>
      <c r="V23" s="61" t="s">
        <v>121</v>
      </c>
      <c r="W23" s="61" t="s">
        <v>121</v>
      </c>
      <c r="X23" s="61">
        <v>126.45399999999999</v>
      </c>
      <c r="Y23" s="61">
        <v>0.183</v>
      </c>
      <c r="Z23" s="61" t="s">
        <v>121</v>
      </c>
      <c r="AA23" s="61">
        <v>126.637</v>
      </c>
      <c r="AB23" s="60">
        <v>353.91</v>
      </c>
      <c r="AC23" s="62"/>
      <c r="AD23" s="61"/>
      <c r="AE23" s="61"/>
      <c r="AF23" s="61"/>
      <c r="AG23" s="61"/>
      <c r="AH23" s="61"/>
      <c r="AI23" s="61"/>
      <c r="AJ23" s="61"/>
      <c r="AK23" s="62"/>
      <c r="AL23" s="63"/>
      <c r="AM23" s="64"/>
      <c r="AN23" s="65" t="e">
        <v>#N/A</v>
      </c>
      <c r="AO23" s="61" t="e">
        <v>#N/A</v>
      </c>
      <c r="AP23" s="61" t="e">
        <v>#N/A</v>
      </c>
      <c r="AQ23" s="61" t="e">
        <v>#N/A</v>
      </c>
      <c r="AR23" s="61" t="e">
        <v>#N/A</v>
      </c>
      <c r="AS23" s="61" t="e">
        <v>#N/A</v>
      </c>
      <c r="AT23" s="61" t="e">
        <v>#N/A</v>
      </c>
      <c r="AU23" s="61" t="e">
        <v>#N/A</v>
      </c>
      <c r="AV23" s="61" t="e">
        <v>#N/A</v>
      </c>
      <c r="AW23" s="61" t="e">
        <v>#N/A</v>
      </c>
      <c r="AX23" s="65" t="e">
        <v>#N/A</v>
      </c>
      <c r="AY23" s="66" t="s">
        <v>121</v>
      </c>
      <c r="AZ23" s="61" t="s">
        <v>121</v>
      </c>
      <c r="BA23" s="61">
        <v>30.489000000000001</v>
      </c>
      <c r="BB23" s="61">
        <v>30.489000000000001</v>
      </c>
      <c r="BC23" s="61" t="s">
        <v>121</v>
      </c>
      <c r="BD23" s="61" t="s">
        <v>121</v>
      </c>
      <c r="BE23" s="61" t="s">
        <v>121</v>
      </c>
      <c r="BF23" s="61" t="s">
        <v>121</v>
      </c>
      <c r="BG23" s="61">
        <v>0.57699999999999996</v>
      </c>
      <c r="BH23" s="61" t="s">
        <v>121</v>
      </c>
      <c r="BI23" s="61" t="s">
        <v>121</v>
      </c>
      <c r="BJ23" s="61">
        <v>0.57699999999999996</v>
      </c>
      <c r="BK23" s="66">
        <v>0.57699999999999996</v>
      </c>
      <c r="BL23" s="67" t="s">
        <v>121</v>
      </c>
      <c r="BM23" s="61" t="s">
        <v>121</v>
      </c>
      <c r="BN23" s="61" t="s">
        <v>121</v>
      </c>
      <c r="BO23" s="61" t="s">
        <v>121</v>
      </c>
      <c r="BP23" s="61" t="s">
        <v>121</v>
      </c>
      <c r="BQ23" s="61">
        <v>222.88499999999999</v>
      </c>
      <c r="BR23" s="61">
        <v>1.9990000000000001</v>
      </c>
      <c r="BS23" s="61" t="s">
        <v>121</v>
      </c>
      <c r="BT23" s="61" t="s">
        <v>121</v>
      </c>
      <c r="BU23" s="61">
        <v>0.121</v>
      </c>
      <c r="BV23" s="61">
        <v>0.183</v>
      </c>
      <c r="BW23" s="61">
        <v>0.30499999999999999</v>
      </c>
      <c r="BX23" s="67">
        <v>225.18899999999999</v>
      </c>
      <c r="BY23" s="68">
        <v>76566</v>
      </c>
      <c r="BZ23" s="68">
        <v>71561</v>
      </c>
      <c r="CA23" s="69">
        <v>4571</v>
      </c>
      <c r="CB23" s="68">
        <v>208308</v>
      </c>
      <c r="CC23" s="68">
        <v>41</v>
      </c>
      <c r="CD23" s="61"/>
      <c r="CE23" s="64"/>
      <c r="CF23" s="64"/>
      <c r="CG23" s="70">
        <f t="shared" si="0"/>
        <v>8748.9359999999997</v>
      </c>
      <c r="CH23" s="70">
        <f t="shared" si="1"/>
        <v>191.982</v>
      </c>
      <c r="CI23" s="70">
        <f t="shared" si="2"/>
        <v>1.722</v>
      </c>
      <c r="CJ23" s="70">
        <f t="shared" si="4"/>
        <v>3215.7719999999999</v>
      </c>
      <c r="CK23" s="70">
        <f t="shared" si="3"/>
        <v>3005.5619999999999</v>
      </c>
      <c r="CL23" s="70">
        <f t="shared" si="5"/>
        <v>1.722</v>
      </c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</row>
    <row r="24" spans="1:153">
      <c r="A24" s="56">
        <v>27303</v>
      </c>
      <c r="B24" s="57"/>
      <c r="C24" s="5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8"/>
      <c r="P24" s="60">
        <v>130.56200000000001</v>
      </c>
      <c r="Q24" s="61" t="s">
        <v>121</v>
      </c>
      <c r="R24" s="61">
        <v>130.71799999999999</v>
      </c>
      <c r="S24" s="61">
        <v>343.70299999999997</v>
      </c>
      <c r="T24" s="61">
        <v>210.95500000000001</v>
      </c>
      <c r="U24" s="61">
        <v>2.0299999999999998</v>
      </c>
      <c r="V24" s="61" t="s">
        <v>121</v>
      </c>
      <c r="W24" s="61" t="s">
        <v>121</v>
      </c>
      <c r="X24" s="61">
        <v>130.56200000000001</v>
      </c>
      <c r="Y24" s="61">
        <v>0.156</v>
      </c>
      <c r="Z24" s="61" t="s">
        <v>121</v>
      </c>
      <c r="AA24" s="61">
        <v>130.71799999999999</v>
      </c>
      <c r="AB24" s="60">
        <v>343.70299999999997</v>
      </c>
      <c r="AC24" s="62"/>
      <c r="AD24" s="61"/>
      <c r="AE24" s="61"/>
      <c r="AF24" s="61"/>
      <c r="AG24" s="61"/>
      <c r="AH24" s="61"/>
      <c r="AI24" s="61"/>
      <c r="AJ24" s="61"/>
      <c r="AK24" s="62"/>
      <c r="AL24" s="63"/>
      <c r="AM24" s="64"/>
      <c r="AN24" s="65" t="e">
        <v>#N/A</v>
      </c>
      <c r="AO24" s="61" t="e">
        <v>#N/A</v>
      </c>
      <c r="AP24" s="61" t="e">
        <v>#N/A</v>
      </c>
      <c r="AQ24" s="61" t="e">
        <v>#N/A</v>
      </c>
      <c r="AR24" s="61" t="e">
        <v>#N/A</v>
      </c>
      <c r="AS24" s="61" t="e">
        <v>#N/A</v>
      </c>
      <c r="AT24" s="61" t="e">
        <v>#N/A</v>
      </c>
      <c r="AU24" s="61" t="e">
        <v>#N/A</v>
      </c>
      <c r="AV24" s="61" t="e">
        <v>#N/A</v>
      </c>
      <c r="AW24" s="61" t="e">
        <v>#N/A</v>
      </c>
      <c r="AX24" s="65" t="e">
        <v>#N/A</v>
      </c>
      <c r="AY24" s="66" t="s">
        <v>121</v>
      </c>
      <c r="AZ24" s="61" t="s">
        <v>121</v>
      </c>
      <c r="BA24" s="61">
        <v>31.506</v>
      </c>
      <c r="BB24" s="61">
        <v>31.506</v>
      </c>
      <c r="BC24" s="61" t="s">
        <v>121</v>
      </c>
      <c r="BD24" s="61" t="s">
        <v>121</v>
      </c>
      <c r="BE24" s="61" t="s">
        <v>121</v>
      </c>
      <c r="BF24" s="61" t="s">
        <v>121</v>
      </c>
      <c r="BG24" s="61">
        <v>0.59599999999999997</v>
      </c>
      <c r="BH24" s="61" t="s">
        <v>121</v>
      </c>
      <c r="BI24" s="61" t="s">
        <v>121</v>
      </c>
      <c r="BJ24" s="61">
        <v>0.59599999999999997</v>
      </c>
      <c r="BK24" s="66">
        <v>0.59599999999999997</v>
      </c>
      <c r="BL24" s="67" t="s">
        <v>121</v>
      </c>
      <c r="BM24" s="61" t="s">
        <v>121</v>
      </c>
      <c r="BN24" s="61" t="s">
        <v>121</v>
      </c>
      <c r="BO24" s="61" t="s">
        <v>121</v>
      </c>
      <c r="BP24" s="61" t="s">
        <v>121</v>
      </c>
      <c r="BQ24" s="61">
        <v>208.685</v>
      </c>
      <c r="BR24" s="61">
        <v>2.0299999999999998</v>
      </c>
      <c r="BS24" s="61" t="s">
        <v>121</v>
      </c>
      <c r="BT24" s="61" t="s">
        <v>121</v>
      </c>
      <c r="BU24" s="61">
        <v>1.7999999999999999E-2</v>
      </c>
      <c r="BV24" s="61">
        <v>0.156</v>
      </c>
      <c r="BW24" s="61">
        <v>0.17399999999999999</v>
      </c>
      <c r="BX24" s="67">
        <v>210.88900000000001</v>
      </c>
      <c r="BY24" s="68">
        <v>83713</v>
      </c>
      <c r="BZ24" s="68">
        <v>89496</v>
      </c>
      <c r="CA24" s="69">
        <v>7361</v>
      </c>
      <c r="CB24" s="68">
        <v>209945</v>
      </c>
      <c r="CC24" s="68">
        <v>15</v>
      </c>
      <c r="CD24" s="61"/>
      <c r="CE24" s="64"/>
      <c r="CF24" s="64"/>
      <c r="CG24" s="70">
        <f t="shared" si="0"/>
        <v>8817.69</v>
      </c>
      <c r="CH24" s="70">
        <f t="shared" si="1"/>
        <v>309.16199999999998</v>
      </c>
      <c r="CI24" s="70">
        <f t="shared" si="2"/>
        <v>0.63</v>
      </c>
      <c r="CJ24" s="70">
        <f t="shared" si="4"/>
        <v>3515.9459999999999</v>
      </c>
      <c r="CK24" s="70">
        <f t="shared" si="3"/>
        <v>3758.8319999999999</v>
      </c>
      <c r="CL24" s="70">
        <f t="shared" si="5"/>
        <v>0.63</v>
      </c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</row>
    <row r="25" spans="1:153">
      <c r="A25" s="56">
        <v>27334</v>
      </c>
      <c r="B25" s="57"/>
      <c r="C25" s="5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8"/>
      <c r="P25" s="60">
        <v>126.352</v>
      </c>
      <c r="Q25" s="61" t="s">
        <v>121</v>
      </c>
      <c r="R25" s="61">
        <v>126.506</v>
      </c>
      <c r="S25" s="61">
        <v>351.63299999999998</v>
      </c>
      <c r="T25" s="61">
        <v>222.71299999999999</v>
      </c>
      <c r="U25" s="61">
        <v>2.4140000000000001</v>
      </c>
      <c r="V25" s="61" t="s">
        <v>121</v>
      </c>
      <c r="W25" s="61" t="s">
        <v>121</v>
      </c>
      <c r="X25" s="61">
        <v>126.352</v>
      </c>
      <c r="Y25" s="61">
        <v>0.155</v>
      </c>
      <c r="Z25" s="61" t="s">
        <v>121</v>
      </c>
      <c r="AA25" s="61">
        <v>126.506</v>
      </c>
      <c r="AB25" s="60">
        <v>351.63299999999998</v>
      </c>
      <c r="AC25" s="62"/>
      <c r="AD25" s="61"/>
      <c r="AE25" s="61"/>
      <c r="AF25" s="61"/>
      <c r="AG25" s="61"/>
      <c r="AH25" s="61"/>
      <c r="AI25" s="61"/>
      <c r="AJ25" s="61"/>
      <c r="AK25" s="62"/>
      <c r="AL25" s="63"/>
      <c r="AM25" s="64"/>
      <c r="AN25" s="65" t="e">
        <v>#N/A</v>
      </c>
      <c r="AO25" s="61" t="e">
        <v>#N/A</v>
      </c>
      <c r="AP25" s="61" t="e">
        <v>#N/A</v>
      </c>
      <c r="AQ25" s="61" t="e">
        <v>#N/A</v>
      </c>
      <c r="AR25" s="61" t="e">
        <v>#N/A</v>
      </c>
      <c r="AS25" s="61" t="e">
        <v>#N/A</v>
      </c>
      <c r="AT25" s="61" t="e">
        <v>#N/A</v>
      </c>
      <c r="AU25" s="61" t="e">
        <v>#N/A</v>
      </c>
      <c r="AV25" s="61" t="e">
        <v>#N/A</v>
      </c>
      <c r="AW25" s="61" t="e">
        <v>#N/A</v>
      </c>
      <c r="AX25" s="65" t="e">
        <v>#N/A</v>
      </c>
      <c r="AY25" s="66" t="s">
        <v>121</v>
      </c>
      <c r="AZ25" s="61" t="s">
        <v>121</v>
      </c>
      <c r="BA25" s="61">
        <v>30.489000000000001</v>
      </c>
      <c r="BB25" s="61">
        <v>30.489000000000001</v>
      </c>
      <c r="BC25" s="61" t="s">
        <v>121</v>
      </c>
      <c r="BD25" s="61" t="s">
        <v>121</v>
      </c>
      <c r="BE25" s="61" t="s">
        <v>121</v>
      </c>
      <c r="BF25" s="61" t="s">
        <v>121</v>
      </c>
      <c r="BG25" s="61">
        <v>0.57699999999999996</v>
      </c>
      <c r="BH25" s="61" t="s">
        <v>121</v>
      </c>
      <c r="BI25" s="61" t="s">
        <v>121</v>
      </c>
      <c r="BJ25" s="61">
        <v>0.57699999999999996</v>
      </c>
      <c r="BK25" s="66">
        <v>0.57699999999999996</v>
      </c>
      <c r="BL25" s="67" t="s">
        <v>121</v>
      </c>
      <c r="BM25" s="61" t="s">
        <v>121</v>
      </c>
      <c r="BN25" s="61" t="s">
        <v>121</v>
      </c>
      <c r="BO25" s="61" t="s">
        <v>121</v>
      </c>
      <c r="BP25" s="61" t="s">
        <v>121</v>
      </c>
      <c r="BQ25" s="61">
        <v>220.34700000000001</v>
      </c>
      <c r="BR25" s="61">
        <v>2.4140000000000001</v>
      </c>
      <c r="BS25" s="61" t="s">
        <v>121</v>
      </c>
      <c r="BT25" s="61" t="s">
        <v>121</v>
      </c>
      <c r="BU25" s="61">
        <v>1.9E-2</v>
      </c>
      <c r="BV25" s="61">
        <v>0.155</v>
      </c>
      <c r="BW25" s="61">
        <v>0.17399999999999999</v>
      </c>
      <c r="BX25" s="67">
        <v>222.935</v>
      </c>
      <c r="BY25" s="68">
        <v>84038</v>
      </c>
      <c r="BZ25" s="68">
        <v>94699</v>
      </c>
      <c r="CA25" s="69">
        <v>13629</v>
      </c>
      <c r="CB25" s="68">
        <v>212913</v>
      </c>
      <c r="CC25" s="68">
        <v>55</v>
      </c>
      <c r="CD25" s="61"/>
      <c r="CE25" s="64"/>
      <c r="CF25" s="64"/>
      <c r="CG25" s="70">
        <f t="shared" si="0"/>
        <v>8942.3459999999995</v>
      </c>
      <c r="CH25" s="70">
        <f t="shared" si="1"/>
        <v>572.41800000000001</v>
      </c>
      <c r="CI25" s="70">
        <f t="shared" si="2"/>
        <v>2.31</v>
      </c>
      <c r="CJ25" s="70">
        <f t="shared" si="4"/>
        <v>3529.596</v>
      </c>
      <c r="CK25" s="70">
        <f t="shared" si="3"/>
        <v>3977.3580000000002</v>
      </c>
      <c r="CL25" s="70">
        <f t="shared" si="5"/>
        <v>2.31</v>
      </c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</row>
    <row r="26" spans="1:153">
      <c r="A26" s="56">
        <v>27364</v>
      </c>
      <c r="B26" s="57"/>
      <c r="C26" s="58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8"/>
      <c r="P26" s="60">
        <v>130.55500000000001</v>
      </c>
      <c r="Q26" s="61" t="s">
        <v>121</v>
      </c>
      <c r="R26" s="61">
        <v>130.67400000000001</v>
      </c>
      <c r="S26" s="61">
        <v>376.642</v>
      </c>
      <c r="T26" s="61">
        <v>243.428</v>
      </c>
      <c r="U26" s="61">
        <v>2.54</v>
      </c>
      <c r="V26" s="61" t="s">
        <v>121</v>
      </c>
      <c r="W26" s="61" t="s">
        <v>121</v>
      </c>
      <c r="X26" s="61">
        <v>130.55500000000001</v>
      </c>
      <c r="Y26" s="61">
        <v>0.11899999999999999</v>
      </c>
      <c r="Z26" s="61" t="s">
        <v>121</v>
      </c>
      <c r="AA26" s="61">
        <v>130.67400000000001</v>
      </c>
      <c r="AB26" s="60">
        <v>376.642</v>
      </c>
      <c r="AC26" s="62"/>
      <c r="AD26" s="61"/>
      <c r="AE26" s="61"/>
      <c r="AF26" s="61"/>
      <c r="AG26" s="61"/>
      <c r="AH26" s="61"/>
      <c r="AI26" s="61"/>
      <c r="AJ26" s="61"/>
      <c r="AK26" s="62"/>
      <c r="AL26" s="63"/>
      <c r="AM26" s="64"/>
      <c r="AN26" s="65" t="e">
        <v>#N/A</v>
      </c>
      <c r="AO26" s="61" t="e">
        <v>#N/A</v>
      </c>
      <c r="AP26" s="61" t="e">
        <v>#N/A</v>
      </c>
      <c r="AQ26" s="61" t="e">
        <v>#N/A</v>
      </c>
      <c r="AR26" s="61" t="e">
        <v>#N/A</v>
      </c>
      <c r="AS26" s="61" t="e">
        <v>#N/A</v>
      </c>
      <c r="AT26" s="61" t="e">
        <v>#N/A</v>
      </c>
      <c r="AU26" s="61" t="e">
        <v>#N/A</v>
      </c>
      <c r="AV26" s="61" t="e">
        <v>#N/A</v>
      </c>
      <c r="AW26" s="61" t="e">
        <v>#N/A</v>
      </c>
      <c r="AX26" s="65" t="e">
        <v>#N/A</v>
      </c>
      <c r="AY26" s="66" t="s">
        <v>121</v>
      </c>
      <c r="AZ26" s="61" t="s">
        <v>121</v>
      </c>
      <c r="BA26" s="61">
        <v>31.506</v>
      </c>
      <c r="BB26" s="61">
        <v>31.506</v>
      </c>
      <c r="BC26" s="61" t="s">
        <v>121</v>
      </c>
      <c r="BD26" s="61" t="s">
        <v>121</v>
      </c>
      <c r="BE26" s="61" t="s">
        <v>121</v>
      </c>
      <c r="BF26" s="61" t="s">
        <v>121</v>
      </c>
      <c r="BG26" s="61">
        <v>0.59599999999999997</v>
      </c>
      <c r="BH26" s="61" t="s">
        <v>121</v>
      </c>
      <c r="BI26" s="61" t="s">
        <v>121</v>
      </c>
      <c r="BJ26" s="61">
        <v>0.59599999999999997</v>
      </c>
      <c r="BK26" s="66">
        <v>0.59599999999999997</v>
      </c>
      <c r="BL26" s="67" t="s">
        <v>121</v>
      </c>
      <c r="BM26" s="61" t="s">
        <v>121</v>
      </c>
      <c r="BN26" s="61" t="s">
        <v>121</v>
      </c>
      <c r="BO26" s="61" t="s">
        <v>121</v>
      </c>
      <c r="BP26" s="61" t="s">
        <v>121</v>
      </c>
      <c r="BQ26" s="61">
        <v>240.58500000000001</v>
      </c>
      <c r="BR26" s="61">
        <v>2.54</v>
      </c>
      <c r="BS26" s="61" t="s">
        <v>121</v>
      </c>
      <c r="BT26" s="61" t="s">
        <v>121</v>
      </c>
      <c r="BU26" s="61">
        <v>1.0999999999999999E-2</v>
      </c>
      <c r="BV26" s="61">
        <v>0.11899999999999999</v>
      </c>
      <c r="BW26" s="61">
        <v>0.13</v>
      </c>
      <c r="BX26" s="67">
        <v>243.256</v>
      </c>
      <c r="BY26" s="68">
        <v>90678</v>
      </c>
      <c r="BZ26" s="68">
        <v>119442</v>
      </c>
      <c r="CA26" s="69">
        <v>15958</v>
      </c>
      <c r="CB26" s="68">
        <v>200068</v>
      </c>
      <c r="CC26" s="68">
        <v>104</v>
      </c>
      <c r="CD26" s="61"/>
      <c r="CE26" s="64"/>
      <c r="CF26" s="64"/>
      <c r="CG26" s="70">
        <f t="shared" si="0"/>
        <v>8402.8559999999998</v>
      </c>
      <c r="CH26" s="70">
        <f t="shared" si="1"/>
        <v>670.23599999999999</v>
      </c>
      <c r="CI26" s="70">
        <f t="shared" si="2"/>
        <v>4.3680000000000003</v>
      </c>
      <c r="CJ26" s="70">
        <f t="shared" si="4"/>
        <v>3808.4760000000001</v>
      </c>
      <c r="CK26" s="70">
        <f t="shared" si="3"/>
        <v>5016.5640000000003</v>
      </c>
      <c r="CL26" s="70">
        <f t="shared" si="5"/>
        <v>4.3680000000000003</v>
      </c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</row>
    <row r="27" spans="1:153">
      <c r="A27" s="56">
        <v>27395</v>
      </c>
      <c r="B27" s="57"/>
      <c r="C27" s="58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8"/>
      <c r="P27" s="60">
        <v>127.128</v>
      </c>
      <c r="Q27" s="61" t="s">
        <v>121</v>
      </c>
      <c r="R27" s="61">
        <v>127.26900000000001</v>
      </c>
      <c r="S27" s="61">
        <v>392.75599999999997</v>
      </c>
      <c r="T27" s="61">
        <v>263.37099999999998</v>
      </c>
      <c r="U27" s="61">
        <v>2.117</v>
      </c>
      <c r="V27" s="61" t="s">
        <v>121</v>
      </c>
      <c r="W27" s="61" t="s">
        <v>121</v>
      </c>
      <c r="X27" s="61">
        <v>127.128</v>
      </c>
      <c r="Y27" s="61">
        <v>0.14000000000000001</v>
      </c>
      <c r="Z27" s="61" t="s">
        <v>121</v>
      </c>
      <c r="AA27" s="61">
        <v>127.26900000000001</v>
      </c>
      <c r="AB27" s="60">
        <v>392.75599999999997</v>
      </c>
      <c r="AC27" s="62"/>
      <c r="AD27" s="61"/>
      <c r="AE27" s="61"/>
      <c r="AF27" s="61"/>
      <c r="AG27" s="61"/>
      <c r="AH27" s="61"/>
      <c r="AI27" s="61"/>
      <c r="AJ27" s="61"/>
      <c r="AK27" s="62"/>
      <c r="AL27" s="63"/>
      <c r="AM27" s="64"/>
      <c r="AN27" s="65" t="e">
        <v>#N/A</v>
      </c>
      <c r="AO27" s="61" t="e">
        <v>#N/A</v>
      </c>
      <c r="AP27" s="61" t="e">
        <v>#N/A</v>
      </c>
      <c r="AQ27" s="61" t="e">
        <v>#N/A</v>
      </c>
      <c r="AR27" s="61" t="e">
        <v>#N/A</v>
      </c>
      <c r="AS27" s="61" t="e">
        <v>#N/A</v>
      </c>
      <c r="AT27" s="61" t="e">
        <v>#N/A</v>
      </c>
      <c r="AU27" s="61" t="e">
        <v>#N/A</v>
      </c>
      <c r="AV27" s="61" t="e">
        <v>#N/A</v>
      </c>
      <c r="AW27" s="61" t="e">
        <v>#N/A</v>
      </c>
      <c r="AX27" s="65" t="e">
        <v>#N/A</v>
      </c>
      <c r="AY27" s="66" t="s">
        <v>121</v>
      </c>
      <c r="AZ27" s="61" t="s">
        <v>121</v>
      </c>
      <c r="BA27" s="61">
        <v>36.131</v>
      </c>
      <c r="BB27" s="61">
        <v>36.131</v>
      </c>
      <c r="BC27" s="61" t="s">
        <v>121</v>
      </c>
      <c r="BD27" s="61" t="s">
        <v>121</v>
      </c>
      <c r="BE27" s="61" t="s">
        <v>121</v>
      </c>
      <c r="BF27" s="61" t="s">
        <v>121</v>
      </c>
      <c r="BG27" s="61">
        <v>0.68500000000000005</v>
      </c>
      <c r="BH27" s="61" t="s">
        <v>121</v>
      </c>
      <c r="BI27" s="61" t="s">
        <v>121</v>
      </c>
      <c r="BJ27" s="61">
        <v>0.68500000000000005</v>
      </c>
      <c r="BK27" s="66">
        <v>0.68500000000000005</v>
      </c>
      <c r="BL27" s="67" t="s">
        <v>121</v>
      </c>
      <c r="BM27" s="61" t="s">
        <v>121</v>
      </c>
      <c r="BN27" s="61" t="s">
        <v>121</v>
      </c>
      <c r="BO27" s="61" t="s">
        <v>121</v>
      </c>
      <c r="BP27" s="61" t="s">
        <v>121</v>
      </c>
      <c r="BQ27" s="61">
        <v>260.26900000000001</v>
      </c>
      <c r="BR27" s="61">
        <v>2.117</v>
      </c>
      <c r="BS27" s="61" t="s">
        <v>121</v>
      </c>
      <c r="BT27" s="61" t="s">
        <v>121</v>
      </c>
      <c r="BU27" s="61">
        <v>8.0000000000000002E-3</v>
      </c>
      <c r="BV27" s="61">
        <v>0.14000000000000001</v>
      </c>
      <c r="BW27" s="61">
        <v>0.14799999999999999</v>
      </c>
      <c r="BX27" s="67">
        <v>262.53399999999999</v>
      </c>
      <c r="BY27" s="68">
        <v>88438</v>
      </c>
      <c r="BZ27" s="68">
        <v>122848</v>
      </c>
      <c r="CA27" s="69">
        <v>10355</v>
      </c>
      <c r="CB27" s="68">
        <v>199752</v>
      </c>
      <c r="CC27" s="68">
        <v>2</v>
      </c>
      <c r="CD27" s="61"/>
      <c r="CE27" s="64"/>
      <c r="CF27" s="64"/>
      <c r="CG27" s="70">
        <f t="shared" si="0"/>
        <v>8389.5840000000007</v>
      </c>
      <c r="CH27" s="70">
        <f t="shared" si="1"/>
        <v>434.91</v>
      </c>
      <c r="CI27" s="70">
        <f t="shared" si="2"/>
        <v>8.4000000000000005E-2</v>
      </c>
      <c r="CJ27" s="70">
        <f t="shared" si="4"/>
        <v>3714.3960000000002</v>
      </c>
      <c r="CK27" s="70">
        <f t="shared" si="3"/>
        <v>5159.616</v>
      </c>
      <c r="CL27" s="70">
        <f t="shared" si="5"/>
        <v>8.4000000000000005E-2</v>
      </c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</row>
    <row r="28" spans="1:153">
      <c r="A28" s="56">
        <v>27426</v>
      </c>
      <c r="B28" s="57"/>
      <c r="C28" s="58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8"/>
      <c r="P28" s="60">
        <v>114.82899999999999</v>
      </c>
      <c r="Q28" s="61" t="s">
        <v>121</v>
      </c>
      <c r="R28" s="61">
        <v>114.94199999999999</v>
      </c>
      <c r="S28" s="61">
        <v>368.27800000000002</v>
      </c>
      <c r="T28" s="61">
        <v>251.31700000000001</v>
      </c>
      <c r="U28" s="61">
        <v>2.0190000000000001</v>
      </c>
      <c r="V28" s="61" t="s">
        <v>121</v>
      </c>
      <c r="W28" s="61" t="s">
        <v>121</v>
      </c>
      <c r="X28" s="61">
        <v>114.82899999999999</v>
      </c>
      <c r="Y28" s="61">
        <v>0.113</v>
      </c>
      <c r="Z28" s="61" t="s">
        <v>121</v>
      </c>
      <c r="AA28" s="61">
        <v>114.94199999999999</v>
      </c>
      <c r="AB28" s="60">
        <v>368.27800000000002</v>
      </c>
      <c r="AC28" s="62"/>
      <c r="AD28" s="61"/>
      <c r="AE28" s="61"/>
      <c r="AF28" s="61"/>
      <c r="AG28" s="61"/>
      <c r="AH28" s="61"/>
      <c r="AI28" s="61"/>
      <c r="AJ28" s="61"/>
      <c r="AK28" s="62"/>
      <c r="AL28" s="63"/>
      <c r="AM28" s="64"/>
      <c r="AN28" s="65" t="e">
        <v>#N/A</v>
      </c>
      <c r="AO28" s="61" t="e">
        <v>#N/A</v>
      </c>
      <c r="AP28" s="61" t="e">
        <v>#N/A</v>
      </c>
      <c r="AQ28" s="61" t="e">
        <v>#N/A</v>
      </c>
      <c r="AR28" s="61" t="e">
        <v>#N/A</v>
      </c>
      <c r="AS28" s="61" t="e">
        <v>#N/A</v>
      </c>
      <c r="AT28" s="61" t="e">
        <v>#N/A</v>
      </c>
      <c r="AU28" s="61" t="e">
        <v>#N/A</v>
      </c>
      <c r="AV28" s="61" t="e">
        <v>#N/A</v>
      </c>
      <c r="AW28" s="61" t="e">
        <v>#N/A</v>
      </c>
      <c r="AX28" s="65" t="e">
        <v>#N/A</v>
      </c>
      <c r="AY28" s="66" t="s">
        <v>121</v>
      </c>
      <c r="AZ28" s="61" t="s">
        <v>121</v>
      </c>
      <c r="BA28" s="61">
        <v>32.634</v>
      </c>
      <c r="BB28" s="61">
        <v>32.634</v>
      </c>
      <c r="BC28" s="61" t="s">
        <v>121</v>
      </c>
      <c r="BD28" s="61" t="s">
        <v>121</v>
      </c>
      <c r="BE28" s="61" t="s">
        <v>121</v>
      </c>
      <c r="BF28" s="61" t="s">
        <v>121</v>
      </c>
      <c r="BG28" s="61">
        <v>0.61899999999999999</v>
      </c>
      <c r="BH28" s="61" t="s">
        <v>121</v>
      </c>
      <c r="BI28" s="61" t="s">
        <v>121</v>
      </c>
      <c r="BJ28" s="61">
        <v>0.61899999999999999</v>
      </c>
      <c r="BK28" s="66">
        <v>0.61899999999999999</v>
      </c>
      <c r="BL28" s="67" t="s">
        <v>121</v>
      </c>
      <c r="BM28" s="61" t="s">
        <v>121</v>
      </c>
      <c r="BN28" s="61" t="s">
        <v>121</v>
      </c>
      <c r="BO28" s="61" t="s">
        <v>121</v>
      </c>
      <c r="BP28" s="61" t="s">
        <v>121</v>
      </c>
      <c r="BQ28" s="61">
        <v>248.55600000000001</v>
      </c>
      <c r="BR28" s="61">
        <v>2.0190000000000001</v>
      </c>
      <c r="BS28" s="61" t="s">
        <v>121</v>
      </c>
      <c r="BT28" s="61" t="s">
        <v>121</v>
      </c>
      <c r="BU28" s="61">
        <v>1.0999999999999999E-2</v>
      </c>
      <c r="BV28" s="61">
        <v>0.113</v>
      </c>
      <c r="BW28" s="61">
        <v>0.124</v>
      </c>
      <c r="BX28" s="67">
        <v>250.69800000000001</v>
      </c>
      <c r="BY28" s="68">
        <v>75021</v>
      </c>
      <c r="BZ28" s="68">
        <v>106490</v>
      </c>
      <c r="CA28" s="69">
        <v>8453</v>
      </c>
      <c r="CB28" s="68">
        <v>176734</v>
      </c>
      <c r="CC28" s="68">
        <v>50</v>
      </c>
      <c r="CD28" s="61"/>
      <c r="CE28" s="64"/>
      <c r="CF28" s="64"/>
      <c r="CG28" s="70">
        <f t="shared" si="0"/>
        <v>7422.8280000000004</v>
      </c>
      <c r="CH28" s="70">
        <f t="shared" si="1"/>
        <v>355.02600000000001</v>
      </c>
      <c r="CI28" s="70">
        <f t="shared" si="2"/>
        <v>2.1</v>
      </c>
      <c r="CJ28" s="70">
        <f t="shared" si="4"/>
        <v>3150.8820000000001</v>
      </c>
      <c r="CK28" s="70">
        <f t="shared" si="3"/>
        <v>4472.58</v>
      </c>
      <c r="CL28" s="70">
        <f t="shared" si="5"/>
        <v>2.1</v>
      </c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</row>
    <row r="29" spans="1:153">
      <c r="A29" s="56">
        <v>27454</v>
      </c>
      <c r="B29" s="57"/>
      <c r="C29" s="58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8"/>
      <c r="P29" s="60">
        <v>127.127</v>
      </c>
      <c r="Q29" s="61" t="s">
        <v>121</v>
      </c>
      <c r="R29" s="61">
        <v>127.251</v>
      </c>
      <c r="S29" s="61">
        <v>423.49</v>
      </c>
      <c r="T29" s="61">
        <v>293.96100000000001</v>
      </c>
      <c r="U29" s="61">
        <v>2.2770000000000001</v>
      </c>
      <c r="V29" s="61" t="s">
        <v>121</v>
      </c>
      <c r="W29" s="61" t="s">
        <v>121</v>
      </c>
      <c r="X29" s="61">
        <v>127.127</v>
      </c>
      <c r="Y29" s="61">
        <v>0.124</v>
      </c>
      <c r="Z29" s="61" t="s">
        <v>121</v>
      </c>
      <c r="AA29" s="61">
        <v>127.251</v>
      </c>
      <c r="AB29" s="60">
        <v>423.49</v>
      </c>
      <c r="AC29" s="62"/>
      <c r="AD29" s="61"/>
      <c r="AE29" s="61"/>
      <c r="AF29" s="61"/>
      <c r="AG29" s="61"/>
      <c r="AH29" s="61"/>
      <c r="AI29" s="61"/>
      <c r="AJ29" s="61"/>
      <c r="AK29" s="62"/>
      <c r="AL29" s="63"/>
      <c r="AM29" s="64"/>
      <c r="AN29" s="65" t="e">
        <v>#N/A</v>
      </c>
      <c r="AO29" s="61" t="e">
        <v>#N/A</v>
      </c>
      <c r="AP29" s="61" t="e">
        <v>#N/A</v>
      </c>
      <c r="AQ29" s="61" t="e">
        <v>#N/A</v>
      </c>
      <c r="AR29" s="61" t="e">
        <v>#N/A</v>
      </c>
      <c r="AS29" s="61" t="e">
        <v>#N/A</v>
      </c>
      <c r="AT29" s="61" t="e">
        <v>#N/A</v>
      </c>
      <c r="AU29" s="61" t="e">
        <v>#N/A</v>
      </c>
      <c r="AV29" s="61" t="e">
        <v>#N/A</v>
      </c>
      <c r="AW29" s="61" t="e">
        <v>#N/A</v>
      </c>
      <c r="AX29" s="65" t="e">
        <v>#N/A</v>
      </c>
      <c r="AY29" s="66" t="s">
        <v>121</v>
      </c>
      <c r="AZ29" s="61" t="s">
        <v>121</v>
      </c>
      <c r="BA29" s="61">
        <v>36.131</v>
      </c>
      <c r="BB29" s="61">
        <v>36.131</v>
      </c>
      <c r="BC29" s="61" t="s">
        <v>121</v>
      </c>
      <c r="BD29" s="61" t="s">
        <v>121</v>
      </c>
      <c r="BE29" s="61" t="s">
        <v>121</v>
      </c>
      <c r="BF29" s="61" t="s">
        <v>121</v>
      </c>
      <c r="BG29" s="61">
        <v>0.68500000000000005</v>
      </c>
      <c r="BH29" s="61" t="s">
        <v>121</v>
      </c>
      <c r="BI29" s="61" t="s">
        <v>121</v>
      </c>
      <c r="BJ29" s="61">
        <v>0.68500000000000005</v>
      </c>
      <c r="BK29" s="66">
        <v>0.68500000000000005</v>
      </c>
      <c r="BL29" s="67" t="s">
        <v>121</v>
      </c>
      <c r="BM29" s="61" t="s">
        <v>121</v>
      </c>
      <c r="BN29" s="61" t="s">
        <v>121</v>
      </c>
      <c r="BO29" s="61" t="s">
        <v>121</v>
      </c>
      <c r="BP29" s="61" t="s">
        <v>121</v>
      </c>
      <c r="BQ29" s="61">
        <v>291.05700000000002</v>
      </c>
      <c r="BR29" s="61">
        <v>2.2770000000000001</v>
      </c>
      <c r="BS29" s="61" t="s">
        <v>121</v>
      </c>
      <c r="BT29" s="61" t="s">
        <v>121</v>
      </c>
      <c r="BU29" s="61">
        <v>6.0000000000000001E-3</v>
      </c>
      <c r="BV29" s="61">
        <v>0.124</v>
      </c>
      <c r="BW29" s="61">
        <v>0.13</v>
      </c>
      <c r="BX29" s="67">
        <v>293.464</v>
      </c>
      <c r="BY29" s="68">
        <v>78499</v>
      </c>
      <c r="BZ29" s="68">
        <v>102043</v>
      </c>
      <c r="CA29" s="69">
        <v>7911</v>
      </c>
      <c r="CB29" s="68">
        <v>161149</v>
      </c>
      <c r="CC29" s="68">
        <v>1</v>
      </c>
      <c r="CD29" s="61"/>
      <c r="CE29" s="64"/>
      <c r="CF29" s="64"/>
      <c r="CG29" s="70">
        <f t="shared" si="0"/>
        <v>6768.2579999999998</v>
      </c>
      <c r="CH29" s="70">
        <f t="shared" si="1"/>
        <v>332.262</v>
      </c>
      <c r="CI29" s="70">
        <f t="shared" si="2"/>
        <v>4.2000000000000003E-2</v>
      </c>
      <c r="CJ29" s="70">
        <f t="shared" si="4"/>
        <v>3296.9580000000001</v>
      </c>
      <c r="CK29" s="70">
        <f t="shared" si="3"/>
        <v>4285.8059999999996</v>
      </c>
      <c r="CL29" s="70">
        <f t="shared" si="5"/>
        <v>4.2000000000000003E-2</v>
      </c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</row>
    <row r="30" spans="1:153">
      <c r="A30" s="56">
        <v>27485</v>
      </c>
      <c r="B30" s="57"/>
      <c r="C30" s="58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8"/>
      <c r="P30" s="60">
        <v>123.02200000000001</v>
      </c>
      <c r="Q30" s="61" t="s">
        <v>121</v>
      </c>
      <c r="R30" s="61">
        <v>123.139</v>
      </c>
      <c r="S30" s="61">
        <v>405.36799999999999</v>
      </c>
      <c r="T30" s="61">
        <v>279.947</v>
      </c>
      <c r="U30" s="61">
        <v>2.2810000000000001</v>
      </c>
      <c r="V30" s="61" t="s">
        <v>121</v>
      </c>
      <c r="W30" s="61" t="s">
        <v>121</v>
      </c>
      <c r="X30" s="61">
        <v>123.02200000000001</v>
      </c>
      <c r="Y30" s="61">
        <v>0.11700000000000001</v>
      </c>
      <c r="Z30" s="61" t="s">
        <v>121</v>
      </c>
      <c r="AA30" s="61">
        <v>123.139</v>
      </c>
      <c r="AB30" s="60">
        <v>405.36799999999999</v>
      </c>
      <c r="AC30" s="62"/>
      <c r="AD30" s="61"/>
      <c r="AE30" s="61"/>
      <c r="AF30" s="61"/>
      <c r="AG30" s="61"/>
      <c r="AH30" s="61"/>
      <c r="AI30" s="61"/>
      <c r="AJ30" s="61"/>
      <c r="AK30" s="62"/>
      <c r="AL30" s="63"/>
      <c r="AM30" s="64"/>
      <c r="AN30" s="65" t="e">
        <v>#N/A</v>
      </c>
      <c r="AO30" s="61" t="e">
        <v>#N/A</v>
      </c>
      <c r="AP30" s="61" t="e">
        <v>#N/A</v>
      </c>
      <c r="AQ30" s="61" t="e">
        <v>#N/A</v>
      </c>
      <c r="AR30" s="61" t="e">
        <v>#N/A</v>
      </c>
      <c r="AS30" s="61" t="e">
        <v>#N/A</v>
      </c>
      <c r="AT30" s="61" t="e">
        <v>#N/A</v>
      </c>
      <c r="AU30" s="61" t="e">
        <v>#N/A</v>
      </c>
      <c r="AV30" s="61" t="e">
        <v>#N/A</v>
      </c>
      <c r="AW30" s="61" t="e">
        <v>#N/A</v>
      </c>
      <c r="AX30" s="65" t="e">
        <v>#N/A</v>
      </c>
      <c r="AY30" s="66" t="s">
        <v>121</v>
      </c>
      <c r="AZ30" s="61" t="s">
        <v>121</v>
      </c>
      <c r="BA30" s="61">
        <v>34.965000000000003</v>
      </c>
      <c r="BB30" s="61">
        <v>34.965000000000003</v>
      </c>
      <c r="BC30" s="61" t="s">
        <v>121</v>
      </c>
      <c r="BD30" s="61" t="s">
        <v>121</v>
      </c>
      <c r="BE30" s="61" t="s">
        <v>121</v>
      </c>
      <c r="BF30" s="61" t="s">
        <v>121</v>
      </c>
      <c r="BG30" s="61">
        <v>0.66300000000000003</v>
      </c>
      <c r="BH30" s="61" t="s">
        <v>121</v>
      </c>
      <c r="BI30" s="61" t="s">
        <v>121</v>
      </c>
      <c r="BJ30" s="61">
        <v>0.66300000000000003</v>
      </c>
      <c r="BK30" s="66">
        <v>0.66300000000000003</v>
      </c>
      <c r="BL30" s="67" t="s">
        <v>121</v>
      </c>
      <c r="BM30" s="61" t="s">
        <v>121</v>
      </c>
      <c r="BN30" s="61" t="s">
        <v>121</v>
      </c>
      <c r="BO30" s="61" t="s">
        <v>121</v>
      </c>
      <c r="BP30" s="61" t="s">
        <v>121</v>
      </c>
      <c r="BQ30" s="61">
        <v>277.053</v>
      </c>
      <c r="BR30" s="61">
        <v>2.2810000000000001</v>
      </c>
      <c r="BS30" s="61" t="s">
        <v>121</v>
      </c>
      <c r="BT30" s="61" t="s">
        <v>121</v>
      </c>
      <c r="BU30" s="61">
        <v>2E-3</v>
      </c>
      <c r="BV30" s="61">
        <v>0.11700000000000001</v>
      </c>
      <c r="BW30" s="61">
        <v>0.11899999999999999</v>
      </c>
      <c r="BX30" s="67">
        <v>279.45299999999997</v>
      </c>
      <c r="BY30" s="68">
        <v>74615</v>
      </c>
      <c r="BZ30" s="68">
        <v>92812</v>
      </c>
      <c r="CA30" s="69">
        <v>3297</v>
      </c>
      <c r="CB30" s="68">
        <v>146257</v>
      </c>
      <c r="CC30" s="68">
        <v>51</v>
      </c>
      <c r="CD30" s="61"/>
      <c r="CE30" s="64"/>
      <c r="CF30" s="64"/>
      <c r="CG30" s="70">
        <f t="shared" si="0"/>
        <v>6142.7939999999999</v>
      </c>
      <c r="CH30" s="70">
        <f t="shared" si="1"/>
        <v>138.47399999999999</v>
      </c>
      <c r="CI30" s="70">
        <f t="shared" si="2"/>
        <v>2.1419999999999999</v>
      </c>
      <c r="CJ30" s="70">
        <f t="shared" si="4"/>
        <v>3133.83</v>
      </c>
      <c r="CK30" s="70">
        <f t="shared" si="3"/>
        <v>3898.1039999999998</v>
      </c>
      <c r="CL30" s="70">
        <f t="shared" si="5"/>
        <v>2.1419999999999999</v>
      </c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</row>
    <row r="31" spans="1:153">
      <c r="A31" s="56">
        <v>27515</v>
      </c>
      <c r="B31" s="57"/>
      <c r="C31" s="58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8"/>
      <c r="P31" s="60">
        <v>127.13</v>
      </c>
      <c r="Q31" s="61" t="s">
        <v>121</v>
      </c>
      <c r="R31" s="61">
        <v>127.303</v>
      </c>
      <c r="S31" s="61">
        <v>421.28300000000002</v>
      </c>
      <c r="T31" s="61">
        <v>291.50400000000002</v>
      </c>
      <c r="U31" s="61">
        <v>2.4750000000000001</v>
      </c>
      <c r="V31" s="61" t="s">
        <v>121</v>
      </c>
      <c r="W31" s="61" t="s">
        <v>121</v>
      </c>
      <c r="X31" s="61">
        <v>127.13</v>
      </c>
      <c r="Y31" s="61">
        <v>0.17299999999999999</v>
      </c>
      <c r="Z31" s="61" t="s">
        <v>121</v>
      </c>
      <c r="AA31" s="61">
        <v>127.303</v>
      </c>
      <c r="AB31" s="60">
        <v>421.28300000000002</v>
      </c>
      <c r="AC31" s="62"/>
      <c r="AD31" s="61"/>
      <c r="AE31" s="61"/>
      <c r="AF31" s="61"/>
      <c r="AG31" s="61"/>
      <c r="AH31" s="61"/>
      <c r="AI31" s="61"/>
      <c r="AJ31" s="61"/>
      <c r="AK31" s="62"/>
      <c r="AL31" s="63"/>
      <c r="AM31" s="64"/>
      <c r="AN31" s="65" t="e">
        <v>#N/A</v>
      </c>
      <c r="AO31" s="61" t="e">
        <v>#N/A</v>
      </c>
      <c r="AP31" s="61" t="e">
        <v>#N/A</v>
      </c>
      <c r="AQ31" s="61" t="e">
        <v>#N/A</v>
      </c>
      <c r="AR31" s="61" t="e">
        <v>#N/A</v>
      </c>
      <c r="AS31" s="61" t="e">
        <v>#N/A</v>
      </c>
      <c r="AT31" s="61" t="e">
        <v>#N/A</v>
      </c>
      <c r="AU31" s="61" t="e">
        <v>#N/A</v>
      </c>
      <c r="AV31" s="61" t="e">
        <v>#N/A</v>
      </c>
      <c r="AW31" s="61" t="e">
        <v>#N/A</v>
      </c>
      <c r="AX31" s="65" t="e">
        <v>#N/A</v>
      </c>
      <c r="AY31" s="66" t="s">
        <v>121</v>
      </c>
      <c r="AZ31" s="61" t="s">
        <v>121</v>
      </c>
      <c r="BA31" s="61">
        <v>36.131</v>
      </c>
      <c r="BB31" s="61">
        <v>36.131</v>
      </c>
      <c r="BC31" s="61" t="s">
        <v>121</v>
      </c>
      <c r="BD31" s="61" t="s">
        <v>121</v>
      </c>
      <c r="BE31" s="61" t="s">
        <v>121</v>
      </c>
      <c r="BF31" s="61" t="s">
        <v>121</v>
      </c>
      <c r="BG31" s="61">
        <v>0.68500000000000005</v>
      </c>
      <c r="BH31" s="61" t="s">
        <v>121</v>
      </c>
      <c r="BI31" s="61" t="s">
        <v>121</v>
      </c>
      <c r="BJ31" s="61">
        <v>0.68500000000000005</v>
      </c>
      <c r="BK31" s="66">
        <v>0.68500000000000005</v>
      </c>
      <c r="BL31" s="67" t="s">
        <v>121</v>
      </c>
      <c r="BM31" s="61" t="s">
        <v>121</v>
      </c>
      <c r="BN31" s="61" t="s">
        <v>121</v>
      </c>
      <c r="BO31" s="61" t="s">
        <v>121</v>
      </c>
      <c r="BP31" s="61" t="s">
        <v>121</v>
      </c>
      <c r="BQ31" s="61">
        <v>288.38499999999999</v>
      </c>
      <c r="BR31" s="61">
        <v>2.4750000000000001</v>
      </c>
      <c r="BS31" s="61" t="s">
        <v>121</v>
      </c>
      <c r="BT31" s="61" t="s">
        <v>121</v>
      </c>
      <c r="BU31" s="61">
        <v>8.9999999999999993E-3</v>
      </c>
      <c r="BV31" s="61">
        <v>0.17299999999999999</v>
      </c>
      <c r="BW31" s="61">
        <v>0.182</v>
      </c>
      <c r="BX31" s="67">
        <v>291.04300000000001</v>
      </c>
      <c r="BY31" s="68">
        <v>75386</v>
      </c>
      <c r="BZ31" s="68">
        <v>73852</v>
      </c>
      <c r="CA31" s="69">
        <v>4225</v>
      </c>
      <c r="CB31" s="68">
        <v>152070</v>
      </c>
      <c r="CC31" s="68">
        <v>7</v>
      </c>
      <c r="CD31" s="61"/>
      <c r="CE31" s="64"/>
      <c r="CF31" s="64"/>
      <c r="CG31" s="70">
        <f t="shared" si="0"/>
        <v>6386.94</v>
      </c>
      <c r="CH31" s="70">
        <f t="shared" si="1"/>
        <v>177.45</v>
      </c>
      <c r="CI31" s="70">
        <f t="shared" si="2"/>
        <v>0.29399999999999998</v>
      </c>
      <c r="CJ31" s="70">
        <f t="shared" si="4"/>
        <v>3166.212</v>
      </c>
      <c r="CK31" s="70">
        <f t="shared" si="3"/>
        <v>3101.7840000000001</v>
      </c>
      <c r="CL31" s="70">
        <f t="shared" si="5"/>
        <v>0.29399999999999998</v>
      </c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</row>
    <row r="32" spans="1:153">
      <c r="A32" s="56">
        <v>27546</v>
      </c>
      <c r="B32" s="57"/>
      <c r="C32" s="58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8"/>
      <c r="P32" s="60">
        <v>123.048</v>
      </c>
      <c r="Q32" s="61" t="s">
        <v>121</v>
      </c>
      <c r="R32" s="61">
        <v>123.241</v>
      </c>
      <c r="S32" s="61">
        <v>411.62200000000001</v>
      </c>
      <c r="T32" s="61">
        <v>285.31</v>
      </c>
      <c r="U32" s="61">
        <v>3.07</v>
      </c>
      <c r="V32" s="61" t="s">
        <v>121</v>
      </c>
      <c r="W32" s="61" t="s">
        <v>121</v>
      </c>
      <c r="X32" s="61">
        <v>123.048</v>
      </c>
      <c r="Y32" s="61">
        <v>0.193</v>
      </c>
      <c r="Z32" s="61" t="s">
        <v>121</v>
      </c>
      <c r="AA32" s="61">
        <v>123.241</v>
      </c>
      <c r="AB32" s="60">
        <v>411.62200000000001</v>
      </c>
      <c r="AC32" s="62"/>
      <c r="AD32" s="61"/>
      <c r="AE32" s="61"/>
      <c r="AF32" s="61"/>
      <c r="AG32" s="61"/>
      <c r="AH32" s="61"/>
      <c r="AI32" s="61"/>
      <c r="AJ32" s="61"/>
      <c r="AK32" s="62"/>
      <c r="AL32" s="63"/>
      <c r="AM32" s="64"/>
      <c r="AN32" s="65" t="e">
        <v>#N/A</v>
      </c>
      <c r="AO32" s="61" t="e">
        <v>#N/A</v>
      </c>
      <c r="AP32" s="61" t="e">
        <v>#N/A</v>
      </c>
      <c r="AQ32" s="61" t="e">
        <v>#N/A</v>
      </c>
      <c r="AR32" s="61" t="e">
        <v>#N/A</v>
      </c>
      <c r="AS32" s="61" t="e">
        <v>#N/A</v>
      </c>
      <c r="AT32" s="61" t="e">
        <v>#N/A</v>
      </c>
      <c r="AU32" s="61" t="e">
        <v>#N/A</v>
      </c>
      <c r="AV32" s="61" t="e">
        <v>#N/A</v>
      </c>
      <c r="AW32" s="61" t="e">
        <v>#N/A</v>
      </c>
      <c r="AX32" s="65" t="e">
        <v>#N/A</v>
      </c>
      <c r="AY32" s="66" t="s">
        <v>121</v>
      </c>
      <c r="AZ32" s="61" t="s">
        <v>121</v>
      </c>
      <c r="BA32" s="61">
        <v>34.965000000000003</v>
      </c>
      <c r="BB32" s="61">
        <v>34.965000000000003</v>
      </c>
      <c r="BC32" s="61" t="s">
        <v>121</v>
      </c>
      <c r="BD32" s="61" t="s">
        <v>121</v>
      </c>
      <c r="BE32" s="61" t="s">
        <v>121</v>
      </c>
      <c r="BF32" s="61" t="s">
        <v>121</v>
      </c>
      <c r="BG32" s="61">
        <v>0.66300000000000003</v>
      </c>
      <c r="BH32" s="61" t="s">
        <v>121</v>
      </c>
      <c r="BI32" s="61" t="s">
        <v>121</v>
      </c>
      <c r="BJ32" s="61">
        <v>0.66300000000000003</v>
      </c>
      <c r="BK32" s="66">
        <v>0.66300000000000003</v>
      </c>
      <c r="BL32" s="67" t="s">
        <v>121</v>
      </c>
      <c r="BM32" s="61" t="s">
        <v>121</v>
      </c>
      <c r="BN32" s="61" t="s">
        <v>121</v>
      </c>
      <c r="BO32" s="61" t="s">
        <v>121</v>
      </c>
      <c r="BP32" s="61" t="s">
        <v>121</v>
      </c>
      <c r="BQ32" s="61">
        <v>282.44799999999998</v>
      </c>
      <c r="BR32" s="61">
        <v>3.07</v>
      </c>
      <c r="BS32" s="61" t="s">
        <v>121</v>
      </c>
      <c r="BT32" s="61" t="s">
        <v>121</v>
      </c>
      <c r="BU32" s="61">
        <v>2.8000000000000001E-2</v>
      </c>
      <c r="BV32" s="61">
        <v>0.193</v>
      </c>
      <c r="BW32" s="61">
        <v>0.221</v>
      </c>
      <c r="BX32" s="67">
        <v>285.73899999999998</v>
      </c>
      <c r="BY32" s="68">
        <v>77234</v>
      </c>
      <c r="BZ32" s="68">
        <v>68023</v>
      </c>
      <c r="CA32" s="69">
        <v>2072</v>
      </c>
      <c r="CB32" s="68">
        <v>163348</v>
      </c>
      <c r="CC32" s="68">
        <v>48</v>
      </c>
      <c r="CD32" s="61"/>
      <c r="CE32" s="64"/>
      <c r="CF32" s="64"/>
      <c r="CG32" s="70">
        <f t="shared" si="0"/>
        <v>6860.616</v>
      </c>
      <c r="CH32" s="70">
        <f t="shared" si="1"/>
        <v>87.024000000000001</v>
      </c>
      <c r="CI32" s="70">
        <f t="shared" si="2"/>
        <v>2.016</v>
      </c>
      <c r="CJ32" s="70">
        <f t="shared" si="4"/>
        <v>3243.828</v>
      </c>
      <c r="CK32" s="70">
        <f t="shared" si="3"/>
        <v>2856.9659999999999</v>
      </c>
      <c r="CL32" s="70">
        <f t="shared" si="5"/>
        <v>2.016</v>
      </c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</row>
    <row r="33" spans="1:153">
      <c r="A33" s="56">
        <v>27576</v>
      </c>
      <c r="B33" s="57"/>
      <c r="C33" s="58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8"/>
      <c r="P33" s="60">
        <v>127.125</v>
      </c>
      <c r="Q33" s="61" t="s">
        <v>121</v>
      </c>
      <c r="R33" s="61">
        <v>127.288</v>
      </c>
      <c r="S33" s="61">
        <v>398.459</v>
      </c>
      <c r="T33" s="61">
        <v>268.08100000000002</v>
      </c>
      <c r="U33" s="61">
        <v>3.0910000000000002</v>
      </c>
      <c r="V33" s="61" t="s">
        <v>121</v>
      </c>
      <c r="W33" s="61" t="s">
        <v>121</v>
      </c>
      <c r="X33" s="61">
        <v>127.125</v>
      </c>
      <c r="Y33" s="61">
        <v>0.16300000000000001</v>
      </c>
      <c r="Z33" s="61" t="s">
        <v>121</v>
      </c>
      <c r="AA33" s="61">
        <v>127.288</v>
      </c>
      <c r="AB33" s="60">
        <v>398.459</v>
      </c>
      <c r="AC33" s="62"/>
      <c r="AD33" s="61"/>
      <c r="AE33" s="61"/>
      <c r="AF33" s="61"/>
      <c r="AG33" s="61"/>
      <c r="AH33" s="61"/>
      <c r="AI33" s="61"/>
      <c r="AJ33" s="61"/>
      <c r="AK33" s="62"/>
      <c r="AL33" s="63"/>
      <c r="AM33" s="64"/>
      <c r="AN33" s="65" t="e">
        <v>#N/A</v>
      </c>
      <c r="AO33" s="61" t="e">
        <v>#N/A</v>
      </c>
      <c r="AP33" s="61" t="e">
        <v>#N/A</v>
      </c>
      <c r="AQ33" s="61" t="e">
        <v>#N/A</v>
      </c>
      <c r="AR33" s="61" t="e">
        <v>#N/A</v>
      </c>
      <c r="AS33" s="61" t="e">
        <v>#N/A</v>
      </c>
      <c r="AT33" s="61" t="e">
        <v>#N/A</v>
      </c>
      <c r="AU33" s="61" t="e">
        <v>#N/A</v>
      </c>
      <c r="AV33" s="61" t="e">
        <v>#N/A</v>
      </c>
      <c r="AW33" s="61" t="e">
        <v>#N/A</v>
      </c>
      <c r="AX33" s="65" t="e">
        <v>#N/A</v>
      </c>
      <c r="AY33" s="66" t="s">
        <v>121</v>
      </c>
      <c r="AZ33" s="61" t="s">
        <v>121</v>
      </c>
      <c r="BA33" s="61">
        <v>36.131</v>
      </c>
      <c r="BB33" s="61">
        <v>36.131</v>
      </c>
      <c r="BC33" s="61" t="s">
        <v>121</v>
      </c>
      <c r="BD33" s="61" t="s">
        <v>121</v>
      </c>
      <c r="BE33" s="61" t="s">
        <v>121</v>
      </c>
      <c r="BF33" s="61" t="s">
        <v>121</v>
      </c>
      <c r="BG33" s="61">
        <v>0.68500000000000005</v>
      </c>
      <c r="BH33" s="61" t="s">
        <v>121</v>
      </c>
      <c r="BI33" s="61" t="s">
        <v>121</v>
      </c>
      <c r="BJ33" s="61">
        <v>0.68500000000000005</v>
      </c>
      <c r="BK33" s="66">
        <v>0.68500000000000005</v>
      </c>
      <c r="BL33" s="67" t="s">
        <v>121</v>
      </c>
      <c r="BM33" s="61" t="s">
        <v>121</v>
      </c>
      <c r="BN33" s="61" t="s">
        <v>121</v>
      </c>
      <c r="BO33" s="61" t="s">
        <v>121</v>
      </c>
      <c r="BP33" s="61" t="s">
        <v>121</v>
      </c>
      <c r="BQ33" s="61">
        <v>265.577</v>
      </c>
      <c r="BR33" s="61">
        <v>3.0910000000000002</v>
      </c>
      <c r="BS33" s="61" t="s">
        <v>121</v>
      </c>
      <c r="BT33" s="61" t="s">
        <v>121</v>
      </c>
      <c r="BU33" s="61">
        <v>4.0000000000000001E-3</v>
      </c>
      <c r="BV33" s="61">
        <v>0.16300000000000001</v>
      </c>
      <c r="BW33" s="61">
        <v>0.16700000000000001</v>
      </c>
      <c r="BX33" s="67">
        <v>268.83499999999998</v>
      </c>
      <c r="BY33" s="68">
        <v>80301</v>
      </c>
      <c r="BZ33" s="68">
        <v>65390</v>
      </c>
      <c r="CA33" s="69">
        <v>3219</v>
      </c>
      <c r="CB33" s="68">
        <v>181514</v>
      </c>
      <c r="CC33" s="68">
        <v>11</v>
      </c>
      <c r="CD33" s="61"/>
      <c r="CE33" s="64"/>
      <c r="CF33" s="64"/>
      <c r="CG33" s="70">
        <f t="shared" si="0"/>
        <v>7623.5879999999997</v>
      </c>
      <c r="CH33" s="70">
        <f t="shared" si="1"/>
        <v>135.19800000000001</v>
      </c>
      <c r="CI33" s="70">
        <f t="shared" si="2"/>
        <v>0.46200000000000002</v>
      </c>
      <c r="CJ33" s="70">
        <f t="shared" si="4"/>
        <v>3372.6419999999998</v>
      </c>
      <c r="CK33" s="70">
        <f t="shared" si="3"/>
        <v>2746.38</v>
      </c>
      <c r="CL33" s="70">
        <f t="shared" si="5"/>
        <v>0.46200000000000002</v>
      </c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</row>
    <row r="34" spans="1:153">
      <c r="A34" s="56">
        <v>27607</v>
      </c>
      <c r="B34" s="57"/>
      <c r="C34" s="58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8"/>
      <c r="P34" s="60">
        <v>127.136</v>
      </c>
      <c r="Q34" s="61" t="s">
        <v>121</v>
      </c>
      <c r="R34" s="61">
        <v>127.321</v>
      </c>
      <c r="S34" s="61">
        <v>368.23</v>
      </c>
      <c r="T34" s="61">
        <v>237.55699999999999</v>
      </c>
      <c r="U34" s="61">
        <v>3.351</v>
      </c>
      <c r="V34" s="61" t="s">
        <v>121</v>
      </c>
      <c r="W34" s="61" t="s">
        <v>121</v>
      </c>
      <c r="X34" s="61">
        <v>127.136</v>
      </c>
      <c r="Y34" s="61">
        <v>0.185</v>
      </c>
      <c r="Z34" s="61" t="s">
        <v>121</v>
      </c>
      <c r="AA34" s="61">
        <v>127.321</v>
      </c>
      <c r="AB34" s="60">
        <v>368.23</v>
      </c>
      <c r="AC34" s="62"/>
      <c r="AD34" s="61"/>
      <c r="AE34" s="61"/>
      <c r="AF34" s="61"/>
      <c r="AG34" s="61"/>
      <c r="AH34" s="61"/>
      <c r="AI34" s="61"/>
      <c r="AJ34" s="61"/>
      <c r="AK34" s="62"/>
      <c r="AL34" s="63"/>
      <c r="AM34" s="64"/>
      <c r="AN34" s="65" t="e">
        <v>#N/A</v>
      </c>
      <c r="AO34" s="61" t="e">
        <v>#N/A</v>
      </c>
      <c r="AP34" s="61" t="e">
        <v>#N/A</v>
      </c>
      <c r="AQ34" s="61" t="e">
        <v>#N/A</v>
      </c>
      <c r="AR34" s="61" t="e">
        <v>#N/A</v>
      </c>
      <c r="AS34" s="61" t="e">
        <v>#N/A</v>
      </c>
      <c r="AT34" s="61" t="e">
        <v>#N/A</v>
      </c>
      <c r="AU34" s="61" t="e">
        <v>#N/A</v>
      </c>
      <c r="AV34" s="61" t="e">
        <v>#N/A</v>
      </c>
      <c r="AW34" s="61" t="e">
        <v>#N/A</v>
      </c>
      <c r="AX34" s="65" t="e">
        <v>#N/A</v>
      </c>
      <c r="AY34" s="66" t="s">
        <v>121</v>
      </c>
      <c r="AZ34" s="61" t="s">
        <v>121</v>
      </c>
      <c r="BA34" s="61">
        <v>36.131</v>
      </c>
      <c r="BB34" s="61">
        <v>36.131</v>
      </c>
      <c r="BC34" s="61" t="s">
        <v>121</v>
      </c>
      <c r="BD34" s="61" t="s">
        <v>121</v>
      </c>
      <c r="BE34" s="61" t="s">
        <v>121</v>
      </c>
      <c r="BF34" s="61" t="s">
        <v>121</v>
      </c>
      <c r="BG34" s="61">
        <v>0.68500000000000005</v>
      </c>
      <c r="BH34" s="61" t="s">
        <v>121</v>
      </c>
      <c r="BI34" s="61" t="s">
        <v>121</v>
      </c>
      <c r="BJ34" s="61">
        <v>0.68500000000000005</v>
      </c>
      <c r="BK34" s="66">
        <v>0.68500000000000005</v>
      </c>
      <c r="BL34" s="67" t="s">
        <v>121</v>
      </c>
      <c r="BM34" s="61" t="s">
        <v>121</v>
      </c>
      <c r="BN34" s="61" t="s">
        <v>121</v>
      </c>
      <c r="BO34" s="61" t="s">
        <v>121</v>
      </c>
      <c r="BP34" s="61" t="s">
        <v>121</v>
      </c>
      <c r="BQ34" s="61">
        <v>235.30199999999999</v>
      </c>
      <c r="BR34" s="61">
        <v>3.351</v>
      </c>
      <c r="BS34" s="61" t="s">
        <v>121</v>
      </c>
      <c r="BT34" s="61" t="s">
        <v>121</v>
      </c>
      <c r="BU34" s="61">
        <v>1.6E-2</v>
      </c>
      <c r="BV34" s="61">
        <v>0.185</v>
      </c>
      <c r="BW34" s="61">
        <v>0.2</v>
      </c>
      <c r="BX34" s="67">
        <v>238.85400000000001</v>
      </c>
      <c r="BY34" s="68">
        <v>80363</v>
      </c>
      <c r="BZ34" s="68">
        <v>67365</v>
      </c>
      <c r="CA34" s="69">
        <v>2854</v>
      </c>
      <c r="CB34" s="68">
        <v>197364</v>
      </c>
      <c r="CC34" s="68">
        <v>49</v>
      </c>
      <c r="CD34" s="61"/>
      <c r="CE34" s="64"/>
      <c r="CF34" s="64"/>
      <c r="CG34" s="70">
        <f t="shared" si="0"/>
        <v>8289.2880000000005</v>
      </c>
      <c r="CH34" s="70">
        <f t="shared" si="1"/>
        <v>119.86799999999999</v>
      </c>
      <c r="CI34" s="70">
        <f t="shared" si="2"/>
        <v>2.0579999999999998</v>
      </c>
      <c r="CJ34" s="70">
        <f t="shared" si="4"/>
        <v>3375.2460000000001</v>
      </c>
      <c r="CK34" s="70">
        <f t="shared" si="3"/>
        <v>2829.33</v>
      </c>
      <c r="CL34" s="70">
        <f t="shared" si="5"/>
        <v>2.0579999999999998</v>
      </c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</row>
    <row r="35" spans="1:153">
      <c r="A35" s="56">
        <v>27638</v>
      </c>
      <c r="B35" s="57"/>
      <c r="C35" s="58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8"/>
      <c r="P35" s="60">
        <v>123.05200000000001</v>
      </c>
      <c r="Q35" s="61" t="s">
        <v>121</v>
      </c>
      <c r="R35" s="61">
        <v>123.21</v>
      </c>
      <c r="S35" s="61">
        <v>341.95699999999999</v>
      </c>
      <c r="T35" s="61">
        <v>215.79300000000001</v>
      </c>
      <c r="U35" s="61">
        <v>2.9540000000000002</v>
      </c>
      <c r="V35" s="61" t="s">
        <v>121</v>
      </c>
      <c r="W35" s="61" t="s">
        <v>121</v>
      </c>
      <c r="X35" s="61">
        <v>123.05200000000001</v>
      </c>
      <c r="Y35" s="61">
        <v>0.158</v>
      </c>
      <c r="Z35" s="61" t="s">
        <v>121</v>
      </c>
      <c r="AA35" s="61">
        <v>123.21</v>
      </c>
      <c r="AB35" s="60">
        <v>341.95699999999999</v>
      </c>
      <c r="AC35" s="62"/>
      <c r="AD35" s="61"/>
      <c r="AE35" s="61"/>
      <c r="AF35" s="61"/>
      <c r="AG35" s="61"/>
      <c r="AH35" s="61"/>
      <c r="AI35" s="61"/>
      <c r="AJ35" s="61"/>
      <c r="AK35" s="62"/>
      <c r="AL35" s="63"/>
      <c r="AM35" s="64"/>
      <c r="AN35" s="65" t="e">
        <v>#N/A</v>
      </c>
      <c r="AO35" s="61" t="e">
        <v>#N/A</v>
      </c>
      <c r="AP35" s="61" t="e">
        <v>#N/A</v>
      </c>
      <c r="AQ35" s="61" t="e">
        <v>#N/A</v>
      </c>
      <c r="AR35" s="61" t="e">
        <v>#N/A</v>
      </c>
      <c r="AS35" s="61" t="e">
        <v>#N/A</v>
      </c>
      <c r="AT35" s="61" t="e">
        <v>#N/A</v>
      </c>
      <c r="AU35" s="61" t="e">
        <v>#N/A</v>
      </c>
      <c r="AV35" s="61" t="e">
        <v>#N/A</v>
      </c>
      <c r="AW35" s="61" t="e">
        <v>#N/A</v>
      </c>
      <c r="AX35" s="65" t="e">
        <v>#N/A</v>
      </c>
      <c r="AY35" s="66" t="s">
        <v>121</v>
      </c>
      <c r="AZ35" s="61" t="s">
        <v>121</v>
      </c>
      <c r="BA35" s="61">
        <v>34.965000000000003</v>
      </c>
      <c r="BB35" s="61">
        <v>34.965000000000003</v>
      </c>
      <c r="BC35" s="61" t="s">
        <v>121</v>
      </c>
      <c r="BD35" s="61" t="s">
        <v>121</v>
      </c>
      <c r="BE35" s="61" t="s">
        <v>121</v>
      </c>
      <c r="BF35" s="61" t="s">
        <v>121</v>
      </c>
      <c r="BG35" s="61">
        <v>0.66300000000000003</v>
      </c>
      <c r="BH35" s="61" t="s">
        <v>121</v>
      </c>
      <c r="BI35" s="61" t="s">
        <v>121</v>
      </c>
      <c r="BJ35" s="61">
        <v>0.66300000000000003</v>
      </c>
      <c r="BK35" s="66">
        <v>0.66300000000000003</v>
      </c>
      <c r="BL35" s="67" t="s">
        <v>121</v>
      </c>
      <c r="BM35" s="61" t="s">
        <v>121</v>
      </c>
      <c r="BN35" s="61" t="s">
        <v>121</v>
      </c>
      <c r="BO35" s="61" t="s">
        <v>121</v>
      </c>
      <c r="BP35" s="61" t="s">
        <v>121</v>
      </c>
      <c r="BQ35" s="61">
        <v>213.52500000000001</v>
      </c>
      <c r="BR35" s="61">
        <v>2.9540000000000002</v>
      </c>
      <c r="BS35" s="61" t="s">
        <v>121</v>
      </c>
      <c r="BT35" s="61" t="s">
        <v>121</v>
      </c>
      <c r="BU35" s="61">
        <v>3.2000000000000001E-2</v>
      </c>
      <c r="BV35" s="61">
        <v>0.158</v>
      </c>
      <c r="BW35" s="61">
        <v>0.19</v>
      </c>
      <c r="BX35" s="67">
        <v>216.66900000000001</v>
      </c>
      <c r="BY35" s="68">
        <v>84374</v>
      </c>
      <c r="BZ35" s="68">
        <v>64895</v>
      </c>
      <c r="CA35" s="69">
        <v>3885</v>
      </c>
      <c r="CB35" s="68">
        <v>220776</v>
      </c>
      <c r="CC35" s="68">
        <v>1</v>
      </c>
      <c r="CD35" s="61"/>
      <c r="CE35" s="64"/>
      <c r="CF35" s="64"/>
      <c r="CG35" s="70">
        <f t="shared" si="0"/>
        <v>9272.5920000000006</v>
      </c>
      <c r="CH35" s="70">
        <f t="shared" si="1"/>
        <v>163.16999999999999</v>
      </c>
      <c r="CI35" s="70">
        <f t="shared" si="2"/>
        <v>4.2000000000000003E-2</v>
      </c>
      <c r="CJ35" s="70">
        <f t="shared" si="4"/>
        <v>3543.7080000000001</v>
      </c>
      <c r="CK35" s="70">
        <f t="shared" si="3"/>
        <v>2725.59</v>
      </c>
      <c r="CL35" s="70">
        <f t="shared" si="5"/>
        <v>4.2000000000000003E-2</v>
      </c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</row>
    <row r="36" spans="1:153">
      <c r="A36" s="56">
        <v>27668</v>
      </c>
      <c r="B36" s="57"/>
      <c r="C36" s="58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8"/>
      <c r="P36" s="60">
        <v>127.151</v>
      </c>
      <c r="Q36" s="61" t="s">
        <v>121</v>
      </c>
      <c r="R36" s="61">
        <v>127.312</v>
      </c>
      <c r="S36" s="61">
        <v>368.786</v>
      </c>
      <c r="T36" s="61">
        <v>238.06800000000001</v>
      </c>
      <c r="U36" s="61">
        <v>3.4060000000000001</v>
      </c>
      <c r="V36" s="61" t="s">
        <v>121</v>
      </c>
      <c r="W36" s="61" t="s">
        <v>121</v>
      </c>
      <c r="X36" s="61">
        <v>127.151</v>
      </c>
      <c r="Y36" s="61">
        <v>0.161</v>
      </c>
      <c r="Z36" s="61" t="s">
        <v>121</v>
      </c>
      <c r="AA36" s="61">
        <v>127.312</v>
      </c>
      <c r="AB36" s="60">
        <v>368.786</v>
      </c>
      <c r="AC36" s="62"/>
      <c r="AD36" s="61"/>
      <c r="AE36" s="61"/>
      <c r="AF36" s="61"/>
      <c r="AG36" s="61"/>
      <c r="AH36" s="61"/>
      <c r="AI36" s="61"/>
      <c r="AJ36" s="61"/>
      <c r="AK36" s="62"/>
      <c r="AL36" s="63"/>
      <c r="AM36" s="64"/>
      <c r="AN36" s="65" t="e">
        <v>#N/A</v>
      </c>
      <c r="AO36" s="61" t="e">
        <v>#N/A</v>
      </c>
      <c r="AP36" s="61" t="e">
        <v>#N/A</v>
      </c>
      <c r="AQ36" s="61" t="e">
        <v>#N/A</v>
      </c>
      <c r="AR36" s="61" t="e">
        <v>#N/A</v>
      </c>
      <c r="AS36" s="61" t="e">
        <v>#N/A</v>
      </c>
      <c r="AT36" s="61" t="e">
        <v>#N/A</v>
      </c>
      <c r="AU36" s="61" t="e">
        <v>#N/A</v>
      </c>
      <c r="AV36" s="61" t="e">
        <v>#N/A</v>
      </c>
      <c r="AW36" s="61" t="e">
        <v>#N/A</v>
      </c>
      <c r="AX36" s="65" t="e">
        <v>#N/A</v>
      </c>
      <c r="AY36" s="66" t="s">
        <v>121</v>
      </c>
      <c r="AZ36" s="61" t="s">
        <v>121</v>
      </c>
      <c r="BA36" s="61">
        <v>36.131</v>
      </c>
      <c r="BB36" s="61">
        <v>36.131</v>
      </c>
      <c r="BC36" s="61" t="s">
        <v>121</v>
      </c>
      <c r="BD36" s="61" t="s">
        <v>121</v>
      </c>
      <c r="BE36" s="61" t="s">
        <v>121</v>
      </c>
      <c r="BF36" s="61" t="s">
        <v>121</v>
      </c>
      <c r="BG36" s="61">
        <v>0.68500000000000005</v>
      </c>
      <c r="BH36" s="61" t="s">
        <v>121</v>
      </c>
      <c r="BI36" s="61" t="s">
        <v>121</v>
      </c>
      <c r="BJ36" s="61">
        <v>0.68500000000000005</v>
      </c>
      <c r="BK36" s="66">
        <v>0.68500000000000005</v>
      </c>
      <c r="BL36" s="67" t="s">
        <v>121</v>
      </c>
      <c r="BM36" s="61" t="s">
        <v>121</v>
      </c>
      <c r="BN36" s="61" t="s">
        <v>121</v>
      </c>
      <c r="BO36" s="61" t="s">
        <v>121</v>
      </c>
      <c r="BP36" s="61" t="s">
        <v>121</v>
      </c>
      <c r="BQ36" s="61">
        <v>235.58099999999999</v>
      </c>
      <c r="BR36" s="61">
        <v>3.4060000000000001</v>
      </c>
      <c r="BS36" s="61" t="s">
        <v>121</v>
      </c>
      <c r="BT36" s="61" t="s">
        <v>121</v>
      </c>
      <c r="BU36" s="61">
        <v>0.03</v>
      </c>
      <c r="BV36" s="61">
        <v>0.161</v>
      </c>
      <c r="BW36" s="61">
        <v>0.192</v>
      </c>
      <c r="BX36" s="67">
        <v>239.178</v>
      </c>
      <c r="BY36" s="68">
        <v>85100</v>
      </c>
      <c r="BZ36" s="68">
        <v>82990</v>
      </c>
      <c r="CA36" s="69">
        <v>3232</v>
      </c>
      <c r="CB36" s="68">
        <v>226160</v>
      </c>
      <c r="CC36" s="68">
        <v>1</v>
      </c>
      <c r="CD36" s="61"/>
      <c r="CE36" s="64"/>
      <c r="CF36" s="64"/>
      <c r="CG36" s="70">
        <f t="shared" si="0"/>
        <v>9498.7199999999993</v>
      </c>
      <c r="CH36" s="70">
        <f t="shared" si="1"/>
        <v>135.744</v>
      </c>
      <c r="CI36" s="70">
        <f t="shared" si="2"/>
        <v>4.2000000000000003E-2</v>
      </c>
      <c r="CJ36" s="70">
        <f t="shared" si="4"/>
        <v>3574.2</v>
      </c>
      <c r="CK36" s="70">
        <f t="shared" si="3"/>
        <v>3485.58</v>
      </c>
      <c r="CL36" s="70">
        <f t="shared" si="5"/>
        <v>4.2000000000000003E-2</v>
      </c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</row>
    <row r="37" spans="1:153">
      <c r="A37" s="56">
        <v>27699</v>
      </c>
      <c r="B37" s="57"/>
      <c r="C37" s="58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8"/>
      <c r="P37" s="60">
        <v>123.039</v>
      </c>
      <c r="Q37" s="61" t="s">
        <v>121</v>
      </c>
      <c r="R37" s="61">
        <v>123.18</v>
      </c>
      <c r="S37" s="61">
        <v>383.19600000000003</v>
      </c>
      <c r="T37" s="61">
        <v>256.70600000000002</v>
      </c>
      <c r="U37" s="61">
        <v>3.31</v>
      </c>
      <c r="V37" s="61" t="s">
        <v>121</v>
      </c>
      <c r="W37" s="61" t="s">
        <v>121</v>
      </c>
      <c r="X37" s="61">
        <v>123.039</v>
      </c>
      <c r="Y37" s="61">
        <v>0.14099999999999999</v>
      </c>
      <c r="Z37" s="61" t="s">
        <v>121</v>
      </c>
      <c r="AA37" s="61">
        <v>123.18</v>
      </c>
      <c r="AB37" s="60">
        <v>383.19600000000003</v>
      </c>
      <c r="AC37" s="62"/>
      <c r="AD37" s="61"/>
      <c r="AE37" s="61"/>
      <c r="AF37" s="61"/>
      <c r="AG37" s="61"/>
      <c r="AH37" s="61"/>
      <c r="AI37" s="61"/>
      <c r="AJ37" s="61"/>
      <c r="AK37" s="62"/>
      <c r="AL37" s="63"/>
      <c r="AM37" s="64"/>
      <c r="AN37" s="65" t="e">
        <v>#N/A</v>
      </c>
      <c r="AO37" s="61" t="e">
        <v>#N/A</v>
      </c>
      <c r="AP37" s="61" t="e">
        <v>#N/A</v>
      </c>
      <c r="AQ37" s="61" t="e">
        <v>#N/A</v>
      </c>
      <c r="AR37" s="61" t="e">
        <v>#N/A</v>
      </c>
      <c r="AS37" s="61" t="e">
        <v>#N/A</v>
      </c>
      <c r="AT37" s="61" t="e">
        <v>#N/A</v>
      </c>
      <c r="AU37" s="61" t="e">
        <v>#N/A</v>
      </c>
      <c r="AV37" s="61" t="e">
        <v>#N/A</v>
      </c>
      <c r="AW37" s="61" t="e">
        <v>#N/A</v>
      </c>
      <c r="AX37" s="65" t="e">
        <v>#N/A</v>
      </c>
      <c r="AY37" s="66" t="s">
        <v>121</v>
      </c>
      <c r="AZ37" s="61" t="s">
        <v>121</v>
      </c>
      <c r="BA37" s="61">
        <v>34.965000000000003</v>
      </c>
      <c r="BB37" s="61">
        <v>34.965000000000003</v>
      </c>
      <c r="BC37" s="61" t="s">
        <v>121</v>
      </c>
      <c r="BD37" s="61" t="s">
        <v>121</v>
      </c>
      <c r="BE37" s="61" t="s">
        <v>121</v>
      </c>
      <c r="BF37" s="61" t="s">
        <v>121</v>
      </c>
      <c r="BG37" s="61">
        <v>0.66300000000000003</v>
      </c>
      <c r="BH37" s="61" t="s">
        <v>121</v>
      </c>
      <c r="BI37" s="61" t="s">
        <v>121</v>
      </c>
      <c r="BJ37" s="61">
        <v>0.66300000000000003</v>
      </c>
      <c r="BK37" s="66">
        <v>0.66300000000000003</v>
      </c>
      <c r="BL37" s="67" t="s">
        <v>121</v>
      </c>
      <c r="BM37" s="61" t="s">
        <v>121</v>
      </c>
      <c r="BN37" s="61" t="s">
        <v>121</v>
      </c>
      <c r="BO37" s="61" t="s">
        <v>121</v>
      </c>
      <c r="BP37" s="61" t="s">
        <v>121</v>
      </c>
      <c r="BQ37" s="61">
        <v>254.21</v>
      </c>
      <c r="BR37" s="61">
        <v>3.31</v>
      </c>
      <c r="BS37" s="61" t="s">
        <v>121</v>
      </c>
      <c r="BT37" s="61" t="s">
        <v>121</v>
      </c>
      <c r="BU37" s="61">
        <v>1.9E-2</v>
      </c>
      <c r="BV37" s="61">
        <v>0.14099999999999999</v>
      </c>
      <c r="BW37" s="61">
        <v>0.16</v>
      </c>
      <c r="BX37" s="67">
        <v>257.68</v>
      </c>
      <c r="BY37" s="68">
        <v>83019</v>
      </c>
      <c r="BZ37" s="68">
        <v>76309</v>
      </c>
      <c r="CA37" s="69">
        <v>2894</v>
      </c>
      <c r="CB37" s="68">
        <v>235798</v>
      </c>
      <c r="CC37" s="68">
        <v>10</v>
      </c>
      <c r="CD37" s="61"/>
      <c r="CE37" s="64"/>
      <c r="CF37" s="64"/>
      <c r="CG37" s="70">
        <f t="shared" si="0"/>
        <v>9903.5159999999996</v>
      </c>
      <c r="CH37" s="70">
        <f t="shared" si="1"/>
        <v>121.548</v>
      </c>
      <c r="CI37" s="70">
        <f t="shared" si="2"/>
        <v>0.42</v>
      </c>
      <c r="CJ37" s="70">
        <f t="shared" si="4"/>
        <v>3486.7979999999998</v>
      </c>
      <c r="CK37" s="70">
        <f t="shared" si="3"/>
        <v>3204.9780000000001</v>
      </c>
      <c r="CL37" s="70">
        <f t="shared" si="5"/>
        <v>0.42</v>
      </c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</row>
    <row r="38" spans="1:153">
      <c r="A38" s="56">
        <v>27729</v>
      </c>
      <c r="B38" s="57"/>
      <c r="C38" s="58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8"/>
      <c r="P38" s="60">
        <v>127.13800000000001</v>
      </c>
      <c r="Q38" s="61" t="s">
        <v>121</v>
      </c>
      <c r="R38" s="61">
        <v>127.277</v>
      </c>
      <c r="S38" s="61">
        <v>403.69600000000003</v>
      </c>
      <c r="T38" s="61">
        <v>272.99</v>
      </c>
      <c r="U38" s="61">
        <v>3.4289999999999998</v>
      </c>
      <c r="V38" s="61" t="s">
        <v>121</v>
      </c>
      <c r="W38" s="61" t="s">
        <v>121</v>
      </c>
      <c r="X38" s="61">
        <v>127.13800000000001</v>
      </c>
      <c r="Y38" s="61">
        <v>0.13800000000000001</v>
      </c>
      <c r="Z38" s="61" t="s">
        <v>121</v>
      </c>
      <c r="AA38" s="61">
        <v>127.277</v>
      </c>
      <c r="AB38" s="60">
        <v>403.69600000000003</v>
      </c>
      <c r="AC38" s="62"/>
      <c r="AD38" s="61"/>
      <c r="AE38" s="61"/>
      <c r="AF38" s="61"/>
      <c r="AG38" s="61"/>
      <c r="AH38" s="61"/>
      <c r="AI38" s="61"/>
      <c r="AJ38" s="61"/>
      <c r="AK38" s="62"/>
      <c r="AL38" s="63"/>
      <c r="AM38" s="64"/>
      <c r="AN38" s="65" t="e">
        <v>#N/A</v>
      </c>
      <c r="AO38" s="61" t="e">
        <v>#N/A</v>
      </c>
      <c r="AP38" s="61" t="e">
        <v>#N/A</v>
      </c>
      <c r="AQ38" s="61" t="e">
        <v>#N/A</v>
      </c>
      <c r="AR38" s="61" t="e">
        <v>#N/A</v>
      </c>
      <c r="AS38" s="61" t="e">
        <v>#N/A</v>
      </c>
      <c r="AT38" s="61" t="e">
        <v>#N/A</v>
      </c>
      <c r="AU38" s="61" t="e">
        <v>#N/A</v>
      </c>
      <c r="AV38" s="61" t="e">
        <v>#N/A</v>
      </c>
      <c r="AW38" s="61" t="e">
        <v>#N/A</v>
      </c>
      <c r="AX38" s="65" t="e">
        <v>#N/A</v>
      </c>
      <c r="AY38" s="66" t="s">
        <v>121</v>
      </c>
      <c r="AZ38" s="61" t="s">
        <v>121</v>
      </c>
      <c r="BA38" s="61">
        <v>36.131</v>
      </c>
      <c r="BB38" s="61">
        <v>36.131</v>
      </c>
      <c r="BC38" s="61" t="s">
        <v>121</v>
      </c>
      <c r="BD38" s="61" t="s">
        <v>121</v>
      </c>
      <c r="BE38" s="61" t="s">
        <v>121</v>
      </c>
      <c r="BF38" s="61" t="s">
        <v>121</v>
      </c>
      <c r="BG38" s="61">
        <v>0.68500000000000005</v>
      </c>
      <c r="BH38" s="61" t="s">
        <v>121</v>
      </c>
      <c r="BI38" s="61" t="s">
        <v>121</v>
      </c>
      <c r="BJ38" s="61">
        <v>0.68500000000000005</v>
      </c>
      <c r="BK38" s="66">
        <v>0.68500000000000005</v>
      </c>
      <c r="BL38" s="67" t="s">
        <v>121</v>
      </c>
      <c r="BM38" s="61" t="s">
        <v>121</v>
      </c>
      <c r="BN38" s="61" t="s">
        <v>121</v>
      </c>
      <c r="BO38" s="61" t="s">
        <v>121</v>
      </c>
      <c r="BP38" s="61" t="s">
        <v>121</v>
      </c>
      <c r="BQ38" s="61">
        <v>270.322</v>
      </c>
      <c r="BR38" s="61">
        <v>3.4289999999999998</v>
      </c>
      <c r="BS38" s="61" t="s">
        <v>121</v>
      </c>
      <c r="BT38" s="61" t="s">
        <v>121</v>
      </c>
      <c r="BU38" s="61">
        <v>1.7999999999999999E-2</v>
      </c>
      <c r="BV38" s="61">
        <v>0.13800000000000001</v>
      </c>
      <c r="BW38" s="61">
        <v>0.156</v>
      </c>
      <c r="BX38" s="67">
        <v>273.90699999999998</v>
      </c>
      <c r="BY38" s="68">
        <v>86300</v>
      </c>
      <c r="BZ38" s="68">
        <v>117555</v>
      </c>
      <c r="CA38" s="69">
        <v>4281</v>
      </c>
      <c r="CB38" s="68">
        <v>208833</v>
      </c>
      <c r="CC38" s="68">
        <v>36</v>
      </c>
      <c r="CD38" s="61"/>
      <c r="CE38" s="64"/>
      <c r="CF38" s="64"/>
      <c r="CG38" s="70">
        <f t="shared" si="0"/>
        <v>8770.9860000000008</v>
      </c>
      <c r="CH38" s="70">
        <f t="shared" si="1"/>
        <v>179.80199999999999</v>
      </c>
      <c r="CI38" s="70">
        <f t="shared" si="2"/>
        <v>1.512</v>
      </c>
      <c r="CJ38" s="70">
        <f t="shared" si="4"/>
        <v>3624.6</v>
      </c>
      <c r="CK38" s="70">
        <f t="shared" si="3"/>
        <v>4937.3100000000004</v>
      </c>
      <c r="CL38" s="70">
        <f t="shared" si="5"/>
        <v>1.512</v>
      </c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</row>
    <row r="39" spans="1:153">
      <c r="A39" s="56">
        <v>27760</v>
      </c>
      <c r="B39" s="57"/>
      <c r="C39" s="58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8"/>
      <c r="P39" s="60">
        <v>144.91</v>
      </c>
      <c r="Q39" s="61" t="s">
        <v>121</v>
      </c>
      <c r="R39" s="61">
        <v>145.04900000000001</v>
      </c>
      <c r="S39" s="61">
        <v>421.77499999999998</v>
      </c>
      <c r="T39" s="61">
        <v>273.32299999999998</v>
      </c>
      <c r="U39" s="61">
        <v>3.403</v>
      </c>
      <c r="V39" s="61" t="s">
        <v>121</v>
      </c>
      <c r="W39" s="61" t="s">
        <v>121</v>
      </c>
      <c r="X39" s="61">
        <v>144.91</v>
      </c>
      <c r="Y39" s="61">
        <v>0.14000000000000001</v>
      </c>
      <c r="Z39" s="61" t="s">
        <v>121</v>
      </c>
      <c r="AA39" s="61">
        <v>145.04900000000001</v>
      </c>
      <c r="AB39" s="60">
        <v>421.77499999999998</v>
      </c>
      <c r="AC39" s="62"/>
      <c r="AD39" s="61"/>
      <c r="AE39" s="61"/>
      <c r="AF39" s="61"/>
      <c r="AG39" s="61"/>
      <c r="AH39" s="61"/>
      <c r="AI39" s="61"/>
      <c r="AJ39" s="61"/>
      <c r="AK39" s="62"/>
      <c r="AL39" s="63"/>
      <c r="AM39" s="64"/>
      <c r="AN39" s="65" t="e">
        <v>#N/A</v>
      </c>
      <c r="AO39" s="61" t="e">
        <v>#N/A</v>
      </c>
      <c r="AP39" s="61" t="e">
        <v>#N/A</v>
      </c>
      <c r="AQ39" s="61" t="e">
        <v>#N/A</v>
      </c>
      <c r="AR39" s="61" t="e">
        <v>#N/A</v>
      </c>
      <c r="AS39" s="61" t="e">
        <v>#N/A</v>
      </c>
      <c r="AT39" s="61" t="e">
        <v>#N/A</v>
      </c>
      <c r="AU39" s="61" t="e">
        <v>#N/A</v>
      </c>
      <c r="AV39" s="61" t="e">
        <v>#N/A</v>
      </c>
      <c r="AW39" s="61" t="e">
        <v>#N/A</v>
      </c>
      <c r="AX39" s="65" t="e">
        <v>#N/A</v>
      </c>
      <c r="AY39" s="66" t="s">
        <v>121</v>
      </c>
      <c r="AZ39" s="61" t="s">
        <v>121</v>
      </c>
      <c r="BA39" s="61">
        <v>40.793999999999997</v>
      </c>
      <c r="BB39" s="61">
        <v>40.793999999999997</v>
      </c>
      <c r="BC39" s="61" t="s">
        <v>121</v>
      </c>
      <c r="BD39" s="61" t="s">
        <v>121</v>
      </c>
      <c r="BE39" s="61" t="s">
        <v>121</v>
      </c>
      <c r="BF39" s="61" t="s">
        <v>121</v>
      </c>
      <c r="BG39" s="61">
        <v>0.77100000000000002</v>
      </c>
      <c r="BH39" s="61" t="s">
        <v>121</v>
      </c>
      <c r="BI39" s="61" t="s">
        <v>121</v>
      </c>
      <c r="BJ39" s="61">
        <v>0.77100000000000002</v>
      </c>
      <c r="BK39" s="66">
        <v>0.77100000000000002</v>
      </c>
      <c r="BL39" s="67" t="s">
        <v>121</v>
      </c>
      <c r="BM39" s="61" t="s">
        <v>121</v>
      </c>
      <c r="BN39" s="61" t="s">
        <v>121</v>
      </c>
      <c r="BO39" s="61" t="s">
        <v>121</v>
      </c>
      <c r="BP39" s="61" t="s">
        <v>121</v>
      </c>
      <c r="BQ39" s="61">
        <v>270.423</v>
      </c>
      <c r="BR39" s="61">
        <v>3.403</v>
      </c>
      <c r="BS39" s="61" t="s">
        <v>121</v>
      </c>
      <c r="BT39" s="61" t="s">
        <v>121</v>
      </c>
      <c r="BU39" s="61">
        <v>2.1999999999999999E-2</v>
      </c>
      <c r="BV39" s="61">
        <v>0.14000000000000001</v>
      </c>
      <c r="BW39" s="61">
        <v>0.16200000000000001</v>
      </c>
      <c r="BX39" s="67">
        <v>273.988</v>
      </c>
      <c r="BY39" s="68">
        <v>84750</v>
      </c>
      <c r="BZ39" s="68">
        <v>133220</v>
      </c>
      <c r="CA39" s="69">
        <v>5061</v>
      </c>
      <c r="CB39" s="68">
        <v>165477</v>
      </c>
      <c r="CC39" s="68">
        <v>7</v>
      </c>
      <c r="CD39" s="61"/>
      <c r="CE39" s="64"/>
      <c r="CF39" s="64"/>
      <c r="CG39" s="70">
        <f t="shared" si="0"/>
        <v>6950.0339999999997</v>
      </c>
      <c r="CH39" s="70">
        <f t="shared" si="1"/>
        <v>212.56200000000001</v>
      </c>
      <c r="CI39" s="70">
        <f t="shared" si="2"/>
        <v>0.29399999999999998</v>
      </c>
      <c r="CJ39" s="70">
        <f t="shared" si="4"/>
        <v>3559.5</v>
      </c>
      <c r="CK39" s="70">
        <f t="shared" si="3"/>
        <v>5595.24</v>
      </c>
      <c r="CL39" s="70">
        <f t="shared" si="5"/>
        <v>0.29399999999999998</v>
      </c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  <c r="EV39" s="61"/>
      <c r="EW39" s="61"/>
    </row>
    <row r="40" spans="1:153">
      <c r="A40" s="56">
        <v>27791</v>
      </c>
      <c r="B40" s="57"/>
      <c r="C40" s="58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8"/>
      <c r="P40" s="60">
        <v>135.559</v>
      </c>
      <c r="Q40" s="61" t="s">
        <v>121</v>
      </c>
      <c r="R40" s="61">
        <v>135.69499999999999</v>
      </c>
      <c r="S40" s="61">
        <v>396.173</v>
      </c>
      <c r="T40" s="61">
        <v>257.27699999999999</v>
      </c>
      <c r="U40" s="61">
        <v>3.2</v>
      </c>
      <c r="V40" s="61" t="s">
        <v>121</v>
      </c>
      <c r="W40" s="61" t="s">
        <v>121</v>
      </c>
      <c r="X40" s="61">
        <v>135.559</v>
      </c>
      <c r="Y40" s="61">
        <v>0.13600000000000001</v>
      </c>
      <c r="Z40" s="61" t="s">
        <v>121</v>
      </c>
      <c r="AA40" s="61">
        <v>135.69499999999999</v>
      </c>
      <c r="AB40" s="60">
        <v>396.173</v>
      </c>
      <c r="AC40" s="62"/>
      <c r="AD40" s="61"/>
      <c r="AE40" s="61"/>
      <c r="AF40" s="61"/>
      <c r="AG40" s="61"/>
      <c r="AH40" s="61"/>
      <c r="AI40" s="61"/>
      <c r="AJ40" s="61"/>
      <c r="AK40" s="62"/>
      <c r="AL40" s="63"/>
      <c r="AM40" s="64"/>
      <c r="AN40" s="65" t="e">
        <v>#N/A</v>
      </c>
      <c r="AO40" s="61" t="e">
        <v>#N/A</v>
      </c>
      <c r="AP40" s="61" t="e">
        <v>#N/A</v>
      </c>
      <c r="AQ40" s="61" t="e">
        <v>#N/A</v>
      </c>
      <c r="AR40" s="61" t="e">
        <v>#N/A</v>
      </c>
      <c r="AS40" s="61" t="e">
        <v>#N/A</v>
      </c>
      <c r="AT40" s="61" t="e">
        <v>#N/A</v>
      </c>
      <c r="AU40" s="61" t="e">
        <v>#N/A</v>
      </c>
      <c r="AV40" s="61" t="e">
        <v>#N/A</v>
      </c>
      <c r="AW40" s="61" t="e">
        <v>#N/A</v>
      </c>
      <c r="AX40" s="65" t="e">
        <v>#N/A</v>
      </c>
      <c r="AY40" s="66" t="s">
        <v>121</v>
      </c>
      <c r="AZ40" s="61" t="s">
        <v>121</v>
      </c>
      <c r="BA40" s="61">
        <v>38.161999999999999</v>
      </c>
      <c r="BB40" s="61">
        <v>38.161999999999999</v>
      </c>
      <c r="BC40" s="61" t="s">
        <v>121</v>
      </c>
      <c r="BD40" s="61" t="s">
        <v>121</v>
      </c>
      <c r="BE40" s="61" t="s">
        <v>121</v>
      </c>
      <c r="BF40" s="61" t="s">
        <v>121</v>
      </c>
      <c r="BG40" s="61">
        <v>0.72099999999999997</v>
      </c>
      <c r="BH40" s="61" t="s">
        <v>121</v>
      </c>
      <c r="BI40" s="61" t="s">
        <v>121</v>
      </c>
      <c r="BJ40" s="61">
        <v>0.72099999999999997</v>
      </c>
      <c r="BK40" s="66">
        <v>0.72099999999999997</v>
      </c>
      <c r="BL40" s="67" t="s">
        <v>121</v>
      </c>
      <c r="BM40" s="61" t="s">
        <v>121</v>
      </c>
      <c r="BN40" s="61" t="s">
        <v>121</v>
      </c>
      <c r="BO40" s="61" t="s">
        <v>121</v>
      </c>
      <c r="BP40" s="61" t="s">
        <v>121</v>
      </c>
      <c r="BQ40" s="61">
        <v>254.351</v>
      </c>
      <c r="BR40" s="61">
        <v>3.2</v>
      </c>
      <c r="BS40" s="61" t="s">
        <v>121</v>
      </c>
      <c r="BT40" s="61" t="s">
        <v>121</v>
      </c>
      <c r="BU40" s="61">
        <v>1.9E-2</v>
      </c>
      <c r="BV40" s="61">
        <v>0.13600000000000001</v>
      </c>
      <c r="BW40" s="61">
        <v>0.155</v>
      </c>
      <c r="BX40" s="67">
        <v>257.70600000000002</v>
      </c>
      <c r="BY40" s="68">
        <v>85870</v>
      </c>
      <c r="BZ40" s="68">
        <v>107215</v>
      </c>
      <c r="CA40" s="69">
        <v>6308</v>
      </c>
      <c r="CB40" s="68">
        <v>150472</v>
      </c>
      <c r="CC40" s="68">
        <v>24</v>
      </c>
      <c r="CD40" s="61"/>
      <c r="CE40" s="64"/>
      <c r="CF40" s="64"/>
      <c r="CG40" s="70">
        <f t="shared" si="0"/>
        <v>6319.8239999999996</v>
      </c>
      <c r="CH40" s="70">
        <f t="shared" si="1"/>
        <v>264.93599999999998</v>
      </c>
      <c r="CI40" s="70">
        <f t="shared" si="2"/>
        <v>1.008</v>
      </c>
      <c r="CJ40" s="70">
        <f t="shared" si="4"/>
        <v>3606.54</v>
      </c>
      <c r="CK40" s="70">
        <f t="shared" si="3"/>
        <v>4503.03</v>
      </c>
      <c r="CL40" s="70">
        <f t="shared" si="5"/>
        <v>1.008</v>
      </c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  <c r="EV40" s="61"/>
      <c r="EW40" s="61"/>
    </row>
    <row r="41" spans="1:153">
      <c r="A41" s="56">
        <v>27820</v>
      </c>
      <c r="B41" s="57"/>
      <c r="C41" s="58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8"/>
      <c r="P41" s="60">
        <v>144.91399999999999</v>
      </c>
      <c r="Q41" s="61" t="s">
        <v>121</v>
      </c>
      <c r="R41" s="61">
        <v>145.05099999999999</v>
      </c>
      <c r="S41" s="61">
        <v>427.04399999999998</v>
      </c>
      <c r="T41" s="61">
        <v>278.56700000000001</v>
      </c>
      <c r="U41" s="61">
        <v>3.4260000000000002</v>
      </c>
      <c r="V41" s="61" t="s">
        <v>121</v>
      </c>
      <c r="W41" s="61" t="s">
        <v>121</v>
      </c>
      <c r="X41" s="61">
        <v>144.91399999999999</v>
      </c>
      <c r="Y41" s="61">
        <v>0.13700000000000001</v>
      </c>
      <c r="Z41" s="61" t="s">
        <v>121</v>
      </c>
      <c r="AA41" s="61">
        <v>145.05099999999999</v>
      </c>
      <c r="AB41" s="60">
        <v>427.04399999999998</v>
      </c>
      <c r="AC41" s="62"/>
      <c r="AD41" s="61"/>
      <c r="AE41" s="61"/>
      <c r="AF41" s="61"/>
      <c r="AG41" s="61"/>
      <c r="AH41" s="61"/>
      <c r="AI41" s="61"/>
      <c r="AJ41" s="61"/>
      <c r="AK41" s="62"/>
      <c r="AL41" s="63"/>
      <c r="AM41" s="64"/>
      <c r="AN41" s="65" t="e">
        <v>#N/A</v>
      </c>
      <c r="AO41" s="61" t="e">
        <v>#N/A</v>
      </c>
      <c r="AP41" s="61" t="e">
        <v>#N/A</v>
      </c>
      <c r="AQ41" s="61" t="e">
        <v>#N/A</v>
      </c>
      <c r="AR41" s="61" t="e">
        <v>#N/A</v>
      </c>
      <c r="AS41" s="61" t="e">
        <v>#N/A</v>
      </c>
      <c r="AT41" s="61" t="e">
        <v>#N/A</v>
      </c>
      <c r="AU41" s="61" t="e">
        <v>#N/A</v>
      </c>
      <c r="AV41" s="61" t="e">
        <v>#N/A</v>
      </c>
      <c r="AW41" s="61" t="e">
        <v>#N/A</v>
      </c>
      <c r="AX41" s="65" t="e">
        <v>#N/A</v>
      </c>
      <c r="AY41" s="66" t="s">
        <v>121</v>
      </c>
      <c r="AZ41" s="61" t="s">
        <v>121</v>
      </c>
      <c r="BA41" s="61">
        <v>40.793999999999997</v>
      </c>
      <c r="BB41" s="61">
        <v>40.793999999999997</v>
      </c>
      <c r="BC41" s="61" t="s">
        <v>121</v>
      </c>
      <c r="BD41" s="61" t="s">
        <v>121</v>
      </c>
      <c r="BE41" s="61" t="s">
        <v>121</v>
      </c>
      <c r="BF41" s="61" t="s">
        <v>121</v>
      </c>
      <c r="BG41" s="61">
        <v>0.77100000000000002</v>
      </c>
      <c r="BH41" s="61" t="s">
        <v>121</v>
      </c>
      <c r="BI41" s="61" t="s">
        <v>121</v>
      </c>
      <c r="BJ41" s="61">
        <v>0.77100000000000002</v>
      </c>
      <c r="BK41" s="66">
        <v>0.77100000000000002</v>
      </c>
      <c r="BL41" s="67" t="s">
        <v>121</v>
      </c>
      <c r="BM41" s="61" t="s">
        <v>121</v>
      </c>
      <c r="BN41" s="61" t="s">
        <v>121</v>
      </c>
      <c r="BO41" s="61" t="s">
        <v>121</v>
      </c>
      <c r="BP41" s="61" t="s">
        <v>121</v>
      </c>
      <c r="BQ41" s="61">
        <v>275.53500000000003</v>
      </c>
      <c r="BR41" s="61">
        <v>3.4260000000000002</v>
      </c>
      <c r="BS41" s="61" t="s">
        <v>121</v>
      </c>
      <c r="BT41" s="61" t="s">
        <v>121</v>
      </c>
      <c r="BU41" s="61">
        <v>2.5999999999999999E-2</v>
      </c>
      <c r="BV41" s="61">
        <v>0.13700000000000001</v>
      </c>
      <c r="BW41" s="61">
        <v>0.16300000000000001</v>
      </c>
      <c r="BX41" s="67">
        <v>279.12400000000002</v>
      </c>
      <c r="BY41" s="68">
        <v>86596</v>
      </c>
      <c r="BZ41" s="68">
        <v>103515</v>
      </c>
      <c r="CA41" s="69">
        <v>4758</v>
      </c>
      <c r="CB41" s="68">
        <v>138340</v>
      </c>
      <c r="CC41" s="68">
        <v>35</v>
      </c>
      <c r="CD41" s="61"/>
      <c r="CE41" s="64"/>
      <c r="CF41" s="64"/>
      <c r="CG41" s="70">
        <f t="shared" si="0"/>
        <v>5810.28</v>
      </c>
      <c r="CH41" s="70">
        <f t="shared" si="1"/>
        <v>199.83600000000001</v>
      </c>
      <c r="CI41" s="70">
        <f t="shared" si="2"/>
        <v>1.47</v>
      </c>
      <c r="CJ41" s="70">
        <f t="shared" si="4"/>
        <v>3637.0320000000002</v>
      </c>
      <c r="CK41" s="70">
        <f t="shared" si="3"/>
        <v>4347.63</v>
      </c>
      <c r="CL41" s="70">
        <f t="shared" si="5"/>
        <v>1.47</v>
      </c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1"/>
      <c r="EQ41" s="61"/>
      <c r="ER41" s="61"/>
      <c r="ES41" s="61"/>
      <c r="ET41" s="61"/>
      <c r="EU41" s="61"/>
      <c r="EV41" s="61"/>
      <c r="EW41" s="61"/>
    </row>
    <row r="42" spans="1:153">
      <c r="A42" s="56">
        <v>27851</v>
      </c>
      <c r="B42" s="57"/>
      <c r="C42" s="58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8"/>
      <c r="P42" s="60">
        <v>140.23699999999999</v>
      </c>
      <c r="Q42" s="61" t="s">
        <v>121</v>
      </c>
      <c r="R42" s="61">
        <v>140.363</v>
      </c>
      <c r="S42" s="61">
        <v>396.93099999999998</v>
      </c>
      <c r="T42" s="61">
        <v>253.482</v>
      </c>
      <c r="U42" s="61">
        <v>3.0859999999999999</v>
      </c>
      <c r="V42" s="61" t="s">
        <v>121</v>
      </c>
      <c r="W42" s="61" t="s">
        <v>121</v>
      </c>
      <c r="X42" s="61">
        <v>140.23699999999999</v>
      </c>
      <c r="Y42" s="61">
        <v>0.126</v>
      </c>
      <c r="Z42" s="61" t="s">
        <v>121</v>
      </c>
      <c r="AA42" s="61">
        <v>140.363</v>
      </c>
      <c r="AB42" s="60">
        <v>396.93099999999998</v>
      </c>
      <c r="AC42" s="62"/>
      <c r="AD42" s="61"/>
      <c r="AE42" s="61"/>
      <c r="AF42" s="61"/>
      <c r="AG42" s="61"/>
      <c r="AH42" s="61"/>
      <c r="AI42" s="61"/>
      <c r="AJ42" s="61"/>
      <c r="AK42" s="62"/>
      <c r="AL42" s="63"/>
      <c r="AM42" s="64"/>
      <c r="AN42" s="65" t="e">
        <v>#N/A</v>
      </c>
      <c r="AO42" s="61" t="e">
        <v>#N/A</v>
      </c>
      <c r="AP42" s="61" t="e">
        <v>#N/A</v>
      </c>
      <c r="AQ42" s="61" t="e">
        <v>#N/A</v>
      </c>
      <c r="AR42" s="61" t="e">
        <v>#N/A</v>
      </c>
      <c r="AS42" s="61" t="e">
        <v>#N/A</v>
      </c>
      <c r="AT42" s="61" t="e">
        <v>#N/A</v>
      </c>
      <c r="AU42" s="61" t="e">
        <v>#N/A</v>
      </c>
      <c r="AV42" s="61" t="e">
        <v>#N/A</v>
      </c>
      <c r="AW42" s="61" t="e">
        <v>#N/A</v>
      </c>
      <c r="AX42" s="65" t="e">
        <v>#N/A</v>
      </c>
      <c r="AY42" s="66" t="s">
        <v>121</v>
      </c>
      <c r="AZ42" s="61" t="s">
        <v>121</v>
      </c>
      <c r="BA42" s="61">
        <v>39.478000000000002</v>
      </c>
      <c r="BB42" s="61">
        <v>39.478000000000002</v>
      </c>
      <c r="BC42" s="61" t="s">
        <v>121</v>
      </c>
      <c r="BD42" s="61" t="s">
        <v>121</v>
      </c>
      <c r="BE42" s="61" t="s">
        <v>121</v>
      </c>
      <c r="BF42" s="61" t="s">
        <v>121</v>
      </c>
      <c r="BG42" s="61">
        <v>0.746</v>
      </c>
      <c r="BH42" s="61" t="s">
        <v>121</v>
      </c>
      <c r="BI42" s="61" t="s">
        <v>121</v>
      </c>
      <c r="BJ42" s="61">
        <v>0.746</v>
      </c>
      <c r="BK42" s="66">
        <v>0.746</v>
      </c>
      <c r="BL42" s="67" t="s">
        <v>121</v>
      </c>
      <c r="BM42" s="61" t="s">
        <v>121</v>
      </c>
      <c r="BN42" s="61" t="s">
        <v>121</v>
      </c>
      <c r="BO42" s="61" t="s">
        <v>121</v>
      </c>
      <c r="BP42" s="61" t="s">
        <v>121</v>
      </c>
      <c r="BQ42" s="61">
        <v>250.37</v>
      </c>
      <c r="BR42" s="61">
        <v>3.0859999999999999</v>
      </c>
      <c r="BS42" s="61" t="s">
        <v>121</v>
      </c>
      <c r="BT42" s="61" t="s">
        <v>121</v>
      </c>
      <c r="BU42" s="61">
        <v>2.3E-2</v>
      </c>
      <c r="BV42" s="61">
        <v>0.126</v>
      </c>
      <c r="BW42" s="61">
        <v>0.14899999999999999</v>
      </c>
      <c r="BX42" s="67">
        <v>253.60499999999999</v>
      </c>
      <c r="BY42" s="68">
        <v>79652</v>
      </c>
      <c r="BZ42" s="68">
        <v>83629</v>
      </c>
      <c r="CA42" s="69">
        <v>2875</v>
      </c>
      <c r="CB42" s="68">
        <v>137285</v>
      </c>
      <c r="CC42" s="68">
        <v>15</v>
      </c>
      <c r="CD42" s="61"/>
      <c r="CE42" s="64"/>
      <c r="CF42" s="64"/>
      <c r="CG42" s="70">
        <f t="shared" si="0"/>
        <v>5765.97</v>
      </c>
      <c r="CH42" s="70">
        <f t="shared" si="1"/>
        <v>120.75</v>
      </c>
      <c r="CI42" s="70">
        <f t="shared" si="2"/>
        <v>0.63</v>
      </c>
      <c r="CJ42" s="70">
        <f t="shared" si="4"/>
        <v>3345.384</v>
      </c>
      <c r="CK42" s="70">
        <f t="shared" si="3"/>
        <v>3512.4180000000001</v>
      </c>
      <c r="CL42" s="70">
        <f t="shared" si="5"/>
        <v>0.63</v>
      </c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</row>
    <row r="43" spans="1:153">
      <c r="A43" s="56">
        <v>27881</v>
      </c>
      <c r="B43" s="57"/>
      <c r="C43" s="58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8"/>
      <c r="P43" s="60">
        <v>144.91300000000001</v>
      </c>
      <c r="Q43" s="61" t="s">
        <v>121</v>
      </c>
      <c r="R43" s="61">
        <v>145.047</v>
      </c>
      <c r="S43" s="61">
        <v>415.72800000000001</v>
      </c>
      <c r="T43" s="61">
        <v>267.73200000000003</v>
      </c>
      <c r="U43" s="61">
        <v>2.9489999999999998</v>
      </c>
      <c r="V43" s="61" t="s">
        <v>121</v>
      </c>
      <c r="W43" s="61" t="s">
        <v>121</v>
      </c>
      <c r="X43" s="61">
        <v>144.91300000000001</v>
      </c>
      <c r="Y43" s="61">
        <v>0.13400000000000001</v>
      </c>
      <c r="Z43" s="61" t="s">
        <v>121</v>
      </c>
      <c r="AA43" s="61">
        <v>145.047</v>
      </c>
      <c r="AB43" s="60">
        <v>415.72800000000001</v>
      </c>
      <c r="AC43" s="62"/>
      <c r="AD43" s="61"/>
      <c r="AE43" s="61"/>
      <c r="AF43" s="61"/>
      <c r="AG43" s="61"/>
      <c r="AH43" s="61"/>
      <c r="AI43" s="61"/>
      <c r="AJ43" s="61"/>
      <c r="AK43" s="62"/>
      <c r="AL43" s="63"/>
      <c r="AM43" s="64"/>
      <c r="AN43" s="65" t="e">
        <v>#N/A</v>
      </c>
      <c r="AO43" s="61" t="e">
        <v>#N/A</v>
      </c>
      <c r="AP43" s="61" t="e">
        <v>#N/A</v>
      </c>
      <c r="AQ43" s="61" t="e">
        <v>#N/A</v>
      </c>
      <c r="AR43" s="61" t="e">
        <v>#N/A</v>
      </c>
      <c r="AS43" s="61" t="e">
        <v>#N/A</v>
      </c>
      <c r="AT43" s="61" t="e">
        <v>#N/A</v>
      </c>
      <c r="AU43" s="61" t="e">
        <v>#N/A</v>
      </c>
      <c r="AV43" s="61" t="e">
        <v>#N/A</v>
      </c>
      <c r="AW43" s="61" t="e">
        <v>#N/A</v>
      </c>
      <c r="AX43" s="65" t="e">
        <v>#N/A</v>
      </c>
      <c r="AY43" s="66" t="s">
        <v>121</v>
      </c>
      <c r="AZ43" s="61" t="s">
        <v>121</v>
      </c>
      <c r="BA43" s="61">
        <v>40.793999999999997</v>
      </c>
      <c r="BB43" s="61">
        <v>40.793999999999997</v>
      </c>
      <c r="BC43" s="61" t="s">
        <v>121</v>
      </c>
      <c r="BD43" s="61" t="s">
        <v>121</v>
      </c>
      <c r="BE43" s="61" t="s">
        <v>121</v>
      </c>
      <c r="BF43" s="61" t="s">
        <v>121</v>
      </c>
      <c r="BG43" s="61">
        <v>0.77100000000000002</v>
      </c>
      <c r="BH43" s="61" t="s">
        <v>121</v>
      </c>
      <c r="BI43" s="61" t="s">
        <v>121</v>
      </c>
      <c r="BJ43" s="61">
        <v>0.77100000000000002</v>
      </c>
      <c r="BK43" s="66">
        <v>0.77100000000000002</v>
      </c>
      <c r="BL43" s="67" t="s">
        <v>121</v>
      </c>
      <c r="BM43" s="61" t="s">
        <v>121</v>
      </c>
      <c r="BN43" s="61" t="s">
        <v>121</v>
      </c>
      <c r="BO43" s="61" t="s">
        <v>121</v>
      </c>
      <c r="BP43" s="61" t="s">
        <v>121</v>
      </c>
      <c r="BQ43" s="61">
        <v>264.678</v>
      </c>
      <c r="BR43" s="61">
        <v>2.9489999999999998</v>
      </c>
      <c r="BS43" s="61" t="s">
        <v>121</v>
      </c>
      <c r="BT43" s="61" t="s">
        <v>121</v>
      </c>
      <c r="BU43" s="61">
        <v>2.5000000000000001E-2</v>
      </c>
      <c r="BV43" s="61">
        <v>0.13400000000000001</v>
      </c>
      <c r="BW43" s="61">
        <v>0.159</v>
      </c>
      <c r="BX43" s="67">
        <v>267.78699999999998</v>
      </c>
      <c r="BY43" s="68">
        <v>84878</v>
      </c>
      <c r="BZ43" s="68">
        <v>78096</v>
      </c>
      <c r="CA43" s="69">
        <v>2993</v>
      </c>
      <c r="CB43" s="68">
        <v>147097</v>
      </c>
      <c r="CC43" s="68">
        <v>21</v>
      </c>
      <c r="CD43" s="61"/>
      <c r="CE43" s="64"/>
      <c r="CF43" s="64"/>
      <c r="CG43" s="70">
        <f t="shared" si="0"/>
        <v>6178.0739999999996</v>
      </c>
      <c r="CH43" s="70">
        <f t="shared" si="1"/>
        <v>125.706</v>
      </c>
      <c r="CI43" s="70">
        <f t="shared" si="2"/>
        <v>0.88200000000000001</v>
      </c>
      <c r="CJ43" s="70">
        <f t="shared" si="4"/>
        <v>3564.8760000000002</v>
      </c>
      <c r="CK43" s="70">
        <f t="shared" si="3"/>
        <v>3280.0320000000002</v>
      </c>
      <c r="CL43" s="70">
        <f t="shared" si="5"/>
        <v>0.88200000000000001</v>
      </c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</row>
    <row r="44" spans="1:153">
      <c r="A44" s="56">
        <v>27912</v>
      </c>
      <c r="B44" s="57"/>
      <c r="C44" s="58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8"/>
      <c r="P44" s="60">
        <v>140.244</v>
      </c>
      <c r="Q44" s="61" t="s">
        <v>121</v>
      </c>
      <c r="R44" s="61">
        <v>140.405</v>
      </c>
      <c r="S44" s="61">
        <v>411.55500000000001</v>
      </c>
      <c r="T44" s="61">
        <v>268.08800000000002</v>
      </c>
      <c r="U44" s="61">
        <v>3.0630000000000002</v>
      </c>
      <c r="V44" s="61" t="s">
        <v>121</v>
      </c>
      <c r="W44" s="61" t="s">
        <v>121</v>
      </c>
      <c r="X44" s="61">
        <v>140.244</v>
      </c>
      <c r="Y44" s="61">
        <v>0.161</v>
      </c>
      <c r="Z44" s="61" t="s">
        <v>121</v>
      </c>
      <c r="AA44" s="61">
        <v>140.405</v>
      </c>
      <c r="AB44" s="60">
        <v>411.55500000000001</v>
      </c>
      <c r="AC44" s="62"/>
      <c r="AD44" s="61"/>
      <c r="AE44" s="61"/>
      <c r="AF44" s="61"/>
      <c r="AG44" s="61"/>
      <c r="AH44" s="61"/>
      <c r="AI44" s="61"/>
      <c r="AJ44" s="61"/>
      <c r="AK44" s="62"/>
      <c r="AL44" s="63"/>
      <c r="AM44" s="64"/>
      <c r="AN44" s="65" t="e">
        <v>#N/A</v>
      </c>
      <c r="AO44" s="61" t="e">
        <v>#N/A</v>
      </c>
      <c r="AP44" s="61" t="e">
        <v>#N/A</v>
      </c>
      <c r="AQ44" s="61" t="e">
        <v>#N/A</v>
      </c>
      <c r="AR44" s="61" t="e">
        <v>#N/A</v>
      </c>
      <c r="AS44" s="61" t="e">
        <v>#N/A</v>
      </c>
      <c r="AT44" s="61" t="e">
        <v>#N/A</v>
      </c>
      <c r="AU44" s="61" t="e">
        <v>#N/A</v>
      </c>
      <c r="AV44" s="61" t="e">
        <v>#N/A</v>
      </c>
      <c r="AW44" s="61" t="e">
        <v>#N/A</v>
      </c>
      <c r="AX44" s="65" t="e">
        <v>#N/A</v>
      </c>
      <c r="AY44" s="66" t="s">
        <v>121</v>
      </c>
      <c r="AZ44" s="61" t="s">
        <v>121</v>
      </c>
      <c r="BA44" s="61">
        <v>39.478000000000002</v>
      </c>
      <c r="BB44" s="61">
        <v>39.478000000000002</v>
      </c>
      <c r="BC44" s="61" t="s">
        <v>121</v>
      </c>
      <c r="BD44" s="61" t="s">
        <v>121</v>
      </c>
      <c r="BE44" s="61" t="s">
        <v>121</v>
      </c>
      <c r="BF44" s="61" t="s">
        <v>121</v>
      </c>
      <c r="BG44" s="61">
        <v>0.746</v>
      </c>
      <c r="BH44" s="61" t="s">
        <v>121</v>
      </c>
      <c r="BI44" s="61" t="s">
        <v>121</v>
      </c>
      <c r="BJ44" s="61">
        <v>0.746</v>
      </c>
      <c r="BK44" s="66">
        <v>0.746</v>
      </c>
      <c r="BL44" s="67" t="s">
        <v>121</v>
      </c>
      <c r="BM44" s="61" t="s">
        <v>121</v>
      </c>
      <c r="BN44" s="61" t="s">
        <v>121</v>
      </c>
      <c r="BO44" s="61" t="s">
        <v>121</v>
      </c>
      <c r="BP44" s="61" t="s">
        <v>121</v>
      </c>
      <c r="BQ44" s="61">
        <v>265.16300000000001</v>
      </c>
      <c r="BR44" s="61">
        <v>3.0630000000000002</v>
      </c>
      <c r="BS44" s="61" t="s">
        <v>121</v>
      </c>
      <c r="BT44" s="61" t="s">
        <v>121</v>
      </c>
      <c r="BU44" s="61">
        <v>0.03</v>
      </c>
      <c r="BV44" s="61">
        <v>0.161</v>
      </c>
      <c r="BW44" s="61">
        <v>0.191</v>
      </c>
      <c r="BX44" s="67">
        <v>268.41699999999997</v>
      </c>
      <c r="BY44" s="68">
        <v>86550</v>
      </c>
      <c r="BZ44" s="68">
        <v>73088</v>
      </c>
      <c r="CA44" s="69">
        <v>4517</v>
      </c>
      <c r="CB44" s="68">
        <v>165110</v>
      </c>
      <c r="CC44" s="68">
        <v>26</v>
      </c>
      <c r="CD44" s="61"/>
      <c r="CE44" s="64"/>
      <c r="CF44" s="64"/>
      <c r="CG44" s="70">
        <f t="shared" si="0"/>
        <v>6934.62</v>
      </c>
      <c r="CH44" s="70">
        <f t="shared" si="1"/>
        <v>189.714</v>
      </c>
      <c r="CI44" s="70">
        <f t="shared" si="2"/>
        <v>1.0920000000000001</v>
      </c>
      <c r="CJ44" s="70">
        <f t="shared" si="4"/>
        <v>3635.1</v>
      </c>
      <c r="CK44" s="70">
        <f t="shared" si="3"/>
        <v>3069.6959999999999</v>
      </c>
      <c r="CL44" s="70">
        <f t="shared" si="5"/>
        <v>1.0920000000000001</v>
      </c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  <c r="EQ44" s="61"/>
      <c r="ER44" s="61"/>
      <c r="ES44" s="61"/>
      <c r="ET44" s="61"/>
      <c r="EU44" s="61"/>
      <c r="EV44" s="61"/>
      <c r="EW44" s="61"/>
    </row>
    <row r="45" spans="1:153">
      <c r="A45" s="56">
        <v>27942</v>
      </c>
      <c r="B45" s="57"/>
      <c r="C45" s="58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8"/>
      <c r="P45" s="60">
        <v>144.898</v>
      </c>
      <c r="Q45" s="61" t="s">
        <v>121</v>
      </c>
      <c r="R45" s="61">
        <v>145.08799999999999</v>
      </c>
      <c r="S45" s="61">
        <v>421.42500000000001</v>
      </c>
      <c r="T45" s="61">
        <v>273.02600000000001</v>
      </c>
      <c r="U45" s="61">
        <v>3.3109999999999999</v>
      </c>
      <c r="V45" s="61" t="s">
        <v>121</v>
      </c>
      <c r="W45" s="61" t="s">
        <v>121</v>
      </c>
      <c r="X45" s="61">
        <v>144.898</v>
      </c>
      <c r="Y45" s="61">
        <v>0.19</v>
      </c>
      <c r="Z45" s="61" t="s">
        <v>121</v>
      </c>
      <c r="AA45" s="61">
        <v>145.08799999999999</v>
      </c>
      <c r="AB45" s="60">
        <v>421.42500000000001</v>
      </c>
      <c r="AC45" s="62"/>
      <c r="AD45" s="61"/>
      <c r="AE45" s="61"/>
      <c r="AF45" s="61"/>
      <c r="AG45" s="61"/>
      <c r="AH45" s="61"/>
      <c r="AI45" s="61"/>
      <c r="AJ45" s="61"/>
      <c r="AK45" s="62"/>
      <c r="AL45" s="63"/>
      <c r="AM45" s="64"/>
      <c r="AN45" s="65" t="e">
        <v>#N/A</v>
      </c>
      <c r="AO45" s="61" t="e">
        <v>#N/A</v>
      </c>
      <c r="AP45" s="61" t="e">
        <v>#N/A</v>
      </c>
      <c r="AQ45" s="61" t="e">
        <v>#N/A</v>
      </c>
      <c r="AR45" s="61" t="e">
        <v>#N/A</v>
      </c>
      <c r="AS45" s="61" t="e">
        <v>#N/A</v>
      </c>
      <c r="AT45" s="61" t="e">
        <v>#N/A</v>
      </c>
      <c r="AU45" s="61" t="e">
        <v>#N/A</v>
      </c>
      <c r="AV45" s="61" t="e">
        <v>#N/A</v>
      </c>
      <c r="AW45" s="61" t="e">
        <v>#N/A</v>
      </c>
      <c r="AX45" s="65" t="e">
        <v>#N/A</v>
      </c>
      <c r="AY45" s="66" t="s">
        <v>121</v>
      </c>
      <c r="AZ45" s="61" t="s">
        <v>121</v>
      </c>
      <c r="BA45" s="61">
        <v>40.793999999999997</v>
      </c>
      <c r="BB45" s="61">
        <v>40.793999999999997</v>
      </c>
      <c r="BC45" s="61" t="s">
        <v>121</v>
      </c>
      <c r="BD45" s="61" t="s">
        <v>121</v>
      </c>
      <c r="BE45" s="61" t="s">
        <v>121</v>
      </c>
      <c r="BF45" s="61" t="s">
        <v>121</v>
      </c>
      <c r="BG45" s="61">
        <v>0.77100000000000002</v>
      </c>
      <c r="BH45" s="61" t="s">
        <v>121</v>
      </c>
      <c r="BI45" s="61" t="s">
        <v>121</v>
      </c>
      <c r="BJ45" s="61">
        <v>0.77100000000000002</v>
      </c>
      <c r="BK45" s="66">
        <v>0.77100000000000002</v>
      </c>
      <c r="BL45" s="67" t="s">
        <v>121</v>
      </c>
      <c r="BM45" s="61" t="s">
        <v>121</v>
      </c>
      <c r="BN45" s="61" t="s">
        <v>121</v>
      </c>
      <c r="BO45" s="61" t="s">
        <v>121</v>
      </c>
      <c r="BP45" s="61" t="s">
        <v>121</v>
      </c>
      <c r="BQ45" s="61">
        <v>270.36</v>
      </c>
      <c r="BR45" s="61">
        <v>3.3109999999999999</v>
      </c>
      <c r="BS45" s="61" t="s">
        <v>121</v>
      </c>
      <c r="BT45" s="61" t="s">
        <v>121</v>
      </c>
      <c r="BU45" s="61">
        <v>0.01</v>
      </c>
      <c r="BV45" s="61">
        <v>0.19</v>
      </c>
      <c r="BW45" s="61">
        <v>0.2</v>
      </c>
      <c r="BX45" s="67">
        <v>273.87099999999998</v>
      </c>
      <c r="BY45" s="68">
        <v>91733</v>
      </c>
      <c r="BZ45" s="68">
        <v>69909</v>
      </c>
      <c r="CA45" s="69">
        <v>3917</v>
      </c>
      <c r="CB45" s="68">
        <v>190900</v>
      </c>
      <c r="CC45" s="68">
        <v>15</v>
      </c>
      <c r="CD45" s="61"/>
      <c r="CE45" s="64"/>
      <c r="CF45" s="64"/>
      <c r="CG45" s="70">
        <f t="shared" si="0"/>
        <v>8017.8</v>
      </c>
      <c r="CH45" s="70">
        <f t="shared" si="1"/>
        <v>164.51400000000001</v>
      </c>
      <c r="CI45" s="70">
        <f t="shared" si="2"/>
        <v>0.63</v>
      </c>
      <c r="CJ45" s="70">
        <f t="shared" si="4"/>
        <v>3852.7860000000001</v>
      </c>
      <c r="CK45" s="70">
        <f t="shared" si="3"/>
        <v>2936.1779999999999</v>
      </c>
      <c r="CL45" s="70">
        <f t="shared" si="5"/>
        <v>0.63</v>
      </c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</row>
    <row r="46" spans="1:153">
      <c r="A46" s="56">
        <v>27973</v>
      </c>
      <c r="B46" s="57"/>
      <c r="C46" s="58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8"/>
      <c r="P46" s="60">
        <v>144.91800000000001</v>
      </c>
      <c r="Q46" s="61" t="s">
        <v>121</v>
      </c>
      <c r="R46" s="61">
        <v>145.11000000000001</v>
      </c>
      <c r="S46" s="61">
        <v>398.12900000000002</v>
      </c>
      <c r="T46" s="61">
        <v>249.75899999999999</v>
      </c>
      <c r="U46" s="61">
        <v>3.26</v>
      </c>
      <c r="V46" s="61" t="s">
        <v>121</v>
      </c>
      <c r="W46" s="61" t="s">
        <v>121</v>
      </c>
      <c r="X46" s="61">
        <v>144.91800000000001</v>
      </c>
      <c r="Y46" s="61">
        <v>0.192</v>
      </c>
      <c r="Z46" s="61" t="s">
        <v>121</v>
      </c>
      <c r="AA46" s="61">
        <v>145.11000000000001</v>
      </c>
      <c r="AB46" s="60">
        <v>398.12900000000002</v>
      </c>
      <c r="AC46" s="62"/>
      <c r="AD46" s="61"/>
      <c r="AE46" s="61"/>
      <c r="AF46" s="61"/>
      <c r="AG46" s="61"/>
      <c r="AH46" s="61"/>
      <c r="AI46" s="61"/>
      <c r="AJ46" s="61"/>
      <c r="AK46" s="62"/>
      <c r="AL46" s="63"/>
      <c r="AM46" s="64"/>
      <c r="AN46" s="65" t="e">
        <v>#N/A</v>
      </c>
      <c r="AO46" s="61" t="e">
        <v>#N/A</v>
      </c>
      <c r="AP46" s="61" t="e">
        <v>#N/A</v>
      </c>
      <c r="AQ46" s="61" t="e">
        <v>#N/A</v>
      </c>
      <c r="AR46" s="61" t="e">
        <v>#N/A</v>
      </c>
      <c r="AS46" s="61" t="e">
        <v>#N/A</v>
      </c>
      <c r="AT46" s="61" t="e">
        <v>#N/A</v>
      </c>
      <c r="AU46" s="61" t="e">
        <v>#N/A</v>
      </c>
      <c r="AV46" s="61" t="e">
        <v>#N/A</v>
      </c>
      <c r="AW46" s="61" t="e">
        <v>#N/A</v>
      </c>
      <c r="AX46" s="65" t="e">
        <v>#N/A</v>
      </c>
      <c r="AY46" s="66" t="s">
        <v>121</v>
      </c>
      <c r="AZ46" s="61" t="s">
        <v>121</v>
      </c>
      <c r="BA46" s="61">
        <v>40.793999999999997</v>
      </c>
      <c r="BB46" s="61">
        <v>40.793999999999997</v>
      </c>
      <c r="BC46" s="61" t="s">
        <v>121</v>
      </c>
      <c r="BD46" s="61" t="s">
        <v>121</v>
      </c>
      <c r="BE46" s="61" t="s">
        <v>121</v>
      </c>
      <c r="BF46" s="61" t="s">
        <v>121</v>
      </c>
      <c r="BG46" s="61">
        <v>0.77100000000000002</v>
      </c>
      <c r="BH46" s="61" t="s">
        <v>121</v>
      </c>
      <c r="BI46" s="61" t="s">
        <v>121</v>
      </c>
      <c r="BJ46" s="61">
        <v>0.77100000000000002</v>
      </c>
      <c r="BK46" s="66">
        <v>0.77100000000000002</v>
      </c>
      <c r="BL46" s="67" t="s">
        <v>121</v>
      </c>
      <c r="BM46" s="61" t="s">
        <v>121</v>
      </c>
      <c r="BN46" s="61" t="s">
        <v>121</v>
      </c>
      <c r="BO46" s="61" t="s">
        <v>121</v>
      </c>
      <c r="BP46" s="61" t="s">
        <v>121</v>
      </c>
      <c r="BQ46" s="61">
        <v>247.31899999999999</v>
      </c>
      <c r="BR46" s="61">
        <v>3.26</v>
      </c>
      <c r="BS46" s="61" t="s">
        <v>121</v>
      </c>
      <c r="BT46" s="61" t="s">
        <v>121</v>
      </c>
      <c r="BU46" s="61">
        <v>3.1E-2</v>
      </c>
      <c r="BV46" s="61">
        <v>0.192</v>
      </c>
      <c r="BW46" s="61">
        <v>0.223</v>
      </c>
      <c r="BX46" s="67">
        <v>250.80199999999999</v>
      </c>
      <c r="BY46" s="68">
        <v>92429</v>
      </c>
      <c r="BZ46" s="68">
        <v>69355</v>
      </c>
      <c r="CA46" s="69">
        <v>4059</v>
      </c>
      <c r="CB46" s="68">
        <v>217969</v>
      </c>
      <c r="CC46" s="68">
        <v>125</v>
      </c>
      <c r="CD46" s="61"/>
      <c r="CE46" s="64"/>
      <c r="CF46" s="64"/>
      <c r="CG46" s="70">
        <f t="shared" si="0"/>
        <v>9154.6980000000003</v>
      </c>
      <c r="CH46" s="70">
        <f t="shared" si="1"/>
        <v>170.47800000000001</v>
      </c>
      <c r="CI46" s="70">
        <f t="shared" si="2"/>
        <v>5.25</v>
      </c>
      <c r="CJ46" s="70">
        <f t="shared" si="4"/>
        <v>3882.018</v>
      </c>
      <c r="CK46" s="70">
        <f t="shared" si="3"/>
        <v>2912.91</v>
      </c>
      <c r="CL46" s="70">
        <f t="shared" si="5"/>
        <v>5.25</v>
      </c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</row>
    <row r="47" spans="1:153">
      <c r="A47" s="56">
        <v>28004</v>
      </c>
      <c r="B47" s="57"/>
      <c r="C47" s="58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8"/>
      <c r="P47" s="60">
        <v>140.27099999999999</v>
      </c>
      <c r="Q47" s="61" t="s">
        <v>121</v>
      </c>
      <c r="R47" s="61">
        <v>140.43600000000001</v>
      </c>
      <c r="S47" s="61">
        <v>356.98399999999998</v>
      </c>
      <c r="T47" s="61">
        <v>213.376</v>
      </c>
      <c r="U47" s="61">
        <v>3.173</v>
      </c>
      <c r="V47" s="61" t="s">
        <v>121</v>
      </c>
      <c r="W47" s="61" t="s">
        <v>121</v>
      </c>
      <c r="X47" s="61">
        <v>140.27099999999999</v>
      </c>
      <c r="Y47" s="61">
        <v>0.16500000000000001</v>
      </c>
      <c r="Z47" s="61" t="s">
        <v>121</v>
      </c>
      <c r="AA47" s="61">
        <v>140.43600000000001</v>
      </c>
      <c r="AB47" s="60">
        <v>356.98399999999998</v>
      </c>
      <c r="AC47" s="62"/>
      <c r="AD47" s="61"/>
      <c r="AE47" s="61"/>
      <c r="AF47" s="61"/>
      <c r="AG47" s="61"/>
      <c r="AH47" s="61"/>
      <c r="AI47" s="61"/>
      <c r="AJ47" s="61"/>
      <c r="AK47" s="62"/>
      <c r="AL47" s="63"/>
      <c r="AM47" s="64"/>
      <c r="AN47" s="65" t="e">
        <v>#N/A</v>
      </c>
      <c r="AO47" s="61" t="e">
        <v>#N/A</v>
      </c>
      <c r="AP47" s="61" t="e">
        <v>#N/A</v>
      </c>
      <c r="AQ47" s="61" t="e">
        <v>#N/A</v>
      </c>
      <c r="AR47" s="61" t="e">
        <v>#N/A</v>
      </c>
      <c r="AS47" s="61" t="e">
        <v>#N/A</v>
      </c>
      <c r="AT47" s="61" t="e">
        <v>#N/A</v>
      </c>
      <c r="AU47" s="61" t="e">
        <v>#N/A</v>
      </c>
      <c r="AV47" s="61" t="e">
        <v>#N/A</v>
      </c>
      <c r="AW47" s="61" t="e">
        <v>#N/A</v>
      </c>
      <c r="AX47" s="65" t="e">
        <v>#N/A</v>
      </c>
      <c r="AY47" s="66" t="s">
        <v>121</v>
      </c>
      <c r="AZ47" s="61" t="s">
        <v>121</v>
      </c>
      <c r="BA47" s="61">
        <v>39.478000000000002</v>
      </c>
      <c r="BB47" s="61">
        <v>39.478000000000002</v>
      </c>
      <c r="BC47" s="61" t="s">
        <v>121</v>
      </c>
      <c r="BD47" s="61" t="s">
        <v>121</v>
      </c>
      <c r="BE47" s="61" t="s">
        <v>121</v>
      </c>
      <c r="BF47" s="61" t="s">
        <v>121</v>
      </c>
      <c r="BG47" s="61">
        <v>0.746</v>
      </c>
      <c r="BH47" s="61" t="s">
        <v>121</v>
      </c>
      <c r="BI47" s="61" t="s">
        <v>121</v>
      </c>
      <c r="BJ47" s="61">
        <v>0.746</v>
      </c>
      <c r="BK47" s="66">
        <v>0.746</v>
      </c>
      <c r="BL47" s="67" t="s">
        <v>121</v>
      </c>
      <c r="BM47" s="61" t="s">
        <v>121</v>
      </c>
      <c r="BN47" s="61" t="s">
        <v>121</v>
      </c>
      <c r="BO47" s="61" t="s">
        <v>121</v>
      </c>
      <c r="BP47" s="61" t="s">
        <v>121</v>
      </c>
      <c r="BQ47" s="61">
        <v>211.27799999999999</v>
      </c>
      <c r="BR47" s="61">
        <v>3.173</v>
      </c>
      <c r="BS47" s="61" t="s">
        <v>121</v>
      </c>
      <c r="BT47" s="61" t="s">
        <v>121</v>
      </c>
      <c r="BU47" s="61">
        <v>5.7000000000000002E-2</v>
      </c>
      <c r="BV47" s="61">
        <v>0.16500000000000001</v>
      </c>
      <c r="BW47" s="61">
        <v>0.222</v>
      </c>
      <c r="BX47" s="67">
        <v>214.672</v>
      </c>
      <c r="BY47" s="68">
        <v>88405</v>
      </c>
      <c r="BZ47" s="68">
        <v>78594</v>
      </c>
      <c r="CA47" s="69">
        <v>4465</v>
      </c>
      <c r="CB47" s="68">
        <v>232268</v>
      </c>
      <c r="CC47" s="68">
        <v>38</v>
      </c>
      <c r="CD47" s="61"/>
      <c r="CE47" s="64"/>
      <c r="CF47" s="64"/>
      <c r="CG47" s="70">
        <f t="shared" si="0"/>
        <v>9755.2559999999994</v>
      </c>
      <c r="CH47" s="70">
        <f t="shared" si="1"/>
        <v>187.53</v>
      </c>
      <c r="CI47" s="70">
        <f t="shared" si="2"/>
        <v>1.5960000000000001</v>
      </c>
      <c r="CJ47" s="70">
        <f t="shared" si="4"/>
        <v>3713.01</v>
      </c>
      <c r="CK47" s="70">
        <f t="shared" si="3"/>
        <v>3300.9479999999999</v>
      </c>
      <c r="CL47" s="70">
        <f t="shared" si="5"/>
        <v>1.5960000000000001</v>
      </c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  <c r="EV47" s="61"/>
      <c r="EW47" s="61"/>
    </row>
    <row r="48" spans="1:153">
      <c r="A48" s="56">
        <v>28034</v>
      </c>
      <c r="B48" s="57"/>
      <c r="C48" s="58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8"/>
      <c r="P48" s="60">
        <v>144.94</v>
      </c>
      <c r="Q48" s="61" t="s">
        <v>121</v>
      </c>
      <c r="R48" s="61">
        <v>145.114</v>
      </c>
      <c r="S48" s="61">
        <v>369.18599999999998</v>
      </c>
      <c r="T48" s="61">
        <v>220.99</v>
      </c>
      <c r="U48" s="61">
        <v>3.0819999999999999</v>
      </c>
      <c r="V48" s="61" t="s">
        <v>121</v>
      </c>
      <c r="W48" s="61" t="s">
        <v>121</v>
      </c>
      <c r="X48" s="61">
        <v>144.94</v>
      </c>
      <c r="Y48" s="61">
        <v>0.17399999999999999</v>
      </c>
      <c r="Z48" s="61" t="s">
        <v>121</v>
      </c>
      <c r="AA48" s="61">
        <v>145.114</v>
      </c>
      <c r="AB48" s="60">
        <v>369.18599999999998</v>
      </c>
      <c r="AC48" s="62"/>
      <c r="AD48" s="61"/>
      <c r="AE48" s="61"/>
      <c r="AF48" s="61"/>
      <c r="AG48" s="61"/>
      <c r="AH48" s="61"/>
      <c r="AI48" s="61"/>
      <c r="AJ48" s="61"/>
      <c r="AK48" s="62"/>
      <c r="AL48" s="63"/>
      <c r="AM48" s="64"/>
      <c r="AN48" s="65" t="e">
        <v>#N/A</v>
      </c>
      <c r="AO48" s="61" t="e">
        <v>#N/A</v>
      </c>
      <c r="AP48" s="61" t="e">
        <v>#N/A</v>
      </c>
      <c r="AQ48" s="61" t="e">
        <v>#N/A</v>
      </c>
      <c r="AR48" s="61" t="e">
        <v>#N/A</v>
      </c>
      <c r="AS48" s="61" t="e">
        <v>#N/A</v>
      </c>
      <c r="AT48" s="61" t="e">
        <v>#N/A</v>
      </c>
      <c r="AU48" s="61" t="e">
        <v>#N/A</v>
      </c>
      <c r="AV48" s="61" t="e">
        <v>#N/A</v>
      </c>
      <c r="AW48" s="61" t="e">
        <v>#N/A</v>
      </c>
      <c r="AX48" s="65" t="e">
        <v>#N/A</v>
      </c>
      <c r="AY48" s="66" t="s">
        <v>121</v>
      </c>
      <c r="AZ48" s="61" t="s">
        <v>121</v>
      </c>
      <c r="BA48" s="61">
        <v>40.793999999999997</v>
      </c>
      <c r="BB48" s="61">
        <v>40.793999999999997</v>
      </c>
      <c r="BC48" s="61" t="s">
        <v>121</v>
      </c>
      <c r="BD48" s="61" t="s">
        <v>121</v>
      </c>
      <c r="BE48" s="61" t="s">
        <v>121</v>
      </c>
      <c r="BF48" s="61" t="s">
        <v>121</v>
      </c>
      <c r="BG48" s="61">
        <v>0.77100000000000002</v>
      </c>
      <c r="BH48" s="61" t="s">
        <v>121</v>
      </c>
      <c r="BI48" s="61" t="s">
        <v>121</v>
      </c>
      <c r="BJ48" s="61">
        <v>0.77100000000000002</v>
      </c>
      <c r="BK48" s="66">
        <v>0.77100000000000002</v>
      </c>
      <c r="BL48" s="67" t="s">
        <v>121</v>
      </c>
      <c r="BM48" s="61" t="s">
        <v>121</v>
      </c>
      <c r="BN48" s="61" t="s">
        <v>121</v>
      </c>
      <c r="BO48" s="61" t="s">
        <v>121</v>
      </c>
      <c r="BP48" s="61" t="s">
        <v>121</v>
      </c>
      <c r="BQ48" s="61">
        <v>218.25700000000001</v>
      </c>
      <c r="BR48" s="61">
        <v>3.0819999999999999</v>
      </c>
      <c r="BS48" s="61" t="s">
        <v>121</v>
      </c>
      <c r="BT48" s="61" t="s">
        <v>121</v>
      </c>
      <c r="BU48" s="61">
        <v>5.1999999999999998E-2</v>
      </c>
      <c r="BV48" s="61">
        <v>0.17399999999999999</v>
      </c>
      <c r="BW48" s="61">
        <v>0.22600000000000001</v>
      </c>
      <c r="BX48" s="67">
        <v>221.566</v>
      </c>
      <c r="BY48" s="68">
        <v>92856</v>
      </c>
      <c r="BZ48" s="68">
        <v>93972</v>
      </c>
      <c r="CA48" s="69">
        <v>4458</v>
      </c>
      <c r="CB48" s="68">
        <v>235638</v>
      </c>
      <c r="CC48" s="68">
        <v>28</v>
      </c>
      <c r="CD48" s="61"/>
      <c r="CE48" s="64"/>
      <c r="CF48" s="64"/>
      <c r="CG48" s="70">
        <f t="shared" si="0"/>
        <v>9896.7960000000003</v>
      </c>
      <c r="CH48" s="70">
        <f t="shared" si="1"/>
        <v>187.23599999999999</v>
      </c>
      <c r="CI48" s="70">
        <f t="shared" si="2"/>
        <v>1.1759999999999999</v>
      </c>
      <c r="CJ48" s="70">
        <f t="shared" si="4"/>
        <v>3899.9520000000002</v>
      </c>
      <c r="CK48" s="70">
        <f t="shared" si="3"/>
        <v>3946.8240000000001</v>
      </c>
      <c r="CL48" s="70">
        <f t="shared" si="5"/>
        <v>1.1759999999999999</v>
      </c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  <c r="EV48" s="61"/>
      <c r="EW48" s="61"/>
    </row>
    <row r="49" spans="1:153">
      <c r="A49" s="56">
        <v>28065</v>
      </c>
      <c r="B49" s="57"/>
      <c r="C49" s="58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8"/>
      <c r="P49" s="60">
        <v>140.48099999999999</v>
      </c>
      <c r="Q49" s="61" t="s">
        <v>121</v>
      </c>
      <c r="R49" s="61">
        <v>140.65100000000001</v>
      </c>
      <c r="S49" s="61">
        <v>351.38600000000002</v>
      </c>
      <c r="T49" s="61">
        <v>208.13800000000001</v>
      </c>
      <c r="U49" s="61">
        <v>2.597</v>
      </c>
      <c r="V49" s="61" t="s">
        <v>121</v>
      </c>
      <c r="W49" s="61" t="s">
        <v>121</v>
      </c>
      <c r="X49" s="61">
        <v>140.48099999999999</v>
      </c>
      <c r="Y49" s="61">
        <v>0.17100000000000001</v>
      </c>
      <c r="Z49" s="61" t="s">
        <v>121</v>
      </c>
      <c r="AA49" s="61">
        <v>140.65100000000001</v>
      </c>
      <c r="AB49" s="60">
        <v>351.38600000000002</v>
      </c>
      <c r="AC49" s="62"/>
      <c r="AD49" s="61"/>
      <c r="AE49" s="61"/>
      <c r="AF49" s="61"/>
      <c r="AG49" s="61"/>
      <c r="AH49" s="61"/>
      <c r="AI49" s="61"/>
      <c r="AJ49" s="61"/>
      <c r="AK49" s="62"/>
      <c r="AL49" s="63"/>
      <c r="AM49" s="64"/>
      <c r="AN49" s="65" t="e">
        <v>#N/A</v>
      </c>
      <c r="AO49" s="61" t="e">
        <v>#N/A</v>
      </c>
      <c r="AP49" s="61" t="e">
        <v>#N/A</v>
      </c>
      <c r="AQ49" s="61" t="e">
        <v>#N/A</v>
      </c>
      <c r="AR49" s="61" t="e">
        <v>#N/A</v>
      </c>
      <c r="AS49" s="61" t="e">
        <v>#N/A</v>
      </c>
      <c r="AT49" s="61" t="e">
        <v>#N/A</v>
      </c>
      <c r="AU49" s="61" t="e">
        <v>#N/A</v>
      </c>
      <c r="AV49" s="61" t="e">
        <v>#N/A</v>
      </c>
      <c r="AW49" s="61" t="e">
        <v>#N/A</v>
      </c>
      <c r="AX49" s="65" t="e">
        <v>#N/A</v>
      </c>
      <c r="AY49" s="66" t="s">
        <v>121</v>
      </c>
      <c r="AZ49" s="61" t="s">
        <v>121</v>
      </c>
      <c r="BA49" s="61">
        <v>39.478000000000002</v>
      </c>
      <c r="BB49" s="61">
        <v>39.478000000000002</v>
      </c>
      <c r="BC49" s="61" t="s">
        <v>121</v>
      </c>
      <c r="BD49" s="61" t="s">
        <v>121</v>
      </c>
      <c r="BE49" s="61" t="s">
        <v>121</v>
      </c>
      <c r="BF49" s="61" t="s">
        <v>121</v>
      </c>
      <c r="BG49" s="61">
        <v>0.746</v>
      </c>
      <c r="BH49" s="61" t="s">
        <v>121</v>
      </c>
      <c r="BI49" s="61" t="s">
        <v>121</v>
      </c>
      <c r="BJ49" s="61">
        <v>0.746</v>
      </c>
      <c r="BK49" s="66">
        <v>0.746</v>
      </c>
      <c r="BL49" s="67" t="s">
        <v>121</v>
      </c>
      <c r="BM49" s="61" t="s">
        <v>121</v>
      </c>
      <c r="BN49" s="61" t="s">
        <v>121</v>
      </c>
      <c r="BO49" s="61" t="s">
        <v>121</v>
      </c>
      <c r="BP49" s="61" t="s">
        <v>121</v>
      </c>
      <c r="BQ49" s="61">
        <v>205.42500000000001</v>
      </c>
      <c r="BR49" s="61">
        <v>2.597</v>
      </c>
      <c r="BS49" s="61" t="s">
        <v>121</v>
      </c>
      <c r="BT49" s="61" t="s">
        <v>121</v>
      </c>
      <c r="BU49" s="61">
        <v>0.26700000000000002</v>
      </c>
      <c r="BV49" s="61">
        <v>0.17100000000000001</v>
      </c>
      <c r="BW49" s="61">
        <v>0.437</v>
      </c>
      <c r="BX49" s="67">
        <v>208.459</v>
      </c>
      <c r="BY49" s="68">
        <v>95410</v>
      </c>
      <c r="BZ49" s="68">
        <v>111415</v>
      </c>
      <c r="CA49" s="69">
        <v>4039</v>
      </c>
      <c r="CB49" s="68">
        <v>223685</v>
      </c>
      <c r="CC49" s="68">
        <v>43</v>
      </c>
      <c r="CD49" s="61"/>
      <c r="CE49" s="64"/>
      <c r="CF49" s="64"/>
      <c r="CG49" s="70">
        <f t="shared" si="0"/>
        <v>9394.77</v>
      </c>
      <c r="CH49" s="70">
        <f t="shared" si="1"/>
        <v>169.63800000000001</v>
      </c>
      <c r="CI49" s="70">
        <f t="shared" si="2"/>
        <v>1.806</v>
      </c>
      <c r="CJ49" s="70">
        <f t="shared" si="4"/>
        <v>4007.22</v>
      </c>
      <c r="CK49" s="70">
        <f t="shared" si="3"/>
        <v>4679.43</v>
      </c>
      <c r="CL49" s="70">
        <f t="shared" si="5"/>
        <v>1.806</v>
      </c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</row>
    <row r="50" spans="1:153">
      <c r="A50" s="56">
        <v>28095</v>
      </c>
      <c r="B50" s="57"/>
      <c r="C50" s="58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8"/>
      <c r="P50" s="60">
        <v>145.20099999999999</v>
      </c>
      <c r="Q50" s="61" t="s">
        <v>121</v>
      </c>
      <c r="R50" s="61">
        <v>145.364</v>
      </c>
      <c r="S50" s="61">
        <v>360.834</v>
      </c>
      <c r="T50" s="61">
        <v>212.50700000000001</v>
      </c>
      <c r="U50" s="61">
        <v>2.9630000000000001</v>
      </c>
      <c r="V50" s="61" t="s">
        <v>121</v>
      </c>
      <c r="W50" s="61" t="s">
        <v>121</v>
      </c>
      <c r="X50" s="61">
        <v>145.20099999999999</v>
      </c>
      <c r="Y50" s="61">
        <v>0.16300000000000001</v>
      </c>
      <c r="Z50" s="61" t="s">
        <v>121</v>
      </c>
      <c r="AA50" s="61">
        <v>145.364</v>
      </c>
      <c r="AB50" s="60">
        <v>360.834</v>
      </c>
      <c r="AC50" s="62"/>
      <c r="AD50" s="61"/>
      <c r="AE50" s="61"/>
      <c r="AF50" s="61"/>
      <c r="AG50" s="61"/>
      <c r="AH50" s="61"/>
      <c r="AI50" s="61"/>
      <c r="AJ50" s="61"/>
      <c r="AK50" s="62"/>
      <c r="AL50" s="63"/>
      <c r="AM50" s="64"/>
      <c r="AN50" s="65" t="e">
        <v>#N/A</v>
      </c>
      <c r="AO50" s="61" t="e">
        <v>#N/A</v>
      </c>
      <c r="AP50" s="61" t="e">
        <v>#N/A</v>
      </c>
      <c r="AQ50" s="61" t="e">
        <v>#N/A</v>
      </c>
      <c r="AR50" s="61" t="e">
        <v>#N/A</v>
      </c>
      <c r="AS50" s="61" t="e">
        <v>#N/A</v>
      </c>
      <c r="AT50" s="61" t="e">
        <v>#N/A</v>
      </c>
      <c r="AU50" s="61" t="e">
        <v>#N/A</v>
      </c>
      <c r="AV50" s="61" t="e">
        <v>#N/A</v>
      </c>
      <c r="AW50" s="61" t="e">
        <v>#N/A</v>
      </c>
      <c r="AX50" s="65" t="e">
        <v>#N/A</v>
      </c>
      <c r="AY50" s="66" t="s">
        <v>121</v>
      </c>
      <c r="AZ50" s="61" t="s">
        <v>121</v>
      </c>
      <c r="BA50" s="61">
        <v>40.793999999999997</v>
      </c>
      <c r="BB50" s="61">
        <v>40.793999999999997</v>
      </c>
      <c r="BC50" s="61" t="s">
        <v>121</v>
      </c>
      <c r="BD50" s="61" t="s">
        <v>121</v>
      </c>
      <c r="BE50" s="61" t="s">
        <v>121</v>
      </c>
      <c r="BF50" s="61" t="s">
        <v>121</v>
      </c>
      <c r="BG50" s="61">
        <v>0.77100000000000002</v>
      </c>
      <c r="BH50" s="61" t="s">
        <v>121</v>
      </c>
      <c r="BI50" s="61" t="s">
        <v>121</v>
      </c>
      <c r="BJ50" s="61">
        <v>0.77100000000000002</v>
      </c>
      <c r="BK50" s="66">
        <v>0.77100000000000002</v>
      </c>
      <c r="BL50" s="67" t="s">
        <v>121</v>
      </c>
      <c r="BM50" s="61" t="s">
        <v>121</v>
      </c>
      <c r="BN50" s="61" t="s">
        <v>121</v>
      </c>
      <c r="BO50" s="61" t="s">
        <v>121</v>
      </c>
      <c r="BP50" s="61" t="s">
        <v>121</v>
      </c>
      <c r="BQ50" s="61">
        <v>209.733</v>
      </c>
      <c r="BR50" s="61">
        <v>2.9630000000000001</v>
      </c>
      <c r="BS50" s="61" t="s">
        <v>121</v>
      </c>
      <c r="BT50" s="61" t="s">
        <v>121</v>
      </c>
      <c r="BU50" s="61">
        <v>0.313</v>
      </c>
      <c r="BV50" s="61">
        <v>0.16300000000000001</v>
      </c>
      <c r="BW50" s="61">
        <v>0.47599999999999998</v>
      </c>
      <c r="BX50" s="67">
        <v>213.173</v>
      </c>
      <c r="BY50" s="68">
        <v>100903</v>
      </c>
      <c r="BZ50" s="68">
        <v>144687</v>
      </c>
      <c r="CA50" s="69">
        <v>6070</v>
      </c>
      <c r="CB50" s="68">
        <v>185986</v>
      </c>
      <c r="CC50" s="68">
        <v>44</v>
      </c>
      <c r="CD50" s="61"/>
      <c r="CE50" s="64"/>
      <c r="CF50" s="64"/>
      <c r="CG50" s="70">
        <f t="shared" si="0"/>
        <v>7811.4120000000003</v>
      </c>
      <c r="CH50" s="70">
        <f t="shared" si="1"/>
        <v>254.94</v>
      </c>
      <c r="CI50" s="70">
        <f t="shared" si="2"/>
        <v>1.8480000000000001</v>
      </c>
      <c r="CJ50" s="70">
        <f t="shared" si="4"/>
        <v>4237.9260000000004</v>
      </c>
      <c r="CK50" s="70">
        <f t="shared" si="3"/>
        <v>6076.8540000000003</v>
      </c>
      <c r="CL50" s="70">
        <f t="shared" si="5"/>
        <v>1.8480000000000001</v>
      </c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  <c r="EV50" s="61"/>
      <c r="EW50" s="61"/>
    </row>
    <row r="51" spans="1:153">
      <c r="A51" s="56">
        <v>28126</v>
      </c>
      <c r="B51" s="57"/>
      <c r="C51" s="58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8"/>
      <c r="P51" s="60">
        <v>156.07400000000001</v>
      </c>
      <c r="Q51" s="61" t="s">
        <v>121</v>
      </c>
      <c r="R51" s="61">
        <v>156.22</v>
      </c>
      <c r="S51" s="61">
        <v>378.52100000000002</v>
      </c>
      <c r="T51" s="61">
        <v>219.06899999999999</v>
      </c>
      <c r="U51" s="61">
        <v>3.2320000000000002</v>
      </c>
      <c r="V51" s="61" t="s">
        <v>121</v>
      </c>
      <c r="W51" s="61" t="s">
        <v>121</v>
      </c>
      <c r="X51" s="61">
        <v>156.07400000000001</v>
      </c>
      <c r="Y51" s="61">
        <v>0.14599999999999999</v>
      </c>
      <c r="Z51" s="61" t="s">
        <v>121</v>
      </c>
      <c r="AA51" s="61">
        <v>156.22</v>
      </c>
      <c r="AB51" s="60">
        <v>378.52100000000002</v>
      </c>
      <c r="AC51" s="62"/>
      <c r="AD51" s="61"/>
      <c r="AE51" s="61"/>
      <c r="AF51" s="61"/>
      <c r="AG51" s="61"/>
      <c r="AH51" s="61"/>
      <c r="AI51" s="61"/>
      <c r="AJ51" s="61"/>
      <c r="AK51" s="62"/>
      <c r="AL51" s="63"/>
      <c r="AM51" s="64"/>
      <c r="AN51" s="65" t="e">
        <v>#N/A</v>
      </c>
      <c r="AO51" s="61" t="e">
        <v>#N/A</v>
      </c>
      <c r="AP51" s="61" t="e">
        <v>#N/A</v>
      </c>
      <c r="AQ51" s="61" t="e">
        <v>#N/A</v>
      </c>
      <c r="AR51" s="61" t="e">
        <v>#N/A</v>
      </c>
      <c r="AS51" s="61" t="e">
        <v>#N/A</v>
      </c>
      <c r="AT51" s="61" t="e">
        <v>#N/A</v>
      </c>
      <c r="AU51" s="61" t="e">
        <v>#N/A</v>
      </c>
      <c r="AV51" s="61" t="e">
        <v>#N/A</v>
      </c>
      <c r="AW51" s="61" t="e">
        <v>#N/A</v>
      </c>
      <c r="AX51" s="65" t="e">
        <v>#N/A</v>
      </c>
      <c r="AY51" s="66" t="s">
        <v>121</v>
      </c>
      <c r="AZ51" s="61" t="s">
        <v>121</v>
      </c>
      <c r="BA51" s="61">
        <v>46.014000000000003</v>
      </c>
      <c r="BB51" s="61">
        <v>46.014000000000003</v>
      </c>
      <c r="BC51" s="61" t="s">
        <v>121</v>
      </c>
      <c r="BD51" s="61" t="s">
        <v>121</v>
      </c>
      <c r="BE51" s="61" t="s">
        <v>121</v>
      </c>
      <c r="BF51" s="61" t="s">
        <v>121</v>
      </c>
      <c r="BG51" s="61">
        <v>0.874</v>
      </c>
      <c r="BH51" s="61" t="s">
        <v>121</v>
      </c>
      <c r="BI51" s="61" t="s">
        <v>121</v>
      </c>
      <c r="BJ51" s="61">
        <v>0.874</v>
      </c>
      <c r="BK51" s="66">
        <v>0.874</v>
      </c>
      <c r="BL51" s="67" t="s">
        <v>121</v>
      </c>
      <c r="BM51" s="61" t="s">
        <v>121</v>
      </c>
      <c r="BN51" s="61" t="s">
        <v>121</v>
      </c>
      <c r="BO51" s="61" t="s">
        <v>121</v>
      </c>
      <c r="BP51" s="61" t="s">
        <v>121</v>
      </c>
      <c r="BQ51" s="61">
        <v>216.00800000000001</v>
      </c>
      <c r="BR51" s="61">
        <v>3.2320000000000002</v>
      </c>
      <c r="BS51" s="61" t="s">
        <v>121</v>
      </c>
      <c r="BT51" s="61" t="s">
        <v>121</v>
      </c>
      <c r="BU51" s="61">
        <v>0.36799999999999999</v>
      </c>
      <c r="BV51" s="61">
        <v>0.14599999999999999</v>
      </c>
      <c r="BW51" s="61">
        <v>0.51400000000000001</v>
      </c>
      <c r="BX51" s="67">
        <v>219.75399999999999</v>
      </c>
      <c r="BY51" s="68">
        <v>104439</v>
      </c>
      <c r="BZ51" s="68">
        <v>158199</v>
      </c>
      <c r="CA51" s="69">
        <v>10763</v>
      </c>
      <c r="CB51" s="68">
        <v>143011</v>
      </c>
      <c r="CC51" s="68">
        <v>35</v>
      </c>
      <c r="CD51" s="61"/>
      <c r="CE51" s="64"/>
      <c r="CF51" s="64"/>
      <c r="CG51" s="70">
        <f t="shared" si="0"/>
        <v>6006.4620000000004</v>
      </c>
      <c r="CH51" s="70">
        <f t="shared" si="1"/>
        <v>452.04599999999999</v>
      </c>
      <c r="CI51" s="70">
        <f t="shared" si="2"/>
        <v>1.47</v>
      </c>
      <c r="CJ51" s="70">
        <f t="shared" si="4"/>
        <v>4386.4380000000001</v>
      </c>
      <c r="CK51" s="70">
        <f t="shared" si="3"/>
        <v>6644.3580000000002</v>
      </c>
      <c r="CL51" s="70">
        <f t="shared" si="5"/>
        <v>1.47</v>
      </c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</row>
    <row r="52" spans="1:153">
      <c r="A52" s="56">
        <v>28157</v>
      </c>
      <c r="B52" s="57"/>
      <c r="C52" s="58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8"/>
      <c r="P52" s="60">
        <v>141.04599999999999</v>
      </c>
      <c r="Q52" s="61" t="s">
        <v>121</v>
      </c>
      <c r="R52" s="61">
        <v>141.17599999999999</v>
      </c>
      <c r="S52" s="61">
        <v>304.32799999999997</v>
      </c>
      <c r="T52" s="61">
        <v>160.32900000000001</v>
      </c>
      <c r="U52" s="61">
        <v>2.823</v>
      </c>
      <c r="V52" s="61" t="s">
        <v>121</v>
      </c>
      <c r="W52" s="61" t="s">
        <v>121</v>
      </c>
      <c r="X52" s="61">
        <v>141.04599999999999</v>
      </c>
      <c r="Y52" s="61">
        <v>0.13</v>
      </c>
      <c r="Z52" s="61" t="s">
        <v>121</v>
      </c>
      <c r="AA52" s="61">
        <v>141.17599999999999</v>
      </c>
      <c r="AB52" s="60">
        <v>304.32799999999997</v>
      </c>
      <c r="AC52" s="62"/>
      <c r="AD52" s="61"/>
      <c r="AE52" s="61"/>
      <c r="AF52" s="61"/>
      <c r="AG52" s="61"/>
      <c r="AH52" s="61"/>
      <c r="AI52" s="61"/>
      <c r="AJ52" s="61"/>
      <c r="AK52" s="62"/>
      <c r="AL52" s="63"/>
      <c r="AM52" s="64"/>
      <c r="AN52" s="65" t="e">
        <v>#N/A</v>
      </c>
      <c r="AO52" s="61" t="e">
        <v>#N/A</v>
      </c>
      <c r="AP52" s="61" t="e">
        <v>#N/A</v>
      </c>
      <c r="AQ52" s="61" t="e">
        <v>#N/A</v>
      </c>
      <c r="AR52" s="61" t="e">
        <v>#N/A</v>
      </c>
      <c r="AS52" s="61" t="e">
        <v>#N/A</v>
      </c>
      <c r="AT52" s="61" t="e">
        <v>#N/A</v>
      </c>
      <c r="AU52" s="61" t="e">
        <v>#N/A</v>
      </c>
      <c r="AV52" s="61" t="e">
        <v>#N/A</v>
      </c>
      <c r="AW52" s="61" t="e">
        <v>#N/A</v>
      </c>
      <c r="AX52" s="65" t="e">
        <v>#N/A</v>
      </c>
      <c r="AY52" s="66" t="s">
        <v>121</v>
      </c>
      <c r="AZ52" s="61" t="s">
        <v>121</v>
      </c>
      <c r="BA52" s="61">
        <v>41.561</v>
      </c>
      <c r="BB52" s="61">
        <v>41.561</v>
      </c>
      <c r="BC52" s="61" t="s">
        <v>121</v>
      </c>
      <c r="BD52" s="61" t="s">
        <v>121</v>
      </c>
      <c r="BE52" s="61" t="s">
        <v>121</v>
      </c>
      <c r="BF52" s="61" t="s">
        <v>121</v>
      </c>
      <c r="BG52" s="61">
        <v>0.78900000000000003</v>
      </c>
      <c r="BH52" s="61" t="s">
        <v>121</v>
      </c>
      <c r="BI52" s="61" t="s">
        <v>121</v>
      </c>
      <c r="BJ52" s="61">
        <v>0.78900000000000003</v>
      </c>
      <c r="BK52" s="66">
        <v>0.78900000000000003</v>
      </c>
      <c r="BL52" s="67" t="s">
        <v>121</v>
      </c>
      <c r="BM52" s="61" t="s">
        <v>121</v>
      </c>
      <c r="BN52" s="61" t="s">
        <v>121</v>
      </c>
      <c r="BO52" s="61" t="s">
        <v>121</v>
      </c>
      <c r="BP52" s="61" t="s">
        <v>121</v>
      </c>
      <c r="BQ52" s="61">
        <v>158.089</v>
      </c>
      <c r="BR52" s="61">
        <v>2.823</v>
      </c>
      <c r="BS52" s="61" t="s">
        <v>121</v>
      </c>
      <c r="BT52" s="61" t="s">
        <v>121</v>
      </c>
      <c r="BU52" s="61">
        <v>0.40799999999999997</v>
      </c>
      <c r="BV52" s="61">
        <v>0.13</v>
      </c>
      <c r="BW52" s="61">
        <v>0.53800000000000003</v>
      </c>
      <c r="BX52" s="67">
        <v>161.44999999999999</v>
      </c>
      <c r="BY52" s="68">
        <v>103463</v>
      </c>
      <c r="BZ52" s="68">
        <v>131825</v>
      </c>
      <c r="CA52" s="69">
        <v>18601</v>
      </c>
      <c r="CB52" s="68">
        <v>133280</v>
      </c>
      <c r="CC52" s="68">
        <v>24</v>
      </c>
      <c r="CD52" s="61"/>
      <c r="CE52" s="64"/>
      <c r="CF52" s="64"/>
      <c r="CG52" s="70">
        <f t="shared" si="0"/>
        <v>5597.76</v>
      </c>
      <c r="CH52" s="70">
        <f t="shared" si="1"/>
        <v>781.24199999999996</v>
      </c>
      <c r="CI52" s="70">
        <f t="shared" si="2"/>
        <v>1.008</v>
      </c>
      <c r="CJ52" s="70">
        <f t="shared" si="4"/>
        <v>4345.4459999999999</v>
      </c>
      <c r="CK52" s="70">
        <f t="shared" si="3"/>
        <v>5536.65</v>
      </c>
      <c r="CL52" s="70">
        <f t="shared" si="5"/>
        <v>1.008</v>
      </c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</row>
    <row r="53" spans="1:153">
      <c r="A53" s="56">
        <v>28185</v>
      </c>
      <c r="B53" s="57"/>
      <c r="C53" s="58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8"/>
      <c r="P53" s="60">
        <v>156.072</v>
      </c>
      <c r="Q53" s="61" t="s">
        <v>121</v>
      </c>
      <c r="R53" s="61">
        <v>156.21700000000001</v>
      </c>
      <c r="S53" s="61">
        <v>368.96600000000001</v>
      </c>
      <c r="T53" s="61">
        <v>209.54900000000001</v>
      </c>
      <c r="U53" s="61">
        <v>3.2</v>
      </c>
      <c r="V53" s="61" t="s">
        <v>121</v>
      </c>
      <c r="W53" s="61" t="s">
        <v>121</v>
      </c>
      <c r="X53" s="61">
        <v>156.072</v>
      </c>
      <c r="Y53" s="61">
        <v>0.14599999999999999</v>
      </c>
      <c r="Z53" s="61" t="s">
        <v>121</v>
      </c>
      <c r="AA53" s="61">
        <v>156.21700000000001</v>
      </c>
      <c r="AB53" s="60">
        <v>368.96600000000001</v>
      </c>
      <c r="AC53" s="62"/>
      <c r="AD53" s="61"/>
      <c r="AE53" s="61"/>
      <c r="AF53" s="61"/>
      <c r="AG53" s="61"/>
      <c r="AH53" s="61"/>
      <c r="AI53" s="61"/>
      <c r="AJ53" s="61"/>
      <c r="AK53" s="62"/>
      <c r="AL53" s="63"/>
      <c r="AM53" s="64"/>
      <c r="AN53" s="65" t="e">
        <v>#N/A</v>
      </c>
      <c r="AO53" s="61" t="e">
        <v>#N/A</v>
      </c>
      <c r="AP53" s="61" t="e">
        <v>#N/A</v>
      </c>
      <c r="AQ53" s="61" t="e">
        <v>#N/A</v>
      </c>
      <c r="AR53" s="61" t="e">
        <v>#N/A</v>
      </c>
      <c r="AS53" s="61" t="e">
        <v>#N/A</v>
      </c>
      <c r="AT53" s="61" t="e">
        <v>#N/A</v>
      </c>
      <c r="AU53" s="61" t="e">
        <v>#N/A</v>
      </c>
      <c r="AV53" s="61" t="e">
        <v>#N/A</v>
      </c>
      <c r="AW53" s="61" t="e">
        <v>#N/A</v>
      </c>
      <c r="AX53" s="65" t="e">
        <v>#N/A</v>
      </c>
      <c r="AY53" s="66" t="s">
        <v>121</v>
      </c>
      <c r="AZ53" s="61" t="s">
        <v>121</v>
      </c>
      <c r="BA53" s="61">
        <v>46.014000000000003</v>
      </c>
      <c r="BB53" s="61">
        <v>46.014000000000003</v>
      </c>
      <c r="BC53" s="61" t="s">
        <v>121</v>
      </c>
      <c r="BD53" s="61" t="s">
        <v>121</v>
      </c>
      <c r="BE53" s="61" t="s">
        <v>121</v>
      </c>
      <c r="BF53" s="61" t="s">
        <v>121</v>
      </c>
      <c r="BG53" s="61">
        <v>0.874</v>
      </c>
      <c r="BH53" s="61" t="s">
        <v>121</v>
      </c>
      <c r="BI53" s="61" t="s">
        <v>121</v>
      </c>
      <c r="BJ53" s="61">
        <v>0.874</v>
      </c>
      <c r="BK53" s="66">
        <v>0.874</v>
      </c>
      <c r="BL53" s="67" t="s">
        <v>121</v>
      </c>
      <c r="BM53" s="61" t="s">
        <v>121</v>
      </c>
      <c r="BN53" s="61" t="s">
        <v>121</v>
      </c>
      <c r="BO53" s="61" t="s">
        <v>121</v>
      </c>
      <c r="BP53" s="61" t="s">
        <v>121</v>
      </c>
      <c r="BQ53" s="61">
        <v>206.62100000000001</v>
      </c>
      <c r="BR53" s="61">
        <v>3.2</v>
      </c>
      <c r="BS53" s="61" t="s">
        <v>121</v>
      </c>
      <c r="BT53" s="61" t="s">
        <v>121</v>
      </c>
      <c r="BU53" s="61">
        <v>0.36499999999999999</v>
      </c>
      <c r="BV53" s="61">
        <v>0.14599999999999999</v>
      </c>
      <c r="BW53" s="61">
        <v>0.51100000000000001</v>
      </c>
      <c r="BX53" s="67">
        <v>210.33199999999999</v>
      </c>
      <c r="BY53" s="68">
        <v>98359</v>
      </c>
      <c r="BZ53" s="68">
        <v>106716</v>
      </c>
      <c r="CA53" s="69">
        <v>16960</v>
      </c>
      <c r="CB53" s="68">
        <v>141911</v>
      </c>
      <c r="CC53" s="68">
        <v>30</v>
      </c>
      <c r="CD53" s="61"/>
      <c r="CE53" s="64"/>
      <c r="CF53" s="64"/>
      <c r="CG53" s="70">
        <f t="shared" si="0"/>
        <v>5960.2619999999997</v>
      </c>
      <c r="CH53" s="70">
        <f t="shared" si="1"/>
        <v>712.32</v>
      </c>
      <c r="CI53" s="70">
        <f t="shared" si="2"/>
        <v>1.26</v>
      </c>
      <c r="CJ53" s="70">
        <f t="shared" si="4"/>
        <v>4131.0780000000004</v>
      </c>
      <c r="CK53" s="70">
        <f t="shared" si="3"/>
        <v>4482.0720000000001</v>
      </c>
      <c r="CL53" s="70">
        <f t="shared" si="5"/>
        <v>1.26</v>
      </c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61"/>
      <c r="EP53" s="61"/>
      <c r="EQ53" s="61"/>
      <c r="ER53" s="61"/>
      <c r="ES53" s="61"/>
      <c r="ET53" s="61"/>
      <c r="EU53" s="61"/>
      <c r="EV53" s="61"/>
      <c r="EW53" s="61"/>
    </row>
    <row r="54" spans="1:153">
      <c r="A54" s="56">
        <v>28216</v>
      </c>
      <c r="B54" s="57"/>
      <c r="C54" s="58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8"/>
      <c r="P54" s="60">
        <v>151.01300000000001</v>
      </c>
      <c r="Q54" s="61" t="s">
        <v>121</v>
      </c>
      <c r="R54" s="61">
        <v>151.161</v>
      </c>
      <c r="S54" s="61">
        <v>351.30099999999999</v>
      </c>
      <c r="T54" s="61">
        <v>197.28700000000001</v>
      </c>
      <c r="U54" s="61">
        <v>2.8540000000000001</v>
      </c>
      <c r="V54" s="61" t="s">
        <v>121</v>
      </c>
      <c r="W54" s="61" t="s">
        <v>121</v>
      </c>
      <c r="X54" s="61">
        <v>151.01300000000001</v>
      </c>
      <c r="Y54" s="61">
        <v>0.14799999999999999</v>
      </c>
      <c r="Z54" s="61" t="s">
        <v>121</v>
      </c>
      <c r="AA54" s="61">
        <v>151.161</v>
      </c>
      <c r="AB54" s="60">
        <v>351.30099999999999</v>
      </c>
      <c r="AC54" s="62"/>
      <c r="AD54" s="61"/>
      <c r="AE54" s="61"/>
      <c r="AF54" s="61"/>
      <c r="AG54" s="61"/>
      <c r="AH54" s="61"/>
      <c r="AI54" s="61"/>
      <c r="AJ54" s="61"/>
      <c r="AK54" s="62"/>
      <c r="AL54" s="63"/>
      <c r="AM54" s="64"/>
      <c r="AN54" s="65" t="e">
        <v>#N/A</v>
      </c>
      <c r="AO54" s="61" t="e">
        <v>#N/A</v>
      </c>
      <c r="AP54" s="61" t="e">
        <v>#N/A</v>
      </c>
      <c r="AQ54" s="61" t="e">
        <v>#N/A</v>
      </c>
      <c r="AR54" s="61" t="e">
        <v>#N/A</v>
      </c>
      <c r="AS54" s="61" t="e">
        <v>#N/A</v>
      </c>
      <c r="AT54" s="61" t="e">
        <v>#N/A</v>
      </c>
      <c r="AU54" s="61" t="e">
        <v>#N/A</v>
      </c>
      <c r="AV54" s="61" t="e">
        <v>#N/A</v>
      </c>
      <c r="AW54" s="61" t="e">
        <v>#N/A</v>
      </c>
      <c r="AX54" s="65" t="e">
        <v>#N/A</v>
      </c>
      <c r="AY54" s="66" t="s">
        <v>121</v>
      </c>
      <c r="AZ54" s="61" t="s">
        <v>121</v>
      </c>
      <c r="BA54" s="61">
        <v>44.53</v>
      </c>
      <c r="BB54" s="61">
        <v>44.53</v>
      </c>
      <c r="BC54" s="61" t="s">
        <v>121</v>
      </c>
      <c r="BD54" s="61" t="s">
        <v>121</v>
      </c>
      <c r="BE54" s="61" t="s">
        <v>121</v>
      </c>
      <c r="BF54" s="61" t="s">
        <v>121</v>
      </c>
      <c r="BG54" s="61">
        <v>0.84499999999999997</v>
      </c>
      <c r="BH54" s="61" t="s">
        <v>121</v>
      </c>
      <c r="BI54" s="61" t="s">
        <v>121</v>
      </c>
      <c r="BJ54" s="61">
        <v>0.84499999999999997</v>
      </c>
      <c r="BK54" s="66">
        <v>0.84499999999999997</v>
      </c>
      <c r="BL54" s="67" t="s">
        <v>121</v>
      </c>
      <c r="BM54" s="61" t="s">
        <v>121</v>
      </c>
      <c r="BN54" s="61" t="s">
        <v>121</v>
      </c>
      <c r="BO54" s="61" t="s">
        <v>121</v>
      </c>
      <c r="BP54" s="61" t="s">
        <v>121</v>
      </c>
      <c r="BQ54" s="61">
        <v>194.53</v>
      </c>
      <c r="BR54" s="61">
        <v>2.8540000000000001</v>
      </c>
      <c r="BS54" s="61" t="s">
        <v>121</v>
      </c>
      <c r="BT54" s="61" t="s">
        <v>121</v>
      </c>
      <c r="BU54" s="61">
        <v>0.32900000000000001</v>
      </c>
      <c r="BV54" s="61">
        <v>0.14799999999999999</v>
      </c>
      <c r="BW54" s="61">
        <v>0.47799999999999998</v>
      </c>
      <c r="BX54" s="67">
        <v>197.86099999999999</v>
      </c>
      <c r="BY54" s="68">
        <v>89836</v>
      </c>
      <c r="BZ54" s="68">
        <v>88067</v>
      </c>
      <c r="CA54" s="69">
        <v>4591</v>
      </c>
      <c r="CB54" s="68">
        <v>148254</v>
      </c>
      <c r="CC54" s="68">
        <v>75</v>
      </c>
      <c r="CD54" s="61"/>
      <c r="CE54" s="64"/>
      <c r="CF54" s="64"/>
      <c r="CG54" s="70">
        <f t="shared" si="0"/>
        <v>6226.6679999999997</v>
      </c>
      <c r="CH54" s="70">
        <f t="shared" si="1"/>
        <v>192.822</v>
      </c>
      <c r="CI54" s="70">
        <f t="shared" si="2"/>
        <v>3.15</v>
      </c>
      <c r="CJ54" s="70">
        <f t="shared" si="4"/>
        <v>3773.1120000000001</v>
      </c>
      <c r="CK54" s="70">
        <f t="shared" si="3"/>
        <v>3698.8139999999999</v>
      </c>
      <c r="CL54" s="70">
        <f t="shared" si="5"/>
        <v>3.15</v>
      </c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</row>
    <row r="55" spans="1:153">
      <c r="A55" s="56">
        <v>28246</v>
      </c>
      <c r="B55" s="57"/>
      <c r="C55" s="58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8"/>
      <c r="P55" s="60">
        <v>156.03200000000001</v>
      </c>
      <c r="Q55" s="61" t="s">
        <v>121</v>
      </c>
      <c r="R55" s="61">
        <v>156.18600000000001</v>
      </c>
      <c r="S55" s="61">
        <v>356.923</v>
      </c>
      <c r="T55" s="61">
        <v>197.65600000000001</v>
      </c>
      <c r="U55" s="61">
        <v>3.081</v>
      </c>
      <c r="V55" s="61" t="s">
        <v>121</v>
      </c>
      <c r="W55" s="61" t="s">
        <v>121</v>
      </c>
      <c r="X55" s="61">
        <v>156.03200000000001</v>
      </c>
      <c r="Y55" s="61">
        <v>0.155</v>
      </c>
      <c r="Z55" s="61" t="s">
        <v>121</v>
      </c>
      <c r="AA55" s="61">
        <v>156.18600000000001</v>
      </c>
      <c r="AB55" s="60">
        <v>356.923</v>
      </c>
      <c r="AC55" s="62"/>
      <c r="AD55" s="61"/>
      <c r="AE55" s="61"/>
      <c r="AF55" s="61"/>
      <c r="AG55" s="61"/>
      <c r="AH55" s="61"/>
      <c r="AI55" s="61"/>
      <c r="AJ55" s="61"/>
      <c r="AK55" s="62"/>
      <c r="AL55" s="63"/>
      <c r="AM55" s="64"/>
      <c r="AN55" s="65" t="e">
        <v>#N/A</v>
      </c>
      <c r="AO55" s="61" t="e">
        <v>#N/A</v>
      </c>
      <c r="AP55" s="61" t="e">
        <v>#N/A</v>
      </c>
      <c r="AQ55" s="61" t="e">
        <v>#N/A</v>
      </c>
      <c r="AR55" s="61" t="e">
        <v>#N/A</v>
      </c>
      <c r="AS55" s="61" t="e">
        <v>#N/A</v>
      </c>
      <c r="AT55" s="61" t="e">
        <v>#N/A</v>
      </c>
      <c r="AU55" s="61" t="e">
        <v>#N/A</v>
      </c>
      <c r="AV55" s="61" t="e">
        <v>#N/A</v>
      </c>
      <c r="AW55" s="61" t="e">
        <v>#N/A</v>
      </c>
      <c r="AX55" s="65" t="e">
        <v>#N/A</v>
      </c>
      <c r="AY55" s="66" t="s">
        <v>121</v>
      </c>
      <c r="AZ55" s="61" t="s">
        <v>121</v>
      </c>
      <c r="BA55" s="61">
        <v>46.014000000000003</v>
      </c>
      <c r="BB55" s="61">
        <v>46.014000000000003</v>
      </c>
      <c r="BC55" s="61" t="s">
        <v>121</v>
      </c>
      <c r="BD55" s="61" t="s">
        <v>121</v>
      </c>
      <c r="BE55" s="61" t="s">
        <v>121</v>
      </c>
      <c r="BF55" s="61" t="s">
        <v>121</v>
      </c>
      <c r="BG55" s="61">
        <v>0.874</v>
      </c>
      <c r="BH55" s="61" t="s">
        <v>121</v>
      </c>
      <c r="BI55" s="61" t="s">
        <v>121</v>
      </c>
      <c r="BJ55" s="61">
        <v>0.874</v>
      </c>
      <c r="BK55" s="66">
        <v>0.874</v>
      </c>
      <c r="BL55" s="67" t="s">
        <v>121</v>
      </c>
      <c r="BM55" s="61" t="s">
        <v>121</v>
      </c>
      <c r="BN55" s="61" t="s">
        <v>121</v>
      </c>
      <c r="BO55" s="61" t="s">
        <v>121</v>
      </c>
      <c r="BP55" s="61" t="s">
        <v>121</v>
      </c>
      <c r="BQ55" s="61">
        <v>194.89400000000001</v>
      </c>
      <c r="BR55" s="61">
        <v>3.081</v>
      </c>
      <c r="BS55" s="61" t="s">
        <v>121</v>
      </c>
      <c r="BT55" s="61" t="s">
        <v>121</v>
      </c>
      <c r="BU55" s="61">
        <v>0.32500000000000001</v>
      </c>
      <c r="BV55" s="61">
        <v>0.155</v>
      </c>
      <c r="BW55" s="61">
        <v>0.48</v>
      </c>
      <c r="BX55" s="67">
        <v>198.45500000000001</v>
      </c>
      <c r="BY55" s="68">
        <v>97037</v>
      </c>
      <c r="BZ55" s="68">
        <v>86239</v>
      </c>
      <c r="CA55" s="69">
        <v>3057</v>
      </c>
      <c r="CB55" s="68">
        <v>162155</v>
      </c>
      <c r="CC55" s="68">
        <v>11</v>
      </c>
      <c r="CD55" s="61"/>
      <c r="CE55" s="64"/>
      <c r="CF55" s="64"/>
      <c r="CG55" s="70">
        <f t="shared" si="0"/>
        <v>6810.51</v>
      </c>
      <c r="CH55" s="70">
        <f t="shared" si="1"/>
        <v>128.39400000000001</v>
      </c>
      <c r="CI55" s="70">
        <f t="shared" si="2"/>
        <v>0.46200000000000002</v>
      </c>
      <c r="CJ55" s="70">
        <f t="shared" si="4"/>
        <v>4075.5540000000001</v>
      </c>
      <c r="CK55" s="70">
        <f t="shared" si="3"/>
        <v>3622.038</v>
      </c>
      <c r="CL55" s="70">
        <f t="shared" si="5"/>
        <v>0.46200000000000002</v>
      </c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</row>
    <row r="56" spans="1:153">
      <c r="A56" s="56">
        <v>28277</v>
      </c>
      <c r="B56" s="57"/>
      <c r="C56" s="58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8"/>
      <c r="P56" s="60">
        <v>150.99700000000001</v>
      </c>
      <c r="Q56" s="61" t="s">
        <v>121</v>
      </c>
      <c r="R56" s="61">
        <v>151.15299999999999</v>
      </c>
      <c r="S56" s="61">
        <v>336.48500000000001</v>
      </c>
      <c r="T56" s="61">
        <v>182.303</v>
      </c>
      <c r="U56" s="61">
        <v>3.0289999999999999</v>
      </c>
      <c r="V56" s="61" t="s">
        <v>121</v>
      </c>
      <c r="W56" s="61" t="s">
        <v>121</v>
      </c>
      <c r="X56" s="61">
        <v>150.99700000000001</v>
      </c>
      <c r="Y56" s="61">
        <v>0.156</v>
      </c>
      <c r="Z56" s="61" t="s">
        <v>121</v>
      </c>
      <c r="AA56" s="61">
        <v>151.15299999999999</v>
      </c>
      <c r="AB56" s="60">
        <v>336.48500000000001</v>
      </c>
      <c r="AC56" s="62"/>
      <c r="AD56" s="61"/>
      <c r="AE56" s="61"/>
      <c r="AF56" s="61"/>
      <c r="AG56" s="61"/>
      <c r="AH56" s="61"/>
      <c r="AI56" s="61"/>
      <c r="AJ56" s="61"/>
      <c r="AK56" s="62"/>
      <c r="AL56" s="63"/>
      <c r="AM56" s="64"/>
      <c r="AN56" s="65" t="e">
        <v>#N/A</v>
      </c>
      <c r="AO56" s="61" t="e">
        <v>#N/A</v>
      </c>
      <c r="AP56" s="61" t="e">
        <v>#N/A</v>
      </c>
      <c r="AQ56" s="61" t="e">
        <v>#N/A</v>
      </c>
      <c r="AR56" s="61" t="e">
        <v>#N/A</v>
      </c>
      <c r="AS56" s="61" t="e">
        <v>#N/A</v>
      </c>
      <c r="AT56" s="61" t="e">
        <v>#N/A</v>
      </c>
      <c r="AU56" s="61" t="e">
        <v>#N/A</v>
      </c>
      <c r="AV56" s="61" t="e">
        <v>#N/A</v>
      </c>
      <c r="AW56" s="61" t="e">
        <v>#N/A</v>
      </c>
      <c r="AX56" s="65" t="e">
        <v>#N/A</v>
      </c>
      <c r="AY56" s="66" t="s">
        <v>121</v>
      </c>
      <c r="AZ56" s="61" t="s">
        <v>121</v>
      </c>
      <c r="BA56" s="61">
        <v>44.53</v>
      </c>
      <c r="BB56" s="61">
        <v>44.53</v>
      </c>
      <c r="BC56" s="61" t="s">
        <v>121</v>
      </c>
      <c r="BD56" s="61" t="s">
        <v>121</v>
      </c>
      <c r="BE56" s="61" t="s">
        <v>121</v>
      </c>
      <c r="BF56" s="61" t="s">
        <v>121</v>
      </c>
      <c r="BG56" s="61">
        <v>0.84499999999999997</v>
      </c>
      <c r="BH56" s="61" t="s">
        <v>121</v>
      </c>
      <c r="BI56" s="61" t="s">
        <v>121</v>
      </c>
      <c r="BJ56" s="61">
        <v>0.84499999999999997</v>
      </c>
      <c r="BK56" s="66">
        <v>0.84499999999999997</v>
      </c>
      <c r="BL56" s="67" t="s">
        <v>121</v>
      </c>
      <c r="BM56" s="61" t="s">
        <v>121</v>
      </c>
      <c r="BN56" s="61" t="s">
        <v>121</v>
      </c>
      <c r="BO56" s="61" t="s">
        <v>121</v>
      </c>
      <c r="BP56" s="61" t="s">
        <v>121</v>
      </c>
      <c r="BQ56" s="61">
        <v>179.756</v>
      </c>
      <c r="BR56" s="61">
        <v>3.0289999999999999</v>
      </c>
      <c r="BS56" s="61" t="s">
        <v>121</v>
      </c>
      <c r="BT56" s="61" t="s">
        <v>121</v>
      </c>
      <c r="BU56" s="61">
        <v>0.314</v>
      </c>
      <c r="BV56" s="61">
        <v>0.156</v>
      </c>
      <c r="BW56" s="61">
        <v>0.46899999999999997</v>
      </c>
      <c r="BX56" s="67">
        <v>183.25399999999999</v>
      </c>
      <c r="BY56" s="68">
        <v>95726</v>
      </c>
      <c r="BZ56" s="68">
        <v>83097</v>
      </c>
      <c r="CA56" s="69">
        <v>4042</v>
      </c>
      <c r="CB56" s="68">
        <v>178872</v>
      </c>
      <c r="CC56" s="68">
        <v>10</v>
      </c>
      <c r="CD56" s="61"/>
      <c r="CE56" s="64"/>
      <c r="CF56" s="64"/>
      <c r="CG56" s="70">
        <f t="shared" si="0"/>
        <v>7512.6239999999998</v>
      </c>
      <c r="CH56" s="70">
        <f t="shared" si="1"/>
        <v>169.76400000000001</v>
      </c>
      <c r="CI56" s="70">
        <f t="shared" si="2"/>
        <v>0.42</v>
      </c>
      <c r="CJ56" s="70">
        <f t="shared" si="4"/>
        <v>4020.4920000000002</v>
      </c>
      <c r="CK56" s="70">
        <f t="shared" si="3"/>
        <v>3490.0740000000001</v>
      </c>
      <c r="CL56" s="70">
        <f t="shared" si="5"/>
        <v>0.42</v>
      </c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61"/>
      <c r="EP56" s="61"/>
      <c r="EQ56" s="61"/>
      <c r="ER56" s="61"/>
      <c r="ES56" s="61"/>
      <c r="ET56" s="61"/>
      <c r="EU56" s="61"/>
      <c r="EV56" s="61"/>
      <c r="EW56" s="61"/>
    </row>
    <row r="57" spans="1:153">
      <c r="A57" s="56">
        <v>28307</v>
      </c>
      <c r="B57" s="57"/>
      <c r="C57" s="58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8"/>
      <c r="P57" s="60">
        <v>155.74199999999999</v>
      </c>
      <c r="Q57" s="61" t="s">
        <v>121</v>
      </c>
      <c r="R57" s="61">
        <v>155.91999999999999</v>
      </c>
      <c r="S57" s="61">
        <v>336.90300000000002</v>
      </c>
      <c r="T57" s="61">
        <v>177.779</v>
      </c>
      <c r="U57" s="61">
        <v>3.2040000000000002</v>
      </c>
      <c r="V57" s="61" t="s">
        <v>121</v>
      </c>
      <c r="W57" s="61" t="s">
        <v>121</v>
      </c>
      <c r="X57" s="61">
        <v>155.74199999999999</v>
      </c>
      <c r="Y57" s="61">
        <v>0.17799999999999999</v>
      </c>
      <c r="Z57" s="61" t="s">
        <v>121</v>
      </c>
      <c r="AA57" s="61">
        <v>155.91999999999999</v>
      </c>
      <c r="AB57" s="60">
        <v>336.90300000000002</v>
      </c>
      <c r="AC57" s="62"/>
      <c r="AD57" s="61"/>
      <c r="AE57" s="61"/>
      <c r="AF57" s="61"/>
      <c r="AG57" s="61"/>
      <c r="AH57" s="61"/>
      <c r="AI57" s="61"/>
      <c r="AJ57" s="61"/>
      <c r="AK57" s="62"/>
      <c r="AL57" s="63"/>
      <c r="AM57" s="64"/>
      <c r="AN57" s="65" t="e">
        <v>#N/A</v>
      </c>
      <c r="AO57" s="61" t="e">
        <v>#N/A</v>
      </c>
      <c r="AP57" s="61" t="e">
        <v>#N/A</v>
      </c>
      <c r="AQ57" s="61" t="e">
        <v>#N/A</v>
      </c>
      <c r="AR57" s="61" t="e">
        <v>#N/A</v>
      </c>
      <c r="AS57" s="61" t="e">
        <v>#N/A</v>
      </c>
      <c r="AT57" s="61" t="e">
        <v>#N/A</v>
      </c>
      <c r="AU57" s="61" t="e">
        <v>#N/A</v>
      </c>
      <c r="AV57" s="61" t="e">
        <v>#N/A</v>
      </c>
      <c r="AW57" s="61" t="e">
        <v>#N/A</v>
      </c>
      <c r="AX57" s="65" t="e">
        <v>#N/A</v>
      </c>
      <c r="AY57" s="66" t="s">
        <v>121</v>
      </c>
      <c r="AZ57" s="61" t="s">
        <v>121</v>
      </c>
      <c r="BA57" s="61">
        <v>46.014000000000003</v>
      </c>
      <c r="BB57" s="61">
        <v>46.014000000000003</v>
      </c>
      <c r="BC57" s="61" t="s">
        <v>121</v>
      </c>
      <c r="BD57" s="61" t="s">
        <v>121</v>
      </c>
      <c r="BE57" s="61" t="s">
        <v>121</v>
      </c>
      <c r="BF57" s="61" t="s">
        <v>121</v>
      </c>
      <c r="BG57" s="61">
        <v>0.874</v>
      </c>
      <c r="BH57" s="61" t="s">
        <v>121</v>
      </c>
      <c r="BI57" s="61" t="s">
        <v>121</v>
      </c>
      <c r="BJ57" s="61">
        <v>0.874</v>
      </c>
      <c r="BK57" s="66">
        <v>0.874</v>
      </c>
      <c r="BL57" s="67" t="s">
        <v>121</v>
      </c>
      <c r="BM57" s="61" t="s">
        <v>121</v>
      </c>
      <c r="BN57" s="61" t="s">
        <v>121</v>
      </c>
      <c r="BO57" s="61" t="s">
        <v>121</v>
      </c>
      <c r="BP57" s="61" t="s">
        <v>121</v>
      </c>
      <c r="BQ57" s="61">
        <v>175.29499999999999</v>
      </c>
      <c r="BR57" s="61">
        <v>3.2040000000000002</v>
      </c>
      <c r="BS57" s="61" t="s">
        <v>121</v>
      </c>
      <c r="BT57" s="61" t="s">
        <v>121</v>
      </c>
      <c r="BU57" s="61">
        <v>3.5999999999999997E-2</v>
      </c>
      <c r="BV57" s="61">
        <v>0.17799999999999999</v>
      </c>
      <c r="BW57" s="61">
        <v>0.214</v>
      </c>
      <c r="BX57" s="67">
        <v>178.71299999999999</v>
      </c>
      <c r="BY57" s="68">
        <v>99130</v>
      </c>
      <c r="BZ57" s="68">
        <v>79054</v>
      </c>
      <c r="CA57" s="69">
        <v>5907</v>
      </c>
      <c r="CB57" s="68">
        <v>204915</v>
      </c>
      <c r="CC57" s="68">
        <v>0</v>
      </c>
      <c r="CD57" s="61"/>
      <c r="CE57" s="64"/>
      <c r="CF57" s="64"/>
      <c r="CG57" s="70">
        <f t="shared" si="0"/>
        <v>8606.43</v>
      </c>
      <c r="CH57" s="70">
        <f t="shared" si="1"/>
        <v>248.09399999999999</v>
      </c>
      <c r="CI57" s="70">
        <f t="shared" si="2"/>
        <v>0</v>
      </c>
      <c r="CJ57" s="70">
        <f t="shared" si="4"/>
        <v>4163.46</v>
      </c>
      <c r="CK57" s="70">
        <f t="shared" si="3"/>
        <v>3320.268</v>
      </c>
      <c r="CL57" s="70">
        <f t="shared" si="5"/>
        <v>0</v>
      </c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  <c r="EV57" s="61"/>
      <c r="EW57" s="61"/>
    </row>
    <row r="58" spans="1:153">
      <c r="A58" s="56">
        <v>28338</v>
      </c>
      <c r="B58" s="57"/>
      <c r="C58" s="58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8"/>
      <c r="P58" s="60">
        <v>155.90899999999999</v>
      </c>
      <c r="Q58" s="61" t="s">
        <v>121</v>
      </c>
      <c r="R58" s="61">
        <v>156.08099999999999</v>
      </c>
      <c r="S58" s="61">
        <v>335.88099999999997</v>
      </c>
      <c r="T58" s="61">
        <v>176.863</v>
      </c>
      <c r="U58" s="61">
        <v>2.9369999999999998</v>
      </c>
      <c r="V58" s="61" t="s">
        <v>121</v>
      </c>
      <c r="W58" s="61" t="s">
        <v>121</v>
      </c>
      <c r="X58" s="61">
        <v>155.90899999999999</v>
      </c>
      <c r="Y58" s="61">
        <v>0.17199999999999999</v>
      </c>
      <c r="Z58" s="61" t="s">
        <v>121</v>
      </c>
      <c r="AA58" s="61">
        <v>156.08099999999999</v>
      </c>
      <c r="AB58" s="60">
        <v>335.88099999999997</v>
      </c>
      <c r="AC58" s="62"/>
      <c r="AD58" s="61"/>
      <c r="AE58" s="61"/>
      <c r="AF58" s="61"/>
      <c r="AG58" s="61"/>
      <c r="AH58" s="61"/>
      <c r="AI58" s="61"/>
      <c r="AJ58" s="61"/>
      <c r="AK58" s="62"/>
      <c r="AL58" s="63"/>
      <c r="AM58" s="64"/>
      <c r="AN58" s="65" t="e">
        <v>#N/A</v>
      </c>
      <c r="AO58" s="61" t="e">
        <v>#N/A</v>
      </c>
      <c r="AP58" s="61" t="e">
        <v>#N/A</v>
      </c>
      <c r="AQ58" s="61" t="e">
        <v>#N/A</v>
      </c>
      <c r="AR58" s="61" t="e">
        <v>#N/A</v>
      </c>
      <c r="AS58" s="61" t="e">
        <v>#N/A</v>
      </c>
      <c r="AT58" s="61" t="e">
        <v>#N/A</v>
      </c>
      <c r="AU58" s="61" t="e">
        <v>#N/A</v>
      </c>
      <c r="AV58" s="61" t="e">
        <v>#N/A</v>
      </c>
      <c r="AW58" s="61" t="e">
        <v>#N/A</v>
      </c>
      <c r="AX58" s="65" t="e">
        <v>#N/A</v>
      </c>
      <c r="AY58" s="66" t="s">
        <v>121</v>
      </c>
      <c r="AZ58" s="61" t="s">
        <v>121</v>
      </c>
      <c r="BA58" s="61">
        <v>46.014000000000003</v>
      </c>
      <c r="BB58" s="61">
        <v>46.014000000000003</v>
      </c>
      <c r="BC58" s="61" t="s">
        <v>121</v>
      </c>
      <c r="BD58" s="61" t="s">
        <v>121</v>
      </c>
      <c r="BE58" s="61" t="s">
        <v>121</v>
      </c>
      <c r="BF58" s="61" t="s">
        <v>121</v>
      </c>
      <c r="BG58" s="61">
        <v>0.874</v>
      </c>
      <c r="BH58" s="61" t="s">
        <v>121</v>
      </c>
      <c r="BI58" s="61" t="s">
        <v>121</v>
      </c>
      <c r="BJ58" s="61">
        <v>0.874</v>
      </c>
      <c r="BK58" s="66">
        <v>0.874</v>
      </c>
      <c r="BL58" s="67" t="s">
        <v>121</v>
      </c>
      <c r="BM58" s="61" t="s">
        <v>121</v>
      </c>
      <c r="BN58" s="61" t="s">
        <v>121</v>
      </c>
      <c r="BO58" s="61" t="s">
        <v>121</v>
      </c>
      <c r="BP58" s="61" t="s">
        <v>121</v>
      </c>
      <c r="BQ58" s="61">
        <v>174.392</v>
      </c>
      <c r="BR58" s="61">
        <v>2.9369999999999998</v>
      </c>
      <c r="BS58" s="61" t="s">
        <v>121</v>
      </c>
      <c r="BT58" s="61" t="s">
        <v>121</v>
      </c>
      <c r="BU58" s="61">
        <v>0.20300000000000001</v>
      </c>
      <c r="BV58" s="61">
        <v>0.17199999999999999</v>
      </c>
      <c r="BW58" s="61">
        <v>0.375</v>
      </c>
      <c r="BX58" s="67">
        <v>177.703</v>
      </c>
      <c r="BY58" s="68">
        <v>101435</v>
      </c>
      <c r="BZ58" s="68">
        <v>81589</v>
      </c>
      <c r="CA58" s="69">
        <v>5003</v>
      </c>
      <c r="CB58" s="68">
        <v>229811</v>
      </c>
      <c r="CC58" s="68">
        <v>13</v>
      </c>
      <c r="CD58" s="61"/>
      <c r="CE58" s="64"/>
      <c r="CF58" s="64"/>
      <c r="CG58" s="70">
        <f t="shared" si="0"/>
        <v>9652.0619999999999</v>
      </c>
      <c r="CH58" s="70">
        <f t="shared" si="1"/>
        <v>210.126</v>
      </c>
      <c r="CI58" s="70">
        <f t="shared" si="2"/>
        <v>0.54600000000000004</v>
      </c>
      <c r="CJ58" s="70">
        <f t="shared" si="4"/>
        <v>4260.2700000000004</v>
      </c>
      <c r="CK58" s="70">
        <f t="shared" si="3"/>
        <v>3426.7379999999998</v>
      </c>
      <c r="CL58" s="70">
        <f t="shared" si="5"/>
        <v>0.54600000000000004</v>
      </c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  <c r="DX58" s="61"/>
      <c r="DY58" s="61"/>
      <c r="DZ58" s="61"/>
      <c r="EA58" s="61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61"/>
      <c r="EO58" s="61"/>
      <c r="EP58" s="61"/>
      <c r="EQ58" s="61"/>
      <c r="ER58" s="61"/>
      <c r="ES58" s="61"/>
      <c r="ET58" s="61"/>
      <c r="EU58" s="61"/>
      <c r="EV58" s="61"/>
      <c r="EW58" s="61"/>
    </row>
    <row r="59" spans="1:153">
      <c r="A59" s="56">
        <v>28369</v>
      </c>
      <c r="B59" s="57"/>
      <c r="C59" s="58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8"/>
      <c r="P59" s="60">
        <v>150.93799999999999</v>
      </c>
      <c r="Q59" s="61" t="s">
        <v>121</v>
      </c>
      <c r="R59" s="61">
        <v>151.11000000000001</v>
      </c>
      <c r="S59" s="61">
        <v>328.07499999999999</v>
      </c>
      <c r="T59" s="61">
        <v>173.821</v>
      </c>
      <c r="U59" s="61">
        <v>3.1440000000000001</v>
      </c>
      <c r="V59" s="61" t="s">
        <v>121</v>
      </c>
      <c r="W59" s="61" t="s">
        <v>121</v>
      </c>
      <c r="X59" s="61">
        <v>150.93799999999999</v>
      </c>
      <c r="Y59" s="61">
        <v>0.17199999999999999</v>
      </c>
      <c r="Z59" s="61" t="s">
        <v>121</v>
      </c>
      <c r="AA59" s="61">
        <v>151.11000000000001</v>
      </c>
      <c r="AB59" s="60">
        <v>328.07499999999999</v>
      </c>
      <c r="AC59" s="62"/>
      <c r="AD59" s="61"/>
      <c r="AE59" s="61"/>
      <c r="AF59" s="61"/>
      <c r="AG59" s="61"/>
      <c r="AH59" s="61"/>
      <c r="AI59" s="61"/>
      <c r="AJ59" s="61"/>
      <c r="AK59" s="62"/>
      <c r="AL59" s="63"/>
      <c r="AM59" s="64"/>
      <c r="AN59" s="65" t="e">
        <v>#N/A</v>
      </c>
      <c r="AO59" s="61" t="e">
        <v>#N/A</v>
      </c>
      <c r="AP59" s="61" t="e">
        <v>#N/A</v>
      </c>
      <c r="AQ59" s="61" t="e">
        <v>#N/A</v>
      </c>
      <c r="AR59" s="61" t="e">
        <v>#N/A</v>
      </c>
      <c r="AS59" s="61" t="e">
        <v>#N/A</v>
      </c>
      <c r="AT59" s="61" t="e">
        <v>#N/A</v>
      </c>
      <c r="AU59" s="61" t="e">
        <v>#N/A</v>
      </c>
      <c r="AV59" s="61" t="e">
        <v>#N/A</v>
      </c>
      <c r="AW59" s="61" t="e">
        <v>#N/A</v>
      </c>
      <c r="AX59" s="65" t="e">
        <v>#N/A</v>
      </c>
      <c r="AY59" s="66" t="s">
        <v>121</v>
      </c>
      <c r="AZ59" s="61" t="s">
        <v>121</v>
      </c>
      <c r="BA59" s="61">
        <v>44.53</v>
      </c>
      <c r="BB59" s="61">
        <v>44.53</v>
      </c>
      <c r="BC59" s="61" t="s">
        <v>121</v>
      </c>
      <c r="BD59" s="61" t="s">
        <v>121</v>
      </c>
      <c r="BE59" s="61" t="s">
        <v>121</v>
      </c>
      <c r="BF59" s="61" t="s">
        <v>121</v>
      </c>
      <c r="BG59" s="61">
        <v>0.84499999999999997</v>
      </c>
      <c r="BH59" s="61" t="s">
        <v>121</v>
      </c>
      <c r="BI59" s="61" t="s">
        <v>121</v>
      </c>
      <c r="BJ59" s="61">
        <v>0.84499999999999997</v>
      </c>
      <c r="BK59" s="66">
        <v>0.84499999999999997</v>
      </c>
      <c r="BL59" s="67" t="s">
        <v>121</v>
      </c>
      <c r="BM59" s="61" t="s">
        <v>121</v>
      </c>
      <c r="BN59" s="61" t="s">
        <v>121</v>
      </c>
      <c r="BO59" s="61" t="s">
        <v>121</v>
      </c>
      <c r="BP59" s="61" t="s">
        <v>121</v>
      </c>
      <c r="BQ59" s="61">
        <v>171.392</v>
      </c>
      <c r="BR59" s="61">
        <v>3.1440000000000001</v>
      </c>
      <c r="BS59" s="61" t="s">
        <v>121</v>
      </c>
      <c r="BT59" s="61" t="s">
        <v>121</v>
      </c>
      <c r="BU59" s="61">
        <v>0.255</v>
      </c>
      <c r="BV59" s="61">
        <v>0.17199999999999999</v>
      </c>
      <c r="BW59" s="61">
        <v>0.42699999999999999</v>
      </c>
      <c r="BX59" s="67">
        <v>174.96299999999999</v>
      </c>
      <c r="BY59" s="68">
        <v>99332</v>
      </c>
      <c r="BZ59" s="68">
        <v>81425</v>
      </c>
      <c r="CA59" s="69">
        <v>5061</v>
      </c>
      <c r="CB59" s="68">
        <v>252827</v>
      </c>
      <c r="CC59" s="68">
        <v>17</v>
      </c>
      <c r="CD59" s="61"/>
      <c r="CE59" s="64"/>
      <c r="CF59" s="64"/>
      <c r="CG59" s="70">
        <f t="shared" si="0"/>
        <v>10618.734</v>
      </c>
      <c r="CH59" s="70">
        <f t="shared" si="1"/>
        <v>212.56200000000001</v>
      </c>
      <c r="CI59" s="70">
        <f t="shared" si="2"/>
        <v>0.71399999999999997</v>
      </c>
      <c r="CJ59" s="70">
        <f t="shared" si="4"/>
        <v>4171.9440000000004</v>
      </c>
      <c r="CK59" s="70">
        <f t="shared" si="3"/>
        <v>3419.85</v>
      </c>
      <c r="CL59" s="70">
        <f t="shared" si="5"/>
        <v>0.71399999999999997</v>
      </c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61"/>
      <c r="EP59" s="61"/>
      <c r="EQ59" s="61"/>
      <c r="ER59" s="61"/>
      <c r="ES59" s="61"/>
      <c r="ET59" s="61"/>
      <c r="EU59" s="61"/>
      <c r="EV59" s="61"/>
      <c r="EW59" s="61"/>
    </row>
    <row r="60" spans="1:153">
      <c r="A60" s="56">
        <v>28399</v>
      </c>
      <c r="B60" s="57"/>
      <c r="C60" s="58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8"/>
      <c r="P60" s="60">
        <v>155.99799999999999</v>
      </c>
      <c r="Q60" s="61" t="s">
        <v>121</v>
      </c>
      <c r="R60" s="61">
        <v>156.172</v>
      </c>
      <c r="S60" s="61">
        <v>341.36799999999999</v>
      </c>
      <c r="T60" s="61">
        <v>181.90799999999999</v>
      </c>
      <c r="U60" s="61">
        <v>3.2879999999999998</v>
      </c>
      <c r="V60" s="61" t="s">
        <v>121</v>
      </c>
      <c r="W60" s="61" t="s">
        <v>121</v>
      </c>
      <c r="X60" s="61">
        <v>155.99799999999999</v>
      </c>
      <c r="Y60" s="61">
        <v>0.17399999999999999</v>
      </c>
      <c r="Z60" s="61" t="s">
        <v>121</v>
      </c>
      <c r="AA60" s="61">
        <v>156.172</v>
      </c>
      <c r="AB60" s="60">
        <v>341.36799999999999</v>
      </c>
      <c r="AC60" s="62"/>
      <c r="AD60" s="61"/>
      <c r="AE60" s="61"/>
      <c r="AF60" s="61"/>
      <c r="AG60" s="61"/>
      <c r="AH60" s="61"/>
      <c r="AI60" s="61"/>
      <c r="AJ60" s="61"/>
      <c r="AK60" s="62"/>
      <c r="AL60" s="63"/>
      <c r="AM60" s="64"/>
      <c r="AN60" s="65" t="e">
        <v>#N/A</v>
      </c>
      <c r="AO60" s="61" t="e">
        <v>#N/A</v>
      </c>
      <c r="AP60" s="61" t="e">
        <v>#N/A</v>
      </c>
      <c r="AQ60" s="61" t="e">
        <v>#N/A</v>
      </c>
      <c r="AR60" s="61" t="e">
        <v>#N/A</v>
      </c>
      <c r="AS60" s="61" t="e">
        <v>#N/A</v>
      </c>
      <c r="AT60" s="61" t="e">
        <v>#N/A</v>
      </c>
      <c r="AU60" s="61" t="e">
        <v>#N/A</v>
      </c>
      <c r="AV60" s="61" t="e">
        <v>#N/A</v>
      </c>
      <c r="AW60" s="61" t="e">
        <v>#N/A</v>
      </c>
      <c r="AX60" s="65" t="e">
        <v>#N/A</v>
      </c>
      <c r="AY60" s="66" t="s">
        <v>121</v>
      </c>
      <c r="AZ60" s="61" t="s">
        <v>121</v>
      </c>
      <c r="BA60" s="61">
        <v>46.014000000000003</v>
      </c>
      <c r="BB60" s="61">
        <v>46.014000000000003</v>
      </c>
      <c r="BC60" s="61" t="s">
        <v>121</v>
      </c>
      <c r="BD60" s="61" t="s">
        <v>121</v>
      </c>
      <c r="BE60" s="61" t="s">
        <v>121</v>
      </c>
      <c r="BF60" s="61" t="s">
        <v>121</v>
      </c>
      <c r="BG60" s="61">
        <v>0.874</v>
      </c>
      <c r="BH60" s="61" t="s">
        <v>121</v>
      </c>
      <c r="BI60" s="61" t="s">
        <v>121</v>
      </c>
      <c r="BJ60" s="61">
        <v>0.874</v>
      </c>
      <c r="BK60" s="66">
        <v>0.874</v>
      </c>
      <c r="BL60" s="67" t="s">
        <v>121</v>
      </c>
      <c r="BM60" s="61" t="s">
        <v>121</v>
      </c>
      <c r="BN60" s="61" t="s">
        <v>121</v>
      </c>
      <c r="BO60" s="61" t="s">
        <v>121</v>
      </c>
      <c r="BP60" s="61" t="s">
        <v>121</v>
      </c>
      <c r="BQ60" s="61">
        <v>179.36699999999999</v>
      </c>
      <c r="BR60" s="61">
        <v>3.2879999999999998</v>
      </c>
      <c r="BS60" s="61" t="s">
        <v>121</v>
      </c>
      <c r="BT60" s="61" t="s">
        <v>121</v>
      </c>
      <c r="BU60" s="61">
        <v>0.29199999999999998</v>
      </c>
      <c r="BV60" s="61">
        <v>0.17399999999999999</v>
      </c>
      <c r="BW60" s="61">
        <v>0.46600000000000003</v>
      </c>
      <c r="BX60" s="67">
        <v>183.12</v>
      </c>
      <c r="BY60" s="68">
        <v>104208</v>
      </c>
      <c r="BZ60" s="68">
        <v>94133</v>
      </c>
      <c r="CA60" s="69">
        <v>4645</v>
      </c>
      <c r="CB60" s="68">
        <v>267433</v>
      </c>
      <c r="CC60" s="68">
        <v>170</v>
      </c>
      <c r="CD60" s="61"/>
      <c r="CE60" s="64"/>
      <c r="CF60" s="64"/>
      <c r="CG60" s="70">
        <f t="shared" si="0"/>
        <v>11232.186</v>
      </c>
      <c r="CH60" s="70">
        <f t="shared" si="1"/>
        <v>195.09</v>
      </c>
      <c r="CI60" s="70">
        <f t="shared" si="2"/>
        <v>7.14</v>
      </c>
      <c r="CJ60" s="70">
        <f t="shared" si="4"/>
        <v>4376.7359999999999</v>
      </c>
      <c r="CK60" s="70">
        <f t="shared" si="3"/>
        <v>3953.5859999999998</v>
      </c>
      <c r="CL60" s="70">
        <f t="shared" si="5"/>
        <v>7.14</v>
      </c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61"/>
      <c r="EP60" s="61"/>
      <c r="EQ60" s="61"/>
      <c r="ER60" s="61"/>
      <c r="ES60" s="61"/>
      <c r="ET60" s="61"/>
      <c r="EU60" s="61"/>
      <c r="EV60" s="61"/>
      <c r="EW60" s="61"/>
    </row>
    <row r="61" spans="1:153">
      <c r="A61" s="56">
        <v>28430</v>
      </c>
      <c r="B61" s="57"/>
      <c r="C61" s="58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8"/>
      <c r="P61" s="60">
        <v>150.88800000000001</v>
      </c>
      <c r="Q61" s="61" t="s">
        <v>121</v>
      </c>
      <c r="R61" s="61">
        <v>151</v>
      </c>
      <c r="S61" s="61">
        <v>370.16800000000001</v>
      </c>
      <c r="T61" s="61">
        <v>215.864</v>
      </c>
      <c r="U61" s="61">
        <v>3.3029999999999999</v>
      </c>
      <c r="V61" s="61" t="s">
        <v>121</v>
      </c>
      <c r="W61" s="61" t="s">
        <v>121</v>
      </c>
      <c r="X61" s="61">
        <v>150.88800000000001</v>
      </c>
      <c r="Y61" s="61">
        <v>0.112</v>
      </c>
      <c r="Z61" s="61" t="s">
        <v>121</v>
      </c>
      <c r="AA61" s="61">
        <v>151</v>
      </c>
      <c r="AB61" s="60">
        <v>370.16800000000001</v>
      </c>
      <c r="AC61" s="62"/>
      <c r="AD61" s="61"/>
      <c r="AE61" s="61"/>
      <c r="AF61" s="61"/>
      <c r="AG61" s="61"/>
      <c r="AH61" s="61"/>
      <c r="AI61" s="61"/>
      <c r="AJ61" s="61"/>
      <c r="AK61" s="62"/>
      <c r="AL61" s="63"/>
      <c r="AM61" s="64"/>
      <c r="AN61" s="65" t="e">
        <v>#N/A</v>
      </c>
      <c r="AO61" s="61" t="e">
        <v>#N/A</v>
      </c>
      <c r="AP61" s="61" t="e">
        <v>#N/A</v>
      </c>
      <c r="AQ61" s="61" t="e">
        <v>#N/A</v>
      </c>
      <c r="AR61" s="61" t="e">
        <v>#N/A</v>
      </c>
      <c r="AS61" s="61" t="e">
        <v>#N/A</v>
      </c>
      <c r="AT61" s="61" t="e">
        <v>#N/A</v>
      </c>
      <c r="AU61" s="61" t="e">
        <v>#N/A</v>
      </c>
      <c r="AV61" s="61" t="e">
        <v>#N/A</v>
      </c>
      <c r="AW61" s="61" t="e">
        <v>#N/A</v>
      </c>
      <c r="AX61" s="65" t="e">
        <v>#N/A</v>
      </c>
      <c r="AY61" s="66" t="s">
        <v>121</v>
      </c>
      <c r="AZ61" s="61" t="s">
        <v>121</v>
      </c>
      <c r="BA61" s="61">
        <v>44.53</v>
      </c>
      <c r="BB61" s="61">
        <v>44.53</v>
      </c>
      <c r="BC61" s="61" t="s">
        <v>121</v>
      </c>
      <c r="BD61" s="61" t="s">
        <v>121</v>
      </c>
      <c r="BE61" s="61" t="s">
        <v>121</v>
      </c>
      <c r="BF61" s="61" t="s">
        <v>121</v>
      </c>
      <c r="BG61" s="61">
        <v>0.84499999999999997</v>
      </c>
      <c r="BH61" s="61" t="s">
        <v>121</v>
      </c>
      <c r="BI61" s="61" t="s">
        <v>121</v>
      </c>
      <c r="BJ61" s="61">
        <v>0.84499999999999997</v>
      </c>
      <c r="BK61" s="66">
        <v>0.84499999999999997</v>
      </c>
      <c r="BL61" s="67" t="s">
        <v>121</v>
      </c>
      <c r="BM61" s="61" t="s">
        <v>121</v>
      </c>
      <c r="BN61" s="61" t="s">
        <v>121</v>
      </c>
      <c r="BO61" s="61" t="s">
        <v>121</v>
      </c>
      <c r="BP61" s="61" t="s">
        <v>121</v>
      </c>
      <c r="BQ61" s="61">
        <v>212.84800000000001</v>
      </c>
      <c r="BR61" s="61">
        <v>3.3029999999999999</v>
      </c>
      <c r="BS61" s="61" t="s">
        <v>121</v>
      </c>
      <c r="BT61" s="61" t="s">
        <v>121</v>
      </c>
      <c r="BU61" s="61">
        <v>0.20499999999999999</v>
      </c>
      <c r="BV61" s="61">
        <v>0.112</v>
      </c>
      <c r="BW61" s="61">
        <v>0.317</v>
      </c>
      <c r="BX61" s="67">
        <v>216.46799999999999</v>
      </c>
      <c r="BY61" s="68">
        <v>100178</v>
      </c>
      <c r="BZ61" s="68">
        <v>102619</v>
      </c>
      <c r="CA61" s="69">
        <v>5648</v>
      </c>
      <c r="CB61" s="68">
        <v>270611</v>
      </c>
      <c r="CC61" s="68">
        <v>83</v>
      </c>
      <c r="CD61" s="61"/>
      <c r="CE61" s="64"/>
      <c r="CF61" s="64"/>
      <c r="CG61" s="70">
        <f t="shared" si="0"/>
        <v>11365.662</v>
      </c>
      <c r="CH61" s="70">
        <f t="shared" si="1"/>
        <v>237.21600000000001</v>
      </c>
      <c r="CI61" s="70">
        <f t="shared" si="2"/>
        <v>3.4860000000000002</v>
      </c>
      <c r="CJ61" s="70">
        <f t="shared" si="4"/>
        <v>4207.4759999999997</v>
      </c>
      <c r="CK61" s="70">
        <f t="shared" si="3"/>
        <v>4309.9979999999996</v>
      </c>
      <c r="CL61" s="70">
        <f t="shared" si="5"/>
        <v>3.4860000000000002</v>
      </c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  <c r="DX61" s="61"/>
      <c r="DY61" s="61"/>
      <c r="DZ61" s="61"/>
      <c r="EA61" s="61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61"/>
      <c r="EP61" s="61"/>
      <c r="EQ61" s="61"/>
      <c r="ER61" s="61"/>
      <c r="ES61" s="61"/>
      <c r="ET61" s="61"/>
      <c r="EU61" s="61"/>
      <c r="EV61" s="61"/>
      <c r="EW61" s="61"/>
    </row>
    <row r="62" spans="1:153">
      <c r="A62" s="56">
        <v>28460</v>
      </c>
      <c r="B62" s="57"/>
      <c r="C62" s="58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8"/>
      <c r="P62" s="60">
        <v>155.816</v>
      </c>
      <c r="Q62" s="61" t="s">
        <v>121</v>
      </c>
      <c r="R62" s="61">
        <v>155.935</v>
      </c>
      <c r="S62" s="61">
        <v>400.048</v>
      </c>
      <c r="T62" s="61">
        <v>240.82599999999999</v>
      </c>
      <c r="U62" s="61">
        <v>3.2879999999999998</v>
      </c>
      <c r="V62" s="61" t="s">
        <v>121</v>
      </c>
      <c r="W62" s="61" t="s">
        <v>121</v>
      </c>
      <c r="X62" s="61">
        <v>155.816</v>
      </c>
      <c r="Y62" s="61">
        <v>0.11899999999999999</v>
      </c>
      <c r="Z62" s="61" t="s">
        <v>121</v>
      </c>
      <c r="AA62" s="61">
        <v>155.935</v>
      </c>
      <c r="AB62" s="60">
        <v>400.048</v>
      </c>
      <c r="AC62" s="62"/>
      <c r="AD62" s="61"/>
      <c r="AE62" s="61"/>
      <c r="AF62" s="61"/>
      <c r="AG62" s="61"/>
      <c r="AH62" s="61"/>
      <c r="AI62" s="61"/>
      <c r="AJ62" s="61"/>
      <c r="AK62" s="62"/>
      <c r="AL62" s="63"/>
      <c r="AM62" s="64"/>
      <c r="AN62" s="65" t="e">
        <v>#N/A</v>
      </c>
      <c r="AO62" s="61" t="e">
        <v>#N/A</v>
      </c>
      <c r="AP62" s="61" t="e">
        <v>#N/A</v>
      </c>
      <c r="AQ62" s="61" t="e">
        <v>#N/A</v>
      </c>
      <c r="AR62" s="61" t="e">
        <v>#N/A</v>
      </c>
      <c r="AS62" s="61" t="e">
        <v>#N/A</v>
      </c>
      <c r="AT62" s="61" t="e">
        <v>#N/A</v>
      </c>
      <c r="AU62" s="61" t="e">
        <v>#N/A</v>
      </c>
      <c r="AV62" s="61" t="e">
        <v>#N/A</v>
      </c>
      <c r="AW62" s="61" t="e">
        <v>#N/A</v>
      </c>
      <c r="AX62" s="65" t="e">
        <v>#N/A</v>
      </c>
      <c r="AY62" s="66" t="s">
        <v>121</v>
      </c>
      <c r="AZ62" s="61" t="s">
        <v>121</v>
      </c>
      <c r="BA62" s="61">
        <v>46.014000000000003</v>
      </c>
      <c r="BB62" s="61">
        <v>46.014000000000003</v>
      </c>
      <c r="BC62" s="61" t="s">
        <v>121</v>
      </c>
      <c r="BD62" s="61" t="s">
        <v>121</v>
      </c>
      <c r="BE62" s="61" t="s">
        <v>121</v>
      </c>
      <c r="BF62" s="61" t="s">
        <v>121</v>
      </c>
      <c r="BG62" s="61">
        <v>0.874</v>
      </c>
      <c r="BH62" s="61" t="s">
        <v>121</v>
      </c>
      <c r="BI62" s="61" t="s">
        <v>121</v>
      </c>
      <c r="BJ62" s="61">
        <v>0.874</v>
      </c>
      <c r="BK62" s="66">
        <v>0.874</v>
      </c>
      <c r="BL62" s="67" t="s">
        <v>121</v>
      </c>
      <c r="BM62" s="61" t="s">
        <v>121</v>
      </c>
      <c r="BN62" s="61" t="s">
        <v>121</v>
      </c>
      <c r="BO62" s="61" t="s">
        <v>121</v>
      </c>
      <c r="BP62" s="61" t="s">
        <v>121</v>
      </c>
      <c r="BQ62" s="61">
        <v>237.46100000000001</v>
      </c>
      <c r="BR62" s="61">
        <v>3.2879999999999998</v>
      </c>
      <c r="BS62" s="61" t="s">
        <v>121</v>
      </c>
      <c r="BT62" s="61" t="s">
        <v>121</v>
      </c>
      <c r="BU62" s="61">
        <v>0.11</v>
      </c>
      <c r="BV62" s="61">
        <v>0.11899999999999999</v>
      </c>
      <c r="BW62" s="61">
        <v>0.22900000000000001</v>
      </c>
      <c r="BX62" s="67">
        <v>240.977</v>
      </c>
      <c r="BY62" s="68">
        <v>103000</v>
      </c>
      <c r="BZ62" s="68">
        <v>130365</v>
      </c>
      <c r="CA62" s="69">
        <v>7040</v>
      </c>
      <c r="CB62" s="68">
        <v>250295</v>
      </c>
      <c r="CC62" s="68">
        <v>51</v>
      </c>
      <c r="CD62" s="61"/>
      <c r="CE62" s="64"/>
      <c r="CF62" s="64"/>
      <c r="CG62" s="70">
        <f t="shared" si="0"/>
        <v>10512.39</v>
      </c>
      <c r="CH62" s="70">
        <f t="shared" si="1"/>
        <v>295.68</v>
      </c>
      <c r="CI62" s="70">
        <f t="shared" si="2"/>
        <v>2.1419999999999999</v>
      </c>
      <c r="CJ62" s="70">
        <f t="shared" si="4"/>
        <v>4326</v>
      </c>
      <c r="CK62" s="70">
        <f t="shared" si="3"/>
        <v>5475.33</v>
      </c>
      <c r="CL62" s="70">
        <f t="shared" si="5"/>
        <v>2.1419999999999999</v>
      </c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  <c r="DO62" s="61"/>
      <c r="DP62" s="61"/>
      <c r="DQ62" s="61"/>
      <c r="DR62" s="61"/>
      <c r="DS62" s="61"/>
      <c r="DT62" s="61"/>
      <c r="DU62" s="61"/>
      <c r="DV62" s="61"/>
      <c r="DW62" s="61"/>
      <c r="DX62" s="61"/>
      <c r="DY62" s="61"/>
      <c r="DZ62" s="61"/>
      <c r="EA62" s="61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61"/>
      <c r="EO62" s="61"/>
      <c r="EP62" s="61"/>
      <c r="EQ62" s="61"/>
      <c r="ER62" s="61"/>
      <c r="ES62" s="61"/>
      <c r="ET62" s="61"/>
      <c r="EU62" s="61"/>
      <c r="EV62" s="61"/>
      <c r="EW62" s="61"/>
    </row>
    <row r="63" spans="1:153">
      <c r="A63" s="56">
        <v>28491</v>
      </c>
      <c r="B63" s="57"/>
      <c r="C63" s="58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8"/>
      <c r="P63" s="60">
        <v>173.005</v>
      </c>
      <c r="Q63" s="61" t="s">
        <v>121</v>
      </c>
      <c r="R63" s="61">
        <v>173.12799999999999</v>
      </c>
      <c r="S63" s="61">
        <v>438.983</v>
      </c>
      <c r="T63" s="61">
        <v>262.529</v>
      </c>
      <c r="U63" s="61">
        <v>3.3260000000000001</v>
      </c>
      <c r="V63" s="61" t="s">
        <v>121</v>
      </c>
      <c r="W63" s="61" t="s">
        <v>121</v>
      </c>
      <c r="X63" s="61">
        <v>173.005</v>
      </c>
      <c r="Y63" s="61">
        <v>0.123</v>
      </c>
      <c r="Z63" s="61" t="s">
        <v>121</v>
      </c>
      <c r="AA63" s="61">
        <v>173.12799999999999</v>
      </c>
      <c r="AB63" s="60">
        <v>438.983</v>
      </c>
      <c r="AC63" s="62"/>
      <c r="AD63" s="61"/>
      <c r="AE63" s="61"/>
      <c r="AF63" s="61"/>
      <c r="AG63" s="61"/>
      <c r="AH63" s="61"/>
      <c r="AI63" s="61"/>
      <c r="AJ63" s="61"/>
      <c r="AK63" s="62"/>
      <c r="AL63" s="63"/>
      <c r="AM63" s="64"/>
      <c r="AN63" s="65" t="e">
        <v>#N/A</v>
      </c>
      <c r="AO63" s="61" t="e">
        <v>#N/A</v>
      </c>
      <c r="AP63" s="61" t="e">
        <v>#N/A</v>
      </c>
      <c r="AQ63" s="61" t="e">
        <v>#N/A</v>
      </c>
      <c r="AR63" s="61" t="e">
        <v>#N/A</v>
      </c>
      <c r="AS63" s="61" t="e">
        <v>#N/A</v>
      </c>
      <c r="AT63" s="61" t="e">
        <v>#N/A</v>
      </c>
      <c r="AU63" s="61" t="e">
        <v>#N/A</v>
      </c>
      <c r="AV63" s="61" t="e">
        <v>#N/A</v>
      </c>
      <c r="AW63" s="61" t="e">
        <v>#N/A</v>
      </c>
      <c r="AX63" s="65" t="e">
        <v>#N/A</v>
      </c>
      <c r="AY63" s="66" t="s">
        <v>121</v>
      </c>
      <c r="AZ63" s="61" t="s">
        <v>121</v>
      </c>
      <c r="BA63" s="61">
        <v>52.814999999999998</v>
      </c>
      <c r="BB63" s="61">
        <v>52.814999999999998</v>
      </c>
      <c r="BC63" s="61" t="s">
        <v>121</v>
      </c>
      <c r="BD63" s="61" t="s">
        <v>121</v>
      </c>
      <c r="BE63" s="61" t="s">
        <v>121</v>
      </c>
      <c r="BF63" s="61" t="s">
        <v>121</v>
      </c>
      <c r="BG63" s="61">
        <v>1.0049999999999999</v>
      </c>
      <c r="BH63" s="61" t="s">
        <v>121</v>
      </c>
      <c r="BI63" s="61" t="s">
        <v>121</v>
      </c>
      <c r="BJ63" s="61">
        <v>1.0049999999999999</v>
      </c>
      <c r="BK63" s="66">
        <v>1.0049999999999999</v>
      </c>
      <c r="BL63" s="67" t="s">
        <v>121</v>
      </c>
      <c r="BM63" s="61" t="s">
        <v>121</v>
      </c>
      <c r="BN63" s="61" t="s">
        <v>121</v>
      </c>
      <c r="BO63" s="61" t="s">
        <v>121</v>
      </c>
      <c r="BP63" s="61" t="s">
        <v>121</v>
      </c>
      <c r="BQ63" s="61">
        <v>259.70800000000003</v>
      </c>
      <c r="BR63" s="61">
        <v>3.3260000000000001</v>
      </c>
      <c r="BS63" s="61" t="s">
        <v>121</v>
      </c>
      <c r="BT63" s="61" t="s">
        <v>121</v>
      </c>
      <c r="BU63" s="61">
        <v>0.245</v>
      </c>
      <c r="BV63" s="61">
        <v>0.123</v>
      </c>
      <c r="BW63" s="61">
        <v>0.36799999999999999</v>
      </c>
      <c r="BX63" s="67">
        <v>263.40199999999999</v>
      </c>
      <c r="BY63" s="68">
        <v>95081</v>
      </c>
      <c r="BZ63" s="68">
        <v>138203</v>
      </c>
      <c r="CA63" s="69">
        <v>6070</v>
      </c>
      <c r="CB63" s="68">
        <v>213278</v>
      </c>
      <c r="CC63" s="68">
        <v>20</v>
      </c>
      <c r="CD63" s="61"/>
      <c r="CE63" s="64"/>
      <c r="CF63" s="64"/>
      <c r="CG63" s="70">
        <f t="shared" si="0"/>
        <v>8957.6759999999995</v>
      </c>
      <c r="CH63" s="70">
        <f t="shared" si="1"/>
        <v>254.94</v>
      </c>
      <c r="CI63" s="70">
        <f t="shared" si="2"/>
        <v>0.84</v>
      </c>
      <c r="CJ63" s="70">
        <f t="shared" si="4"/>
        <v>3993.402</v>
      </c>
      <c r="CK63" s="70">
        <f t="shared" si="3"/>
        <v>5804.5259999999998</v>
      </c>
      <c r="CL63" s="70">
        <f t="shared" si="5"/>
        <v>0.84</v>
      </c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  <c r="DL63" s="61"/>
      <c r="DM63" s="61"/>
      <c r="DN63" s="61"/>
      <c r="DO63" s="61"/>
      <c r="DP63" s="61"/>
      <c r="DQ63" s="61"/>
      <c r="DR63" s="61"/>
      <c r="DS63" s="61"/>
      <c r="DT63" s="61"/>
      <c r="DU63" s="61"/>
      <c r="DV63" s="61"/>
      <c r="DW63" s="61"/>
      <c r="DX63" s="61"/>
      <c r="DY63" s="61"/>
      <c r="DZ63" s="61"/>
      <c r="EA63" s="61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61"/>
      <c r="EO63" s="61"/>
      <c r="EP63" s="61"/>
      <c r="EQ63" s="61"/>
      <c r="ER63" s="61"/>
      <c r="ES63" s="61"/>
      <c r="ET63" s="61"/>
      <c r="EU63" s="61"/>
      <c r="EV63" s="61"/>
      <c r="EW63" s="61"/>
    </row>
    <row r="64" spans="1:153">
      <c r="A64" s="56">
        <v>28522</v>
      </c>
      <c r="B64" s="57"/>
      <c r="C64" s="58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8"/>
      <c r="P64" s="60">
        <v>156.27699999999999</v>
      </c>
      <c r="Q64" s="61" t="s">
        <v>121</v>
      </c>
      <c r="R64" s="61">
        <v>156.387</v>
      </c>
      <c r="S64" s="61">
        <v>391.86599999999999</v>
      </c>
      <c r="T64" s="61">
        <v>232.625</v>
      </c>
      <c r="U64" s="61">
        <v>2.8540000000000001</v>
      </c>
      <c r="V64" s="61" t="s">
        <v>121</v>
      </c>
      <c r="W64" s="61" t="s">
        <v>121</v>
      </c>
      <c r="X64" s="61">
        <v>156.27699999999999</v>
      </c>
      <c r="Y64" s="61">
        <v>0.11</v>
      </c>
      <c r="Z64" s="61" t="s">
        <v>121</v>
      </c>
      <c r="AA64" s="61">
        <v>156.387</v>
      </c>
      <c r="AB64" s="60">
        <v>391.86599999999999</v>
      </c>
      <c r="AC64" s="62"/>
      <c r="AD64" s="61"/>
      <c r="AE64" s="61"/>
      <c r="AF64" s="61"/>
      <c r="AG64" s="61"/>
      <c r="AH64" s="61"/>
      <c r="AI64" s="61"/>
      <c r="AJ64" s="61"/>
      <c r="AK64" s="62"/>
      <c r="AL64" s="63"/>
      <c r="AM64" s="64"/>
      <c r="AN64" s="65" t="e">
        <v>#N/A</v>
      </c>
      <c r="AO64" s="61" t="e">
        <v>#N/A</v>
      </c>
      <c r="AP64" s="61" t="e">
        <v>#N/A</v>
      </c>
      <c r="AQ64" s="61" t="e">
        <v>#N/A</v>
      </c>
      <c r="AR64" s="61" t="e">
        <v>#N/A</v>
      </c>
      <c r="AS64" s="61" t="e">
        <v>#N/A</v>
      </c>
      <c r="AT64" s="61" t="e">
        <v>#N/A</v>
      </c>
      <c r="AU64" s="61" t="e">
        <v>#N/A</v>
      </c>
      <c r="AV64" s="61" t="e">
        <v>#N/A</v>
      </c>
      <c r="AW64" s="61" t="e">
        <v>#N/A</v>
      </c>
      <c r="AX64" s="65" t="e">
        <v>#N/A</v>
      </c>
      <c r="AY64" s="66" t="s">
        <v>121</v>
      </c>
      <c r="AZ64" s="61" t="s">
        <v>121</v>
      </c>
      <c r="BA64" s="61">
        <v>47.703000000000003</v>
      </c>
      <c r="BB64" s="61">
        <v>47.703000000000003</v>
      </c>
      <c r="BC64" s="61" t="s">
        <v>121</v>
      </c>
      <c r="BD64" s="61" t="s">
        <v>121</v>
      </c>
      <c r="BE64" s="61" t="s">
        <v>121</v>
      </c>
      <c r="BF64" s="61" t="s">
        <v>121</v>
      </c>
      <c r="BG64" s="61">
        <v>0.90800000000000003</v>
      </c>
      <c r="BH64" s="61" t="s">
        <v>121</v>
      </c>
      <c r="BI64" s="61" t="s">
        <v>121</v>
      </c>
      <c r="BJ64" s="61">
        <v>0.90800000000000003</v>
      </c>
      <c r="BK64" s="66">
        <v>0.90800000000000003</v>
      </c>
      <c r="BL64" s="67" t="s">
        <v>121</v>
      </c>
      <c r="BM64" s="61" t="s">
        <v>121</v>
      </c>
      <c r="BN64" s="61" t="s">
        <v>121</v>
      </c>
      <c r="BO64" s="61" t="s">
        <v>121</v>
      </c>
      <c r="BP64" s="61" t="s">
        <v>121</v>
      </c>
      <c r="BQ64" s="61">
        <v>230.125</v>
      </c>
      <c r="BR64" s="61">
        <v>2.8540000000000001</v>
      </c>
      <c r="BS64" s="61" t="s">
        <v>121</v>
      </c>
      <c r="BT64" s="61" t="s">
        <v>121</v>
      </c>
      <c r="BU64" s="61">
        <v>0.23599999999999999</v>
      </c>
      <c r="BV64" s="61">
        <v>0.11</v>
      </c>
      <c r="BW64" s="61">
        <v>0.34599999999999997</v>
      </c>
      <c r="BX64" s="67">
        <v>233.32499999999999</v>
      </c>
      <c r="BY64" s="68">
        <v>82653</v>
      </c>
      <c r="BZ64" s="68">
        <v>135754</v>
      </c>
      <c r="CA64" s="69">
        <v>5942</v>
      </c>
      <c r="CB64" s="68">
        <v>165731</v>
      </c>
      <c r="CC64" s="68">
        <v>440</v>
      </c>
      <c r="CD64" s="61"/>
      <c r="CE64" s="64"/>
      <c r="CF64" s="64"/>
      <c r="CG64" s="70">
        <f t="shared" si="0"/>
        <v>6960.7020000000002</v>
      </c>
      <c r="CH64" s="70">
        <f t="shared" si="1"/>
        <v>249.56399999999999</v>
      </c>
      <c r="CI64" s="70">
        <f t="shared" si="2"/>
        <v>18.48</v>
      </c>
      <c r="CJ64" s="70">
        <f t="shared" si="4"/>
        <v>3471.4259999999999</v>
      </c>
      <c r="CK64" s="70">
        <f t="shared" si="3"/>
        <v>5701.6679999999997</v>
      </c>
      <c r="CL64" s="70">
        <f t="shared" si="5"/>
        <v>18.48</v>
      </c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61"/>
      <c r="DT64" s="61"/>
      <c r="DU64" s="61"/>
      <c r="DV64" s="61"/>
      <c r="DW64" s="61"/>
      <c r="DX64" s="61"/>
      <c r="DY64" s="61"/>
      <c r="DZ64" s="61"/>
      <c r="EA64" s="61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61"/>
      <c r="EO64" s="61"/>
      <c r="EP64" s="61"/>
      <c r="EQ64" s="61"/>
      <c r="ER64" s="61"/>
      <c r="ES64" s="61"/>
      <c r="ET64" s="61"/>
      <c r="EU64" s="61"/>
      <c r="EV64" s="61"/>
      <c r="EW64" s="61"/>
    </row>
    <row r="65" spans="1:153">
      <c r="A65" s="56">
        <v>28550</v>
      </c>
      <c r="B65" s="57"/>
      <c r="C65" s="58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8"/>
      <c r="P65" s="60">
        <v>173.02600000000001</v>
      </c>
      <c r="Q65" s="61" t="s">
        <v>121</v>
      </c>
      <c r="R65" s="61">
        <v>173.136</v>
      </c>
      <c r="S65" s="61">
        <v>433.459</v>
      </c>
      <c r="T65" s="61">
        <v>257.96499999999997</v>
      </c>
      <c r="U65" s="61">
        <v>2.359</v>
      </c>
      <c r="V65" s="61" t="s">
        <v>121</v>
      </c>
      <c r="W65" s="61" t="s">
        <v>121</v>
      </c>
      <c r="X65" s="61">
        <v>173.02600000000001</v>
      </c>
      <c r="Y65" s="61">
        <v>0.11</v>
      </c>
      <c r="Z65" s="61" t="s">
        <v>121</v>
      </c>
      <c r="AA65" s="61">
        <v>173.136</v>
      </c>
      <c r="AB65" s="60">
        <v>433.459</v>
      </c>
      <c r="AC65" s="62"/>
      <c r="AD65" s="61"/>
      <c r="AE65" s="61"/>
      <c r="AF65" s="61"/>
      <c r="AG65" s="61"/>
      <c r="AH65" s="61"/>
      <c r="AI65" s="61"/>
      <c r="AJ65" s="61"/>
      <c r="AK65" s="62"/>
      <c r="AL65" s="63"/>
      <c r="AM65" s="64"/>
      <c r="AN65" s="65" t="e">
        <v>#N/A</v>
      </c>
      <c r="AO65" s="61" t="e">
        <v>#N/A</v>
      </c>
      <c r="AP65" s="61" t="e">
        <v>#N/A</v>
      </c>
      <c r="AQ65" s="61" t="e">
        <v>#N/A</v>
      </c>
      <c r="AR65" s="61" t="e">
        <v>#N/A</v>
      </c>
      <c r="AS65" s="61" t="e">
        <v>#N/A</v>
      </c>
      <c r="AT65" s="61" t="e">
        <v>#N/A</v>
      </c>
      <c r="AU65" s="61" t="e">
        <v>#N/A</v>
      </c>
      <c r="AV65" s="61" t="e">
        <v>#N/A</v>
      </c>
      <c r="AW65" s="61" t="e">
        <v>#N/A</v>
      </c>
      <c r="AX65" s="65" t="e">
        <v>#N/A</v>
      </c>
      <c r="AY65" s="66" t="s">
        <v>121</v>
      </c>
      <c r="AZ65" s="61" t="s">
        <v>121</v>
      </c>
      <c r="BA65" s="61">
        <v>52.814999999999998</v>
      </c>
      <c r="BB65" s="61">
        <v>52.814999999999998</v>
      </c>
      <c r="BC65" s="61" t="s">
        <v>121</v>
      </c>
      <c r="BD65" s="61" t="s">
        <v>121</v>
      </c>
      <c r="BE65" s="61" t="s">
        <v>121</v>
      </c>
      <c r="BF65" s="61" t="s">
        <v>121</v>
      </c>
      <c r="BG65" s="61">
        <v>1.0049999999999999</v>
      </c>
      <c r="BH65" s="61" t="s">
        <v>121</v>
      </c>
      <c r="BI65" s="61" t="s">
        <v>121</v>
      </c>
      <c r="BJ65" s="61">
        <v>1.0049999999999999</v>
      </c>
      <c r="BK65" s="66">
        <v>1.0049999999999999</v>
      </c>
      <c r="BL65" s="67" t="s">
        <v>121</v>
      </c>
      <c r="BM65" s="61" t="s">
        <v>121</v>
      </c>
      <c r="BN65" s="61" t="s">
        <v>121</v>
      </c>
      <c r="BO65" s="61" t="s">
        <v>121</v>
      </c>
      <c r="BP65" s="61" t="s">
        <v>121</v>
      </c>
      <c r="BQ65" s="61">
        <v>255.19200000000001</v>
      </c>
      <c r="BR65" s="61">
        <v>2.359</v>
      </c>
      <c r="BS65" s="61" t="s">
        <v>121</v>
      </c>
      <c r="BT65" s="61" t="s">
        <v>121</v>
      </c>
      <c r="BU65" s="61">
        <v>0.26600000000000001</v>
      </c>
      <c r="BV65" s="61">
        <v>0.11</v>
      </c>
      <c r="BW65" s="61">
        <v>0.376</v>
      </c>
      <c r="BX65" s="67">
        <v>257.92700000000002</v>
      </c>
      <c r="BY65" s="68">
        <v>93450</v>
      </c>
      <c r="BZ65" s="68">
        <v>127345</v>
      </c>
      <c r="CA65" s="69">
        <v>5973</v>
      </c>
      <c r="CB65" s="68">
        <v>137864</v>
      </c>
      <c r="CC65" s="68">
        <v>3</v>
      </c>
      <c r="CD65" s="61"/>
      <c r="CE65" s="64"/>
      <c r="CF65" s="64"/>
      <c r="CG65" s="70">
        <f t="shared" si="0"/>
        <v>5790.2879999999996</v>
      </c>
      <c r="CH65" s="70">
        <f t="shared" si="1"/>
        <v>250.86600000000001</v>
      </c>
      <c r="CI65" s="70">
        <f t="shared" si="2"/>
        <v>0.126</v>
      </c>
      <c r="CJ65" s="70">
        <f t="shared" si="4"/>
        <v>3924.9</v>
      </c>
      <c r="CK65" s="70">
        <f t="shared" si="3"/>
        <v>5348.49</v>
      </c>
      <c r="CL65" s="70">
        <f t="shared" si="5"/>
        <v>0.126</v>
      </c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  <c r="DL65" s="61"/>
      <c r="DM65" s="61"/>
      <c r="DN65" s="61"/>
      <c r="DO65" s="61"/>
      <c r="DP65" s="61"/>
      <c r="DQ65" s="61"/>
      <c r="DR65" s="61"/>
      <c r="DS65" s="61"/>
      <c r="DT65" s="61"/>
      <c r="DU65" s="61"/>
      <c r="DV65" s="61"/>
      <c r="DW65" s="61"/>
      <c r="DX65" s="61"/>
      <c r="DY65" s="61"/>
      <c r="DZ65" s="61"/>
      <c r="EA65" s="61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61"/>
      <c r="EO65" s="61"/>
      <c r="EP65" s="61"/>
      <c r="EQ65" s="61"/>
      <c r="ER65" s="61"/>
      <c r="ES65" s="61"/>
      <c r="ET65" s="61"/>
      <c r="EU65" s="61"/>
      <c r="EV65" s="61"/>
      <c r="EW65" s="61"/>
    </row>
    <row r="66" spans="1:153">
      <c r="A66" s="56">
        <v>28581</v>
      </c>
      <c r="B66" s="57"/>
      <c r="C66" s="58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8"/>
      <c r="P66" s="60">
        <v>167.244</v>
      </c>
      <c r="Q66" s="61" t="s">
        <v>121</v>
      </c>
      <c r="R66" s="61">
        <v>167.34899999999999</v>
      </c>
      <c r="S66" s="61">
        <v>434.37900000000002</v>
      </c>
      <c r="T66" s="61">
        <v>265.041</v>
      </c>
      <c r="U66" s="61">
        <v>1.9890000000000001</v>
      </c>
      <c r="V66" s="61" t="s">
        <v>121</v>
      </c>
      <c r="W66" s="61" t="s">
        <v>121</v>
      </c>
      <c r="X66" s="61">
        <v>167.244</v>
      </c>
      <c r="Y66" s="61">
        <v>0.105</v>
      </c>
      <c r="Z66" s="61" t="s">
        <v>121</v>
      </c>
      <c r="AA66" s="61">
        <v>167.34899999999999</v>
      </c>
      <c r="AB66" s="60">
        <v>434.37900000000002</v>
      </c>
      <c r="AC66" s="62"/>
      <c r="AD66" s="61"/>
      <c r="AE66" s="61"/>
      <c r="AF66" s="61"/>
      <c r="AG66" s="61"/>
      <c r="AH66" s="61"/>
      <c r="AI66" s="61"/>
      <c r="AJ66" s="61"/>
      <c r="AK66" s="62"/>
      <c r="AL66" s="63"/>
      <c r="AM66" s="64"/>
      <c r="AN66" s="65" t="e">
        <v>#N/A</v>
      </c>
      <c r="AO66" s="61" t="e">
        <v>#N/A</v>
      </c>
      <c r="AP66" s="61" t="e">
        <v>#N/A</v>
      </c>
      <c r="AQ66" s="61" t="e">
        <v>#N/A</v>
      </c>
      <c r="AR66" s="61" t="e">
        <v>#N/A</v>
      </c>
      <c r="AS66" s="61" t="e">
        <v>#N/A</v>
      </c>
      <c r="AT66" s="61" t="e">
        <v>#N/A</v>
      </c>
      <c r="AU66" s="61" t="e">
        <v>#N/A</v>
      </c>
      <c r="AV66" s="61" t="e">
        <v>#N/A</v>
      </c>
      <c r="AW66" s="61" t="e">
        <v>#N/A</v>
      </c>
      <c r="AX66" s="65" t="e">
        <v>#N/A</v>
      </c>
      <c r="AY66" s="66" t="s">
        <v>121</v>
      </c>
      <c r="AZ66" s="61" t="s">
        <v>121</v>
      </c>
      <c r="BA66" s="61">
        <v>51.110999999999997</v>
      </c>
      <c r="BB66" s="61">
        <v>51.110999999999997</v>
      </c>
      <c r="BC66" s="61" t="s">
        <v>121</v>
      </c>
      <c r="BD66" s="61" t="s">
        <v>121</v>
      </c>
      <c r="BE66" s="61" t="s">
        <v>121</v>
      </c>
      <c r="BF66" s="61" t="s">
        <v>121</v>
      </c>
      <c r="BG66" s="61">
        <v>0.97299999999999998</v>
      </c>
      <c r="BH66" s="61" t="s">
        <v>121</v>
      </c>
      <c r="BI66" s="61" t="s">
        <v>121</v>
      </c>
      <c r="BJ66" s="61">
        <v>0.97299999999999998</v>
      </c>
      <c r="BK66" s="66">
        <v>0.97299999999999998</v>
      </c>
      <c r="BL66" s="67" t="s">
        <v>121</v>
      </c>
      <c r="BM66" s="61" t="s">
        <v>121</v>
      </c>
      <c r="BN66" s="61" t="s">
        <v>121</v>
      </c>
      <c r="BO66" s="61" t="s">
        <v>121</v>
      </c>
      <c r="BP66" s="61" t="s">
        <v>121</v>
      </c>
      <c r="BQ66" s="61">
        <v>262.19200000000001</v>
      </c>
      <c r="BR66" s="61">
        <v>1.9890000000000001</v>
      </c>
      <c r="BS66" s="61" t="s">
        <v>121</v>
      </c>
      <c r="BT66" s="61" t="s">
        <v>121</v>
      </c>
      <c r="BU66" s="61">
        <v>5.7000000000000002E-2</v>
      </c>
      <c r="BV66" s="61">
        <v>0.105</v>
      </c>
      <c r="BW66" s="61">
        <v>0.16200000000000001</v>
      </c>
      <c r="BX66" s="67">
        <v>264.34300000000002</v>
      </c>
      <c r="BY66" s="68">
        <v>88773</v>
      </c>
      <c r="BZ66" s="68">
        <v>93342</v>
      </c>
      <c r="CA66" s="69">
        <v>2992</v>
      </c>
      <c r="CB66" s="68">
        <v>136182</v>
      </c>
      <c r="CC66" s="68">
        <v>166</v>
      </c>
      <c r="CD66" s="61"/>
      <c r="CE66" s="64"/>
      <c r="CF66" s="64"/>
      <c r="CG66" s="70">
        <f t="shared" si="0"/>
        <v>5719.6440000000002</v>
      </c>
      <c r="CH66" s="70">
        <f t="shared" si="1"/>
        <v>125.664</v>
      </c>
      <c r="CI66" s="70">
        <f t="shared" si="2"/>
        <v>6.9720000000000004</v>
      </c>
      <c r="CJ66" s="70">
        <f t="shared" si="4"/>
        <v>3728.4659999999999</v>
      </c>
      <c r="CK66" s="70">
        <f t="shared" si="3"/>
        <v>3920.364</v>
      </c>
      <c r="CL66" s="70">
        <f t="shared" si="5"/>
        <v>6.9720000000000004</v>
      </c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61"/>
      <c r="DK66" s="61"/>
      <c r="DL66" s="61"/>
      <c r="DM66" s="61"/>
      <c r="DN66" s="61"/>
      <c r="DO66" s="61"/>
      <c r="DP66" s="61"/>
      <c r="DQ66" s="61"/>
      <c r="DR66" s="61"/>
      <c r="DS66" s="61"/>
      <c r="DT66" s="61"/>
      <c r="DU66" s="61"/>
      <c r="DV66" s="61"/>
      <c r="DW66" s="61"/>
      <c r="DX66" s="61"/>
      <c r="DY66" s="61"/>
      <c r="DZ66" s="61"/>
      <c r="EA66" s="61"/>
      <c r="EB66" s="61"/>
      <c r="EC66" s="61"/>
      <c r="ED66" s="61"/>
      <c r="EE66" s="61"/>
      <c r="EF66" s="61"/>
      <c r="EG66" s="61"/>
      <c r="EH66" s="61"/>
      <c r="EI66" s="61"/>
      <c r="EJ66" s="61"/>
      <c r="EK66" s="61"/>
      <c r="EL66" s="61"/>
      <c r="EM66" s="61"/>
      <c r="EN66" s="61"/>
      <c r="EO66" s="61"/>
      <c r="EP66" s="61"/>
      <c r="EQ66" s="61"/>
      <c r="ER66" s="61"/>
      <c r="ES66" s="61"/>
      <c r="ET66" s="61"/>
      <c r="EU66" s="61"/>
      <c r="EV66" s="61"/>
      <c r="EW66" s="61"/>
    </row>
    <row r="67" spans="1:153">
      <c r="A67" s="56">
        <v>28611</v>
      </c>
      <c r="B67" s="57"/>
      <c r="C67" s="58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8"/>
      <c r="P67" s="60">
        <v>172.80600000000001</v>
      </c>
      <c r="Q67" s="61" t="s">
        <v>121</v>
      </c>
      <c r="R67" s="61">
        <v>172.923</v>
      </c>
      <c r="S67" s="61">
        <v>475.88299999999998</v>
      </c>
      <c r="T67" s="61">
        <v>301.18799999999999</v>
      </c>
      <c r="U67" s="61">
        <v>1.772</v>
      </c>
      <c r="V67" s="61" t="s">
        <v>121</v>
      </c>
      <c r="W67" s="61" t="s">
        <v>121</v>
      </c>
      <c r="X67" s="61">
        <v>172.80600000000001</v>
      </c>
      <c r="Y67" s="61">
        <v>0.11700000000000001</v>
      </c>
      <c r="Z67" s="61" t="s">
        <v>121</v>
      </c>
      <c r="AA67" s="61">
        <v>172.923</v>
      </c>
      <c r="AB67" s="60">
        <v>475.88299999999998</v>
      </c>
      <c r="AC67" s="62"/>
      <c r="AD67" s="61"/>
      <c r="AE67" s="61"/>
      <c r="AF67" s="61"/>
      <c r="AG67" s="61"/>
      <c r="AH67" s="61"/>
      <c r="AI67" s="61"/>
      <c r="AJ67" s="61"/>
      <c r="AK67" s="62"/>
      <c r="AL67" s="63"/>
      <c r="AM67" s="64"/>
      <c r="AN67" s="65" t="e">
        <v>#N/A</v>
      </c>
      <c r="AO67" s="61" t="e">
        <v>#N/A</v>
      </c>
      <c r="AP67" s="61" t="e">
        <v>#N/A</v>
      </c>
      <c r="AQ67" s="61" t="e">
        <v>#N/A</v>
      </c>
      <c r="AR67" s="61" t="e">
        <v>#N/A</v>
      </c>
      <c r="AS67" s="61" t="e">
        <v>#N/A</v>
      </c>
      <c r="AT67" s="61" t="e">
        <v>#N/A</v>
      </c>
      <c r="AU67" s="61" t="e">
        <v>#N/A</v>
      </c>
      <c r="AV67" s="61" t="e">
        <v>#N/A</v>
      </c>
      <c r="AW67" s="61" t="e">
        <v>#N/A</v>
      </c>
      <c r="AX67" s="65" t="e">
        <v>#N/A</v>
      </c>
      <c r="AY67" s="66" t="s">
        <v>121</v>
      </c>
      <c r="AZ67" s="61" t="s">
        <v>121</v>
      </c>
      <c r="BA67" s="61">
        <v>52.814999999999998</v>
      </c>
      <c r="BB67" s="61">
        <v>52.814999999999998</v>
      </c>
      <c r="BC67" s="61" t="s">
        <v>121</v>
      </c>
      <c r="BD67" s="61" t="s">
        <v>121</v>
      </c>
      <c r="BE67" s="61" t="s">
        <v>121</v>
      </c>
      <c r="BF67" s="61" t="s">
        <v>121</v>
      </c>
      <c r="BG67" s="61">
        <v>1.0049999999999999</v>
      </c>
      <c r="BH67" s="61" t="s">
        <v>121</v>
      </c>
      <c r="BI67" s="61" t="s">
        <v>121</v>
      </c>
      <c r="BJ67" s="61">
        <v>1.0049999999999999</v>
      </c>
      <c r="BK67" s="66">
        <v>1.0049999999999999</v>
      </c>
      <c r="BL67" s="67" t="s">
        <v>121</v>
      </c>
      <c r="BM67" s="61" t="s">
        <v>121</v>
      </c>
      <c r="BN67" s="61" t="s">
        <v>121</v>
      </c>
      <c r="BO67" s="61" t="s">
        <v>121</v>
      </c>
      <c r="BP67" s="61" t="s">
        <v>121</v>
      </c>
      <c r="BQ67" s="61">
        <v>297.95100000000002</v>
      </c>
      <c r="BR67" s="61">
        <v>1.772</v>
      </c>
      <c r="BS67" s="61" t="s">
        <v>121</v>
      </c>
      <c r="BT67" s="61" t="s">
        <v>121</v>
      </c>
      <c r="BU67" s="61">
        <v>4.7E-2</v>
      </c>
      <c r="BV67" s="61">
        <v>0.11700000000000001</v>
      </c>
      <c r="BW67" s="61">
        <v>0.16300000000000001</v>
      </c>
      <c r="BX67" s="67">
        <v>299.88600000000002</v>
      </c>
      <c r="BY67" s="68">
        <v>100754</v>
      </c>
      <c r="BZ67" s="68">
        <v>96204</v>
      </c>
      <c r="CA67" s="69">
        <v>3884</v>
      </c>
      <c r="CB67" s="68">
        <v>144648</v>
      </c>
      <c r="CC67" s="68">
        <v>19</v>
      </c>
      <c r="CD67" s="61"/>
      <c r="CE67" s="64"/>
      <c r="CF67" s="64"/>
      <c r="CG67" s="70">
        <f t="shared" ref="CG67:CG130" si="6">CB67*42/1000</f>
        <v>6075.2160000000003</v>
      </c>
      <c r="CH67" s="70">
        <f t="shared" ref="CH67:CH130" si="7">CA67*42/1000</f>
        <v>163.12799999999999</v>
      </c>
      <c r="CI67" s="70">
        <f t="shared" ref="CI67:CI130" si="8">CC67*42/1000</f>
        <v>0.79800000000000004</v>
      </c>
      <c r="CJ67" s="70">
        <f t="shared" si="4"/>
        <v>4231.6679999999997</v>
      </c>
      <c r="CK67" s="70">
        <f t="shared" si="4"/>
        <v>4040.5680000000002</v>
      </c>
      <c r="CL67" s="70">
        <f t="shared" si="5"/>
        <v>0.79800000000000004</v>
      </c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  <c r="DI67" s="61"/>
      <c r="DJ67" s="61"/>
      <c r="DK67" s="61"/>
      <c r="DL67" s="61"/>
      <c r="DM67" s="61"/>
      <c r="DN67" s="61"/>
      <c r="DO67" s="61"/>
      <c r="DP67" s="61"/>
      <c r="DQ67" s="61"/>
      <c r="DR67" s="61"/>
      <c r="DS67" s="61"/>
      <c r="DT67" s="61"/>
      <c r="DU67" s="61"/>
      <c r="DV67" s="61"/>
      <c r="DW67" s="61"/>
      <c r="DX67" s="61"/>
      <c r="DY67" s="61"/>
      <c r="DZ67" s="61"/>
      <c r="EA67" s="61"/>
      <c r="EB67" s="61"/>
      <c r="EC67" s="61"/>
      <c r="ED67" s="61"/>
      <c r="EE67" s="61"/>
      <c r="EF67" s="61"/>
      <c r="EG67" s="61"/>
      <c r="EH67" s="61"/>
      <c r="EI67" s="61"/>
      <c r="EJ67" s="61"/>
      <c r="EK67" s="61"/>
      <c r="EL67" s="61"/>
      <c r="EM67" s="61"/>
      <c r="EN67" s="61"/>
      <c r="EO67" s="61"/>
      <c r="EP67" s="61"/>
      <c r="EQ67" s="61"/>
      <c r="ER67" s="61"/>
      <c r="ES67" s="61"/>
      <c r="ET67" s="61"/>
      <c r="EU67" s="61"/>
      <c r="EV67" s="61"/>
      <c r="EW67" s="61"/>
    </row>
    <row r="68" spans="1:153">
      <c r="A68" s="56">
        <v>28642</v>
      </c>
      <c r="B68" s="57"/>
      <c r="C68" s="58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8"/>
      <c r="P68" s="60">
        <v>167.239</v>
      </c>
      <c r="Q68" s="61" t="s">
        <v>121</v>
      </c>
      <c r="R68" s="61">
        <v>167.34</v>
      </c>
      <c r="S68" s="61">
        <v>432.62799999999999</v>
      </c>
      <c r="T68" s="61">
        <v>263.10899999999998</v>
      </c>
      <c r="U68" s="61">
        <v>2.1789999999999998</v>
      </c>
      <c r="V68" s="61" t="s">
        <v>121</v>
      </c>
      <c r="W68" s="61" t="s">
        <v>121</v>
      </c>
      <c r="X68" s="61">
        <v>167.239</v>
      </c>
      <c r="Y68" s="61">
        <v>0.10100000000000001</v>
      </c>
      <c r="Z68" s="61" t="s">
        <v>121</v>
      </c>
      <c r="AA68" s="61">
        <v>167.34</v>
      </c>
      <c r="AB68" s="60">
        <v>432.62799999999999</v>
      </c>
      <c r="AC68" s="62"/>
      <c r="AD68" s="61"/>
      <c r="AE68" s="61"/>
      <c r="AF68" s="61"/>
      <c r="AG68" s="61"/>
      <c r="AH68" s="61"/>
      <c r="AI68" s="61"/>
      <c r="AJ68" s="61"/>
      <c r="AK68" s="62"/>
      <c r="AL68" s="63"/>
      <c r="AM68" s="64"/>
      <c r="AN68" s="65" t="e">
        <v>#N/A</v>
      </c>
      <c r="AO68" s="61" t="e">
        <v>#N/A</v>
      </c>
      <c r="AP68" s="61" t="e">
        <v>#N/A</v>
      </c>
      <c r="AQ68" s="61" t="e">
        <v>#N/A</v>
      </c>
      <c r="AR68" s="61" t="e">
        <v>#N/A</v>
      </c>
      <c r="AS68" s="61" t="e">
        <v>#N/A</v>
      </c>
      <c r="AT68" s="61" t="e">
        <v>#N/A</v>
      </c>
      <c r="AU68" s="61" t="e">
        <v>#N/A</v>
      </c>
      <c r="AV68" s="61" t="e">
        <v>#N/A</v>
      </c>
      <c r="AW68" s="61" t="e">
        <v>#N/A</v>
      </c>
      <c r="AX68" s="65" t="e">
        <v>#N/A</v>
      </c>
      <c r="AY68" s="66" t="s">
        <v>121</v>
      </c>
      <c r="AZ68" s="61" t="s">
        <v>121</v>
      </c>
      <c r="BA68" s="61">
        <v>51.110999999999997</v>
      </c>
      <c r="BB68" s="61">
        <v>51.110999999999997</v>
      </c>
      <c r="BC68" s="61" t="s">
        <v>121</v>
      </c>
      <c r="BD68" s="61" t="s">
        <v>121</v>
      </c>
      <c r="BE68" s="61" t="s">
        <v>121</v>
      </c>
      <c r="BF68" s="61" t="s">
        <v>121</v>
      </c>
      <c r="BG68" s="61">
        <v>0.97299999999999998</v>
      </c>
      <c r="BH68" s="61" t="s">
        <v>121</v>
      </c>
      <c r="BI68" s="61" t="s">
        <v>121</v>
      </c>
      <c r="BJ68" s="61">
        <v>0.97299999999999998</v>
      </c>
      <c r="BK68" s="66">
        <v>0.97299999999999998</v>
      </c>
      <c r="BL68" s="67" t="s">
        <v>121</v>
      </c>
      <c r="BM68" s="61" t="s">
        <v>121</v>
      </c>
      <c r="BN68" s="61" t="s">
        <v>121</v>
      </c>
      <c r="BO68" s="61" t="s">
        <v>121</v>
      </c>
      <c r="BP68" s="61" t="s">
        <v>121</v>
      </c>
      <c r="BQ68" s="61">
        <v>260.28100000000001</v>
      </c>
      <c r="BR68" s="61">
        <v>2.1789999999999998</v>
      </c>
      <c r="BS68" s="61" t="s">
        <v>121</v>
      </c>
      <c r="BT68" s="61" t="s">
        <v>121</v>
      </c>
      <c r="BU68" s="61">
        <v>5.1999999999999998E-2</v>
      </c>
      <c r="BV68" s="61">
        <v>0.10100000000000001</v>
      </c>
      <c r="BW68" s="61">
        <v>0.153</v>
      </c>
      <c r="BX68" s="67">
        <v>262.61399999999998</v>
      </c>
      <c r="BY68" s="68">
        <v>93282</v>
      </c>
      <c r="BZ68" s="68">
        <v>85100</v>
      </c>
      <c r="CA68" s="69">
        <v>4392</v>
      </c>
      <c r="CB68" s="68">
        <v>157269</v>
      </c>
      <c r="CC68" s="68">
        <v>4</v>
      </c>
      <c r="CD68" s="61"/>
      <c r="CE68" s="64"/>
      <c r="CF68" s="64"/>
      <c r="CG68" s="70">
        <f t="shared" si="6"/>
        <v>6605.2979999999998</v>
      </c>
      <c r="CH68" s="70">
        <f t="shared" si="7"/>
        <v>184.464</v>
      </c>
      <c r="CI68" s="70">
        <f t="shared" si="8"/>
        <v>0.16800000000000001</v>
      </c>
      <c r="CJ68" s="70">
        <f t="shared" si="4"/>
        <v>3917.8440000000001</v>
      </c>
      <c r="CK68" s="70">
        <f t="shared" si="4"/>
        <v>3574.2</v>
      </c>
      <c r="CL68" s="70">
        <f t="shared" ref="CL68:CL131" si="9">CC68*42/1000</f>
        <v>0.16800000000000001</v>
      </c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  <c r="DF68" s="61"/>
      <c r="DG68" s="61"/>
      <c r="DH68" s="61"/>
      <c r="DI68" s="61"/>
      <c r="DJ68" s="61"/>
      <c r="DK68" s="61"/>
      <c r="DL68" s="61"/>
      <c r="DM68" s="61"/>
      <c r="DN68" s="61"/>
      <c r="DO68" s="61"/>
      <c r="DP68" s="61"/>
      <c r="DQ68" s="61"/>
      <c r="DR68" s="61"/>
      <c r="DS68" s="61"/>
      <c r="DT68" s="61"/>
      <c r="DU68" s="61"/>
      <c r="DV68" s="61"/>
      <c r="DW68" s="61"/>
      <c r="DX68" s="61"/>
      <c r="DY68" s="61"/>
      <c r="DZ68" s="61"/>
      <c r="EA68" s="61"/>
      <c r="EB68" s="61"/>
      <c r="EC68" s="61"/>
      <c r="ED68" s="61"/>
      <c r="EE68" s="61"/>
      <c r="EF68" s="61"/>
      <c r="EG68" s="61"/>
      <c r="EH68" s="61"/>
      <c r="EI68" s="61"/>
      <c r="EJ68" s="61"/>
      <c r="EK68" s="61"/>
      <c r="EL68" s="61"/>
      <c r="EM68" s="61"/>
      <c r="EN68" s="61"/>
      <c r="EO68" s="61"/>
      <c r="EP68" s="61"/>
      <c r="EQ68" s="61"/>
      <c r="ER68" s="61"/>
      <c r="ES68" s="61"/>
      <c r="ET68" s="61"/>
      <c r="EU68" s="61"/>
      <c r="EV68" s="61"/>
      <c r="EW68" s="61"/>
    </row>
    <row r="69" spans="1:153">
      <c r="A69" s="56">
        <v>28672</v>
      </c>
      <c r="B69" s="57"/>
      <c r="C69" s="58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8"/>
      <c r="P69" s="60">
        <v>172.82499999999999</v>
      </c>
      <c r="Q69" s="61" t="s">
        <v>121</v>
      </c>
      <c r="R69" s="61">
        <v>172.91200000000001</v>
      </c>
      <c r="S69" s="61">
        <v>431.46100000000001</v>
      </c>
      <c r="T69" s="61">
        <v>256.10700000000003</v>
      </c>
      <c r="U69" s="61">
        <v>2.4409999999999998</v>
      </c>
      <c r="V69" s="61" t="s">
        <v>121</v>
      </c>
      <c r="W69" s="61" t="s">
        <v>121</v>
      </c>
      <c r="X69" s="61">
        <v>172.82499999999999</v>
      </c>
      <c r="Y69" s="61">
        <v>8.6999999999999994E-2</v>
      </c>
      <c r="Z69" s="61" t="s">
        <v>121</v>
      </c>
      <c r="AA69" s="61">
        <v>172.91200000000001</v>
      </c>
      <c r="AB69" s="60">
        <v>431.46100000000001</v>
      </c>
      <c r="AC69" s="62"/>
      <c r="AD69" s="61"/>
      <c r="AE69" s="61"/>
      <c r="AF69" s="61"/>
      <c r="AG69" s="61"/>
      <c r="AH69" s="61"/>
      <c r="AI69" s="61"/>
      <c r="AJ69" s="61"/>
      <c r="AK69" s="62"/>
      <c r="AL69" s="63"/>
      <c r="AM69" s="64"/>
      <c r="AN69" s="65" t="e">
        <v>#N/A</v>
      </c>
      <c r="AO69" s="61" t="e">
        <v>#N/A</v>
      </c>
      <c r="AP69" s="61" t="e">
        <v>#N/A</v>
      </c>
      <c r="AQ69" s="61" t="e">
        <v>#N/A</v>
      </c>
      <c r="AR69" s="61" t="e">
        <v>#N/A</v>
      </c>
      <c r="AS69" s="61" t="e">
        <v>#N/A</v>
      </c>
      <c r="AT69" s="61" t="e">
        <v>#N/A</v>
      </c>
      <c r="AU69" s="61" t="e">
        <v>#N/A</v>
      </c>
      <c r="AV69" s="61" t="e">
        <v>#N/A</v>
      </c>
      <c r="AW69" s="61" t="e">
        <v>#N/A</v>
      </c>
      <c r="AX69" s="65" t="e">
        <v>#N/A</v>
      </c>
      <c r="AY69" s="66" t="s">
        <v>121</v>
      </c>
      <c r="AZ69" s="61" t="s">
        <v>121</v>
      </c>
      <c r="BA69" s="61">
        <v>52.814999999999998</v>
      </c>
      <c r="BB69" s="61">
        <v>52.814999999999998</v>
      </c>
      <c r="BC69" s="61" t="s">
        <v>121</v>
      </c>
      <c r="BD69" s="61" t="s">
        <v>121</v>
      </c>
      <c r="BE69" s="61" t="s">
        <v>121</v>
      </c>
      <c r="BF69" s="61" t="s">
        <v>121</v>
      </c>
      <c r="BG69" s="61">
        <v>1.0049999999999999</v>
      </c>
      <c r="BH69" s="61" t="s">
        <v>121</v>
      </c>
      <c r="BI69" s="61" t="s">
        <v>121</v>
      </c>
      <c r="BJ69" s="61">
        <v>1.0049999999999999</v>
      </c>
      <c r="BK69" s="66">
        <v>1.0049999999999999</v>
      </c>
      <c r="BL69" s="67" t="s">
        <v>121</v>
      </c>
      <c r="BM69" s="61" t="s">
        <v>121</v>
      </c>
      <c r="BN69" s="61" t="s">
        <v>121</v>
      </c>
      <c r="BO69" s="61" t="s">
        <v>121</v>
      </c>
      <c r="BP69" s="61" t="s">
        <v>121</v>
      </c>
      <c r="BQ69" s="61">
        <v>253.35499999999999</v>
      </c>
      <c r="BR69" s="61">
        <v>2.4409999999999998</v>
      </c>
      <c r="BS69" s="61" t="s">
        <v>121</v>
      </c>
      <c r="BT69" s="61" t="s">
        <v>121</v>
      </c>
      <c r="BU69" s="61">
        <v>6.5000000000000002E-2</v>
      </c>
      <c r="BV69" s="61">
        <v>8.6999999999999994E-2</v>
      </c>
      <c r="BW69" s="61">
        <v>0.153</v>
      </c>
      <c r="BX69" s="67">
        <v>255.94900000000001</v>
      </c>
      <c r="BY69" s="68">
        <v>96821</v>
      </c>
      <c r="BZ69" s="68">
        <v>78190</v>
      </c>
      <c r="CA69" s="69">
        <v>4631</v>
      </c>
      <c r="CB69" s="68">
        <v>180453</v>
      </c>
      <c r="CC69" s="68">
        <v>134</v>
      </c>
      <c r="CD69" s="61"/>
      <c r="CE69" s="64"/>
      <c r="CF69" s="64"/>
      <c r="CG69" s="70">
        <f t="shared" si="6"/>
        <v>7579.0259999999998</v>
      </c>
      <c r="CH69" s="70">
        <f t="shared" si="7"/>
        <v>194.50200000000001</v>
      </c>
      <c r="CI69" s="70">
        <f t="shared" si="8"/>
        <v>5.6280000000000001</v>
      </c>
      <c r="CJ69" s="70">
        <f t="shared" si="4"/>
        <v>4066.482</v>
      </c>
      <c r="CK69" s="70">
        <f t="shared" si="4"/>
        <v>3283.98</v>
      </c>
      <c r="CL69" s="70">
        <f t="shared" si="9"/>
        <v>5.6280000000000001</v>
      </c>
      <c r="CM69" s="61"/>
      <c r="CN69" s="61"/>
      <c r="CO69" s="61"/>
      <c r="CP69" s="61"/>
      <c r="CQ69" s="61"/>
      <c r="CR69" s="61"/>
      <c r="CS69" s="61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  <c r="DF69" s="61"/>
      <c r="DG69" s="61"/>
      <c r="DH69" s="61"/>
      <c r="DI69" s="61"/>
      <c r="DJ69" s="61"/>
      <c r="DK69" s="61"/>
      <c r="DL69" s="61"/>
      <c r="DM69" s="61"/>
      <c r="DN69" s="61"/>
      <c r="DO69" s="61"/>
      <c r="DP69" s="61"/>
      <c r="DQ69" s="61"/>
      <c r="DR69" s="61"/>
      <c r="DS69" s="61"/>
      <c r="DT69" s="61"/>
      <c r="DU69" s="61"/>
      <c r="DV69" s="61"/>
      <c r="DW69" s="61"/>
      <c r="DX69" s="61"/>
      <c r="DY69" s="61"/>
      <c r="DZ69" s="61"/>
      <c r="EA69" s="61"/>
      <c r="EB69" s="61"/>
      <c r="EC69" s="61"/>
      <c r="ED69" s="61"/>
      <c r="EE69" s="61"/>
      <c r="EF69" s="61"/>
      <c r="EG69" s="61"/>
      <c r="EH69" s="61"/>
      <c r="EI69" s="61"/>
      <c r="EJ69" s="61"/>
      <c r="EK69" s="61"/>
      <c r="EL69" s="61"/>
      <c r="EM69" s="61"/>
      <c r="EN69" s="61"/>
      <c r="EO69" s="61"/>
      <c r="EP69" s="61"/>
      <c r="EQ69" s="61"/>
      <c r="ER69" s="61"/>
      <c r="ES69" s="61"/>
      <c r="ET69" s="61"/>
      <c r="EU69" s="61"/>
      <c r="EV69" s="61"/>
      <c r="EW69" s="61"/>
    </row>
    <row r="70" spans="1:153">
      <c r="A70" s="56">
        <v>28703</v>
      </c>
      <c r="B70" s="57"/>
      <c r="C70" s="58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8"/>
      <c r="P70" s="60">
        <v>173.00899999999999</v>
      </c>
      <c r="Q70" s="61" t="s">
        <v>121</v>
      </c>
      <c r="R70" s="61">
        <v>173.18899999999999</v>
      </c>
      <c r="S70" s="61">
        <v>408.41699999999997</v>
      </c>
      <c r="T70" s="61">
        <v>232.357</v>
      </c>
      <c r="U70" s="61">
        <v>2.871</v>
      </c>
      <c r="V70" s="61" t="s">
        <v>121</v>
      </c>
      <c r="W70" s="61" t="s">
        <v>121</v>
      </c>
      <c r="X70" s="61">
        <v>173.00899999999999</v>
      </c>
      <c r="Y70" s="61">
        <v>0.18</v>
      </c>
      <c r="Z70" s="61" t="s">
        <v>121</v>
      </c>
      <c r="AA70" s="61">
        <v>173.18899999999999</v>
      </c>
      <c r="AB70" s="60">
        <v>408.41699999999997</v>
      </c>
      <c r="AC70" s="62"/>
      <c r="AD70" s="61"/>
      <c r="AE70" s="61"/>
      <c r="AF70" s="61"/>
      <c r="AG70" s="61"/>
      <c r="AH70" s="61"/>
      <c r="AI70" s="61"/>
      <c r="AJ70" s="61"/>
      <c r="AK70" s="62"/>
      <c r="AL70" s="63"/>
      <c r="AM70" s="64"/>
      <c r="AN70" s="65" t="e">
        <v>#N/A</v>
      </c>
      <c r="AO70" s="61" t="e">
        <v>#N/A</v>
      </c>
      <c r="AP70" s="61" t="e">
        <v>#N/A</v>
      </c>
      <c r="AQ70" s="61" t="e">
        <v>#N/A</v>
      </c>
      <c r="AR70" s="61" t="e">
        <v>#N/A</v>
      </c>
      <c r="AS70" s="61" t="e">
        <v>#N/A</v>
      </c>
      <c r="AT70" s="61" t="e">
        <v>#N/A</v>
      </c>
      <c r="AU70" s="61" t="e">
        <v>#N/A</v>
      </c>
      <c r="AV70" s="61" t="e">
        <v>#N/A</v>
      </c>
      <c r="AW70" s="61" t="e">
        <v>#N/A</v>
      </c>
      <c r="AX70" s="65" t="e">
        <v>#N/A</v>
      </c>
      <c r="AY70" s="66" t="s">
        <v>121</v>
      </c>
      <c r="AZ70" s="61" t="s">
        <v>121</v>
      </c>
      <c r="BA70" s="61">
        <v>52.814999999999998</v>
      </c>
      <c r="BB70" s="61">
        <v>52.814999999999998</v>
      </c>
      <c r="BC70" s="61" t="s">
        <v>121</v>
      </c>
      <c r="BD70" s="61" t="s">
        <v>121</v>
      </c>
      <c r="BE70" s="61" t="s">
        <v>121</v>
      </c>
      <c r="BF70" s="61" t="s">
        <v>121</v>
      </c>
      <c r="BG70" s="61">
        <v>1.0049999999999999</v>
      </c>
      <c r="BH70" s="61" t="s">
        <v>121</v>
      </c>
      <c r="BI70" s="61" t="s">
        <v>121</v>
      </c>
      <c r="BJ70" s="61">
        <v>1.0049999999999999</v>
      </c>
      <c r="BK70" s="66">
        <v>1.0049999999999999</v>
      </c>
      <c r="BL70" s="67" t="s">
        <v>121</v>
      </c>
      <c r="BM70" s="61" t="s">
        <v>121</v>
      </c>
      <c r="BN70" s="61" t="s">
        <v>121</v>
      </c>
      <c r="BO70" s="61" t="s">
        <v>121</v>
      </c>
      <c r="BP70" s="61" t="s">
        <v>121</v>
      </c>
      <c r="BQ70" s="61">
        <v>229.86</v>
      </c>
      <c r="BR70" s="61">
        <v>2.871</v>
      </c>
      <c r="BS70" s="61" t="s">
        <v>121</v>
      </c>
      <c r="BT70" s="61" t="s">
        <v>121</v>
      </c>
      <c r="BU70" s="61">
        <v>0.249</v>
      </c>
      <c r="BV70" s="61">
        <v>0.18</v>
      </c>
      <c r="BW70" s="61">
        <v>0.42899999999999999</v>
      </c>
      <c r="BX70" s="67">
        <v>233.16</v>
      </c>
      <c r="BY70" s="68">
        <v>102182</v>
      </c>
      <c r="BZ70" s="68">
        <v>86808</v>
      </c>
      <c r="CA70" s="69">
        <v>4441</v>
      </c>
      <c r="CB70" s="68">
        <v>200194</v>
      </c>
      <c r="CC70" s="68">
        <v>133</v>
      </c>
      <c r="CD70" s="61"/>
      <c r="CE70" s="64"/>
      <c r="CF70" s="64"/>
      <c r="CG70" s="70">
        <f t="shared" si="6"/>
        <v>8408.1479999999992</v>
      </c>
      <c r="CH70" s="70">
        <f t="shared" si="7"/>
        <v>186.52199999999999</v>
      </c>
      <c r="CI70" s="70">
        <f t="shared" si="8"/>
        <v>5.5860000000000003</v>
      </c>
      <c r="CJ70" s="70">
        <f t="shared" si="4"/>
        <v>4291.6440000000002</v>
      </c>
      <c r="CK70" s="70">
        <f t="shared" si="4"/>
        <v>3645.9360000000001</v>
      </c>
      <c r="CL70" s="70">
        <f t="shared" si="9"/>
        <v>5.5860000000000003</v>
      </c>
      <c r="CM70" s="61"/>
      <c r="CN70" s="61"/>
      <c r="CO70" s="61"/>
      <c r="CP70" s="61"/>
      <c r="CQ70" s="61"/>
      <c r="CR70" s="61"/>
      <c r="CS70" s="61"/>
      <c r="CT70" s="61"/>
      <c r="CU70" s="61"/>
      <c r="CV70" s="61"/>
      <c r="CW70" s="61"/>
      <c r="CX70" s="61"/>
      <c r="CY70" s="61"/>
      <c r="CZ70" s="61"/>
      <c r="DA70" s="61"/>
      <c r="DB70" s="61"/>
      <c r="DC70" s="61"/>
      <c r="DD70" s="61"/>
      <c r="DE70" s="61"/>
      <c r="DF70" s="61"/>
      <c r="DG70" s="61"/>
      <c r="DH70" s="61"/>
      <c r="DI70" s="61"/>
      <c r="DJ70" s="61"/>
      <c r="DK70" s="61"/>
      <c r="DL70" s="61"/>
      <c r="DM70" s="61"/>
      <c r="DN70" s="61"/>
      <c r="DO70" s="61"/>
      <c r="DP70" s="61"/>
      <c r="DQ70" s="61"/>
      <c r="DR70" s="61"/>
      <c r="DS70" s="61"/>
      <c r="DT70" s="61"/>
      <c r="DU70" s="61"/>
      <c r="DV70" s="61"/>
      <c r="DW70" s="61"/>
      <c r="DX70" s="61"/>
      <c r="DY70" s="61"/>
      <c r="DZ70" s="61"/>
      <c r="EA70" s="61"/>
      <c r="EB70" s="61"/>
      <c r="EC70" s="61"/>
      <c r="ED70" s="61"/>
      <c r="EE70" s="61"/>
      <c r="EF70" s="61"/>
      <c r="EG70" s="61"/>
      <c r="EH70" s="61"/>
      <c r="EI70" s="61"/>
      <c r="EJ70" s="61"/>
      <c r="EK70" s="61"/>
      <c r="EL70" s="61"/>
      <c r="EM70" s="61"/>
      <c r="EN70" s="61"/>
      <c r="EO70" s="61"/>
      <c r="EP70" s="61"/>
      <c r="EQ70" s="61"/>
      <c r="ER70" s="61"/>
      <c r="ES70" s="61"/>
      <c r="ET70" s="61"/>
      <c r="EU70" s="61"/>
      <c r="EV70" s="61"/>
      <c r="EW70" s="61"/>
    </row>
    <row r="71" spans="1:153">
      <c r="A71" s="56">
        <v>28734</v>
      </c>
      <c r="B71" s="57"/>
      <c r="C71" s="58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8"/>
      <c r="P71" s="60">
        <v>167.32</v>
      </c>
      <c r="Q71" s="61" t="s">
        <v>121</v>
      </c>
      <c r="R71" s="61">
        <v>167.45500000000001</v>
      </c>
      <c r="S71" s="61">
        <v>392.28699999999998</v>
      </c>
      <c r="T71" s="61">
        <v>221.80099999999999</v>
      </c>
      <c r="U71" s="61">
        <v>3.0310000000000001</v>
      </c>
      <c r="V71" s="61" t="s">
        <v>121</v>
      </c>
      <c r="W71" s="61" t="s">
        <v>121</v>
      </c>
      <c r="X71" s="61">
        <v>167.32</v>
      </c>
      <c r="Y71" s="61">
        <v>0.13400000000000001</v>
      </c>
      <c r="Z71" s="61" t="s">
        <v>121</v>
      </c>
      <c r="AA71" s="61">
        <v>167.45500000000001</v>
      </c>
      <c r="AB71" s="60">
        <v>392.28699999999998</v>
      </c>
      <c r="AC71" s="62"/>
      <c r="AD71" s="61"/>
      <c r="AE71" s="61"/>
      <c r="AF71" s="61"/>
      <c r="AG71" s="61"/>
      <c r="AH71" s="61"/>
      <c r="AI71" s="61"/>
      <c r="AJ71" s="61"/>
      <c r="AK71" s="62"/>
      <c r="AL71" s="63"/>
      <c r="AM71" s="64"/>
      <c r="AN71" s="65" t="e">
        <v>#N/A</v>
      </c>
      <c r="AO71" s="61" t="e">
        <v>#N/A</v>
      </c>
      <c r="AP71" s="61" t="e">
        <v>#N/A</v>
      </c>
      <c r="AQ71" s="61" t="e">
        <v>#N/A</v>
      </c>
      <c r="AR71" s="61" t="e">
        <v>#N/A</v>
      </c>
      <c r="AS71" s="61" t="e">
        <v>#N/A</v>
      </c>
      <c r="AT71" s="61" t="e">
        <v>#N/A</v>
      </c>
      <c r="AU71" s="61" t="e">
        <v>#N/A</v>
      </c>
      <c r="AV71" s="61" t="e">
        <v>#N/A</v>
      </c>
      <c r="AW71" s="61" t="e">
        <v>#N/A</v>
      </c>
      <c r="AX71" s="65" t="e">
        <v>#N/A</v>
      </c>
      <c r="AY71" s="66" t="s">
        <v>121</v>
      </c>
      <c r="AZ71" s="61" t="s">
        <v>121</v>
      </c>
      <c r="BA71" s="61">
        <v>51.110999999999997</v>
      </c>
      <c r="BB71" s="61">
        <v>51.110999999999997</v>
      </c>
      <c r="BC71" s="61" t="s">
        <v>121</v>
      </c>
      <c r="BD71" s="61" t="s">
        <v>121</v>
      </c>
      <c r="BE71" s="61" t="s">
        <v>121</v>
      </c>
      <c r="BF71" s="61" t="s">
        <v>121</v>
      </c>
      <c r="BG71" s="61">
        <v>0.97299999999999998</v>
      </c>
      <c r="BH71" s="61" t="s">
        <v>121</v>
      </c>
      <c r="BI71" s="61" t="s">
        <v>121</v>
      </c>
      <c r="BJ71" s="61">
        <v>0.97299999999999998</v>
      </c>
      <c r="BK71" s="66">
        <v>0.97299999999999998</v>
      </c>
      <c r="BL71" s="67" t="s">
        <v>121</v>
      </c>
      <c r="BM71" s="61" t="s">
        <v>121</v>
      </c>
      <c r="BN71" s="61" t="s">
        <v>121</v>
      </c>
      <c r="BO71" s="61" t="s">
        <v>121</v>
      </c>
      <c r="BP71" s="61" t="s">
        <v>121</v>
      </c>
      <c r="BQ71" s="61">
        <v>219.417</v>
      </c>
      <c r="BR71" s="61">
        <v>3.0310000000000001</v>
      </c>
      <c r="BS71" s="61" t="s">
        <v>121</v>
      </c>
      <c r="BT71" s="61" t="s">
        <v>121</v>
      </c>
      <c r="BU71" s="61">
        <v>0.13400000000000001</v>
      </c>
      <c r="BV71" s="61">
        <v>0.13400000000000001</v>
      </c>
      <c r="BW71" s="61">
        <v>0.26800000000000002</v>
      </c>
      <c r="BX71" s="67">
        <v>222.71600000000001</v>
      </c>
      <c r="BY71" s="68">
        <v>95546</v>
      </c>
      <c r="BZ71" s="68">
        <v>79909</v>
      </c>
      <c r="CA71" s="69">
        <v>4889</v>
      </c>
      <c r="CB71" s="68">
        <v>220707</v>
      </c>
      <c r="CC71" s="68">
        <v>72</v>
      </c>
      <c r="CD71" s="61"/>
      <c r="CE71" s="64"/>
      <c r="CF71" s="64"/>
      <c r="CG71" s="70">
        <f t="shared" si="6"/>
        <v>9269.6939999999995</v>
      </c>
      <c r="CH71" s="70">
        <f t="shared" si="7"/>
        <v>205.33799999999999</v>
      </c>
      <c r="CI71" s="70">
        <f t="shared" si="8"/>
        <v>3.024</v>
      </c>
      <c r="CJ71" s="70">
        <f t="shared" ref="CJ71:CK134" si="10">BY71*42/1000</f>
        <v>4012.9319999999998</v>
      </c>
      <c r="CK71" s="70">
        <f t="shared" si="10"/>
        <v>3356.1779999999999</v>
      </c>
      <c r="CL71" s="70">
        <f t="shared" si="9"/>
        <v>3.024</v>
      </c>
      <c r="CM71" s="61"/>
      <c r="CN71" s="61"/>
      <c r="CO71" s="61"/>
      <c r="CP71" s="61"/>
      <c r="CQ71" s="61"/>
      <c r="CR71" s="61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61"/>
      <c r="DI71" s="61"/>
      <c r="DJ71" s="61"/>
      <c r="DK71" s="61"/>
      <c r="DL71" s="61"/>
      <c r="DM71" s="61"/>
      <c r="DN71" s="61"/>
      <c r="DO71" s="61"/>
      <c r="DP71" s="61"/>
      <c r="DQ71" s="61"/>
      <c r="DR71" s="61"/>
      <c r="DS71" s="61"/>
      <c r="DT71" s="61"/>
      <c r="DU71" s="61"/>
      <c r="DV71" s="61"/>
      <c r="DW71" s="61"/>
      <c r="DX71" s="61"/>
      <c r="DY71" s="61"/>
      <c r="DZ71" s="61"/>
      <c r="EA71" s="61"/>
      <c r="EB71" s="61"/>
      <c r="EC71" s="61"/>
      <c r="ED71" s="61"/>
      <c r="EE71" s="61"/>
      <c r="EF71" s="61"/>
      <c r="EG71" s="61"/>
      <c r="EH71" s="61"/>
      <c r="EI71" s="61"/>
      <c r="EJ71" s="61"/>
      <c r="EK71" s="61"/>
      <c r="EL71" s="61"/>
      <c r="EM71" s="61"/>
      <c r="EN71" s="61"/>
      <c r="EO71" s="61"/>
      <c r="EP71" s="61"/>
      <c r="EQ71" s="61"/>
      <c r="ER71" s="61"/>
      <c r="ES71" s="61"/>
      <c r="ET71" s="61"/>
      <c r="EU71" s="61"/>
      <c r="EV71" s="61"/>
      <c r="EW71" s="61"/>
    </row>
    <row r="72" spans="1:153">
      <c r="A72" s="56">
        <v>28764</v>
      </c>
      <c r="B72" s="57"/>
      <c r="C72" s="58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8"/>
      <c r="P72" s="60">
        <v>173.02699999999999</v>
      </c>
      <c r="Q72" s="61" t="s">
        <v>121</v>
      </c>
      <c r="R72" s="61">
        <v>173.16900000000001</v>
      </c>
      <c r="S72" s="61">
        <v>379.43599999999998</v>
      </c>
      <c r="T72" s="61">
        <v>204.012</v>
      </c>
      <c r="U72" s="61">
        <v>2.254</v>
      </c>
      <c r="V72" s="61" t="s">
        <v>121</v>
      </c>
      <c r="W72" s="61" t="s">
        <v>121</v>
      </c>
      <c r="X72" s="61">
        <v>173.02699999999999</v>
      </c>
      <c r="Y72" s="61">
        <v>0.14199999999999999</v>
      </c>
      <c r="Z72" s="61" t="s">
        <v>121</v>
      </c>
      <c r="AA72" s="61">
        <v>173.16900000000001</v>
      </c>
      <c r="AB72" s="60">
        <v>379.43599999999998</v>
      </c>
      <c r="AC72" s="62"/>
      <c r="AD72" s="61"/>
      <c r="AE72" s="61"/>
      <c r="AF72" s="61"/>
      <c r="AG72" s="61"/>
      <c r="AH72" s="61"/>
      <c r="AI72" s="61"/>
      <c r="AJ72" s="61"/>
      <c r="AK72" s="62"/>
      <c r="AL72" s="63"/>
      <c r="AM72" s="64"/>
      <c r="AN72" s="65" t="e">
        <v>#N/A</v>
      </c>
      <c r="AO72" s="61" t="e">
        <v>#N/A</v>
      </c>
      <c r="AP72" s="61" t="e">
        <v>#N/A</v>
      </c>
      <c r="AQ72" s="61" t="e">
        <v>#N/A</v>
      </c>
      <c r="AR72" s="61" t="e">
        <v>#N/A</v>
      </c>
      <c r="AS72" s="61" t="e">
        <v>#N/A</v>
      </c>
      <c r="AT72" s="61" t="e">
        <v>#N/A</v>
      </c>
      <c r="AU72" s="61" t="e">
        <v>#N/A</v>
      </c>
      <c r="AV72" s="61" t="e">
        <v>#N/A</v>
      </c>
      <c r="AW72" s="61" t="e">
        <v>#N/A</v>
      </c>
      <c r="AX72" s="65" t="e">
        <v>#N/A</v>
      </c>
      <c r="AY72" s="66" t="s">
        <v>121</v>
      </c>
      <c r="AZ72" s="61" t="s">
        <v>121</v>
      </c>
      <c r="BA72" s="61">
        <v>52.814999999999998</v>
      </c>
      <c r="BB72" s="61">
        <v>52.814999999999998</v>
      </c>
      <c r="BC72" s="61" t="s">
        <v>121</v>
      </c>
      <c r="BD72" s="61" t="s">
        <v>121</v>
      </c>
      <c r="BE72" s="61" t="s">
        <v>121</v>
      </c>
      <c r="BF72" s="61" t="s">
        <v>121</v>
      </c>
      <c r="BG72" s="61">
        <v>1.0049999999999999</v>
      </c>
      <c r="BH72" s="61" t="s">
        <v>121</v>
      </c>
      <c r="BI72" s="61" t="s">
        <v>121</v>
      </c>
      <c r="BJ72" s="61">
        <v>1.0049999999999999</v>
      </c>
      <c r="BK72" s="66">
        <v>1.0049999999999999</v>
      </c>
      <c r="BL72" s="67" t="s">
        <v>121</v>
      </c>
      <c r="BM72" s="61" t="s">
        <v>121</v>
      </c>
      <c r="BN72" s="61" t="s">
        <v>121</v>
      </c>
      <c r="BO72" s="61" t="s">
        <v>121</v>
      </c>
      <c r="BP72" s="61" t="s">
        <v>121</v>
      </c>
      <c r="BQ72" s="61">
        <v>201.82</v>
      </c>
      <c r="BR72" s="61">
        <v>2.254</v>
      </c>
      <c r="BS72" s="61" t="s">
        <v>121</v>
      </c>
      <c r="BT72" s="61" t="s">
        <v>121</v>
      </c>
      <c r="BU72" s="61">
        <v>0.26700000000000002</v>
      </c>
      <c r="BV72" s="61">
        <v>0.14199999999999999</v>
      </c>
      <c r="BW72" s="61">
        <v>0.40899999999999997</v>
      </c>
      <c r="BX72" s="67">
        <v>204.483</v>
      </c>
      <c r="BY72" s="68">
        <v>102269</v>
      </c>
      <c r="BZ72" s="68">
        <v>95383</v>
      </c>
      <c r="CA72" s="69">
        <v>5520</v>
      </c>
      <c r="CB72" s="68">
        <v>233100</v>
      </c>
      <c r="CC72" s="68">
        <v>64</v>
      </c>
      <c r="CD72" s="61"/>
      <c r="CE72" s="64"/>
      <c r="CF72" s="64"/>
      <c r="CG72" s="70">
        <f t="shared" si="6"/>
        <v>9790.2000000000007</v>
      </c>
      <c r="CH72" s="70">
        <f t="shared" si="7"/>
        <v>231.84</v>
      </c>
      <c r="CI72" s="70">
        <f t="shared" si="8"/>
        <v>2.6880000000000002</v>
      </c>
      <c r="CJ72" s="70">
        <f t="shared" si="10"/>
        <v>4295.2979999999998</v>
      </c>
      <c r="CK72" s="70">
        <f t="shared" si="10"/>
        <v>4006.0859999999998</v>
      </c>
      <c r="CL72" s="70">
        <f t="shared" si="9"/>
        <v>2.6880000000000002</v>
      </c>
      <c r="CM72" s="61"/>
      <c r="CN72" s="61"/>
      <c r="CO72" s="61"/>
      <c r="CP72" s="61"/>
      <c r="CQ72" s="61"/>
      <c r="CR72" s="61"/>
      <c r="CS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61"/>
      <c r="DK72" s="61"/>
      <c r="DL72" s="61"/>
      <c r="DM72" s="61"/>
      <c r="DN72" s="61"/>
      <c r="DO72" s="61"/>
      <c r="DP72" s="61"/>
      <c r="DQ72" s="61"/>
      <c r="DR72" s="61"/>
      <c r="DS72" s="61"/>
      <c r="DT72" s="61"/>
      <c r="DU72" s="61"/>
      <c r="DV72" s="61"/>
      <c r="DW72" s="61"/>
      <c r="DX72" s="61"/>
      <c r="DY72" s="61"/>
      <c r="DZ72" s="61"/>
      <c r="EA72" s="61"/>
      <c r="EB72" s="61"/>
      <c r="EC72" s="61"/>
      <c r="ED72" s="61"/>
      <c r="EE72" s="61"/>
      <c r="EF72" s="61"/>
      <c r="EG72" s="61"/>
      <c r="EH72" s="61"/>
      <c r="EI72" s="61"/>
      <c r="EJ72" s="61"/>
      <c r="EK72" s="61"/>
      <c r="EL72" s="61"/>
      <c r="EM72" s="61"/>
      <c r="EN72" s="61"/>
      <c r="EO72" s="61"/>
      <c r="EP72" s="61"/>
      <c r="EQ72" s="61"/>
      <c r="ER72" s="61"/>
      <c r="ES72" s="61"/>
      <c r="ET72" s="61"/>
      <c r="EU72" s="61"/>
      <c r="EV72" s="61"/>
      <c r="EW72" s="61"/>
    </row>
    <row r="73" spans="1:153">
      <c r="A73" s="56">
        <v>28795</v>
      </c>
      <c r="B73" s="57"/>
      <c r="C73" s="58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8"/>
      <c r="P73" s="60">
        <v>167.43799999999999</v>
      </c>
      <c r="Q73" s="61" t="s">
        <v>121</v>
      </c>
      <c r="R73" s="61">
        <v>167.55699999999999</v>
      </c>
      <c r="S73" s="61">
        <v>379.07799999999997</v>
      </c>
      <c r="T73" s="61">
        <v>208.97399999999999</v>
      </c>
      <c r="U73" s="61">
        <v>2.5470000000000002</v>
      </c>
      <c r="V73" s="61" t="s">
        <v>121</v>
      </c>
      <c r="W73" s="61" t="s">
        <v>121</v>
      </c>
      <c r="X73" s="61">
        <v>167.43799999999999</v>
      </c>
      <c r="Y73" s="61">
        <v>0.12</v>
      </c>
      <c r="Z73" s="61" t="s">
        <v>121</v>
      </c>
      <c r="AA73" s="61">
        <v>167.55699999999999</v>
      </c>
      <c r="AB73" s="60">
        <v>379.07799999999997</v>
      </c>
      <c r="AC73" s="62"/>
      <c r="AD73" s="61"/>
      <c r="AE73" s="61"/>
      <c r="AF73" s="61"/>
      <c r="AG73" s="61"/>
      <c r="AH73" s="61"/>
      <c r="AI73" s="61"/>
      <c r="AJ73" s="61"/>
      <c r="AK73" s="62"/>
      <c r="AL73" s="63"/>
      <c r="AM73" s="64"/>
      <c r="AN73" s="65" t="e">
        <v>#N/A</v>
      </c>
      <c r="AO73" s="61" t="e">
        <v>#N/A</v>
      </c>
      <c r="AP73" s="61" t="e">
        <v>#N/A</v>
      </c>
      <c r="AQ73" s="61" t="e">
        <v>#N/A</v>
      </c>
      <c r="AR73" s="61" t="e">
        <v>#N/A</v>
      </c>
      <c r="AS73" s="61" t="e">
        <v>#N/A</v>
      </c>
      <c r="AT73" s="61" t="e">
        <v>#N/A</v>
      </c>
      <c r="AU73" s="61" t="e">
        <v>#N/A</v>
      </c>
      <c r="AV73" s="61" t="e">
        <v>#N/A</v>
      </c>
      <c r="AW73" s="61" t="e">
        <v>#N/A</v>
      </c>
      <c r="AX73" s="65" t="e">
        <v>#N/A</v>
      </c>
      <c r="AY73" s="66" t="s">
        <v>121</v>
      </c>
      <c r="AZ73" s="61" t="s">
        <v>121</v>
      </c>
      <c r="BA73" s="61">
        <v>51.110999999999997</v>
      </c>
      <c r="BB73" s="61">
        <v>51.110999999999997</v>
      </c>
      <c r="BC73" s="61" t="s">
        <v>121</v>
      </c>
      <c r="BD73" s="61" t="s">
        <v>121</v>
      </c>
      <c r="BE73" s="61" t="s">
        <v>121</v>
      </c>
      <c r="BF73" s="61" t="s">
        <v>121</v>
      </c>
      <c r="BG73" s="61">
        <v>0.97299999999999998</v>
      </c>
      <c r="BH73" s="61" t="s">
        <v>121</v>
      </c>
      <c r="BI73" s="61" t="s">
        <v>121</v>
      </c>
      <c r="BJ73" s="61">
        <v>0.97299999999999998</v>
      </c>
      <c r="BK73" s="66">
        <v>0.97299999999999998</v>
      </c>
      <c r="BL73" s="67" t="s">
        <v>121</v>
      </c>
      <c r="BM73" s="61" t="s">
        <v>121</v>
      </c>
      <c r="BN73" s="61" t="s">
        <v>121</v>
      </c>
      <c r="BO73" s="61" t="s">
        <v>121</v>
      </c>
      <c r="BP73" s="61" t="s">
        <v>121</v>
      </c>
      <c r="BQ73" s="61">
        <v>206.72800000000001</v>
      </c>
      <c r="BR73" s="61">
        <v>2.5470000000000002</v>
      </c>
      <c r="BS73" s="61" t="s">
        <v>121</v>
      </c>
      <c r="BT73" s="61" t="s">
        <v>121</v>
      </c>
      <c r="BU73" s="61">
        <v>0.251</v>
      </c>
      <c r="BV73" s="61">
        <v>0.12</v>
      </c>
      <c r="BW73" s="61">
        <v>0.371</v>
      </c>
      <c r="BX73" s="67">
        <v>209.64500000000001</v>
      </c>
      <c r="BY73" s="68">
        <v>100987</v>
      </c>
      <c r="BZ73" s="68">
        <v>107483</v>
      </c>
      <c r="CA73" s="69">
        <v>6689</v>
      </c>
      <c r="CB73" s="68">
        <v>233248</v>
      </c>
      <c r="CC73" s="68">
        <v>99</v>
      </c>
      <c r="CD73" s="61"/>
      <c r="CE73" s="64"/>
      <c r="CF73" s="64"/>
      <c r="CG73" s="70">
        <f t="shared" si="6"/>
        <v>9796.4159999999993</v>
      </c>
      <c r="CH73" s="70">
        <f t="shared" si="7"/>
        <v>280.93799999999999</v>
      </c>
      <c r="CI73" s="70">
        <f t="shared" si="8"/>
        <v>4.1580000000000004</v>
      </c>
      <c r="CJ73" s="70">
        <f t="shared" si="10"/>
        <v>4241.4539999999997</v>
      </c>
      <c r="CK73" s="70">
        <f t="shared" si="10"/>
        <v>4514.2860000000001</v>
      </c>
      <c r="CL73" s="70">
        <f t="shared" si="9"/>
        <v>4.1580000000000004</v>
      </c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61"/>
      <c r="EP73" s="61"/>
      <c r="EQ73" s="61"/>
      <c r="ER73" s="61"/>
      <c r="ES73" s="61"/>
      <c r="ET73" s="61"/>
      <c r="EU73" s="61"/>
      <c r="EV73" s="61"/>
      <c r="EW73" s="61"/>
    </row>
    <row r="74" spans="1:153">
      <c r="A74" s="56">
        <v>28825</v>
      </c>
      <c r="B74" s="57"/>
      <c r="C74" s="58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8"/>
      <c r="P74" s="60">
        <v>172.935</v>
      </c>
      <c r="Q74" s="61" t="s">
        <v>121</v>
      </c>
      <c r="R74" s="61">
        <v>173.06</v>
      </c>
      <c r="S74" s="61">
        <v>407.56400000000002</v>
      </c>
      <c r="T74" s="61">
        <v>231.27500000000001</v>
      </c>
      <c r="U74" s="61">
        <v>3.2280000000000002</v>
      </c>
      <c r="V74" s="61" t="s">
        <v>121</v>
      </c>
      <c r="W74" s="61" t="s">
        <v>121</v>
      </c>
      <c r="X74" s="61">
        <v>172.935</v>
      </c>
      <c r="Y74" s="61">
        <v>0.126</v>
      </c>
      <c r="Z74" s="61" t="s">
        <v>121</v>
      </c>
      <c r="AA74" s="61">
        <v>173.06</v>
      </c>
      <c r="AB74" s="60">
        <v>407.56400000000002</v>
      </c>
      <c r="AC74" s="62"/>
      <c r="AD74" s="61"/>
      <c r="AE74" s="61"/>
      <c r="AF74" s="61"/>
      <c r="AG74" s="61"/>
      <c r="AH74" s="61"/>
      <c r="AI74" s="61"/>
      <c r="AJ74" s="61"/>
      <c r="AK74" s="62"/>
      <c r="AL74" s="63"/>
      <c r="AM74" s="64"/>
      <c r="AN74" s="65" t="e">
        <v>#N/A</v>
      </c>
      <c r="AO74" s="61" t="e">
        <v>#N/A</v>
      </c>
      <c r="AP74" s="61" t="e">
        <v>#N/A</v>
      </c>
      <c r="AQ74" s="61" t="e">
        <v>#N/A</v>
      </c>
      <c r="AR74" s="61" t="e">
        <v>#N/A</v>
      </c>
      <c r="AS74" s="61" t="e">
        <v>#N/A</v>
      </c>
      <c r="AT74" s="61" t="e">
        <v>#N/A</v>
      </c>
      <c r="AU74" s="61" t="e">
        <v>#N/A</v>
      </c>
      <c r="AV74" s="61" t="e">
        <v>#N/A</v>
      </c>
      <c r="AW74" s="61" t="e">
        <v>#N/A</v>
      </c>
      <c r="AX74" s="65" t="e">
        <v>#N/A</v>
      </c>
      <c r="AY74" s="66" t="s">
        <v>121</v>
      </c>
      <c r="AZ74" s="61" t="s">
        <v>121</v>
      </c>
      <c r="BA74" s="61">
        <v>52.814999999999998</v>
      </c>
      <c r="BB74" s="61">
        <v>52.814999999999998</v>
      </c>
      <c r="BC74" s="61" t="s">
        <v>121</v>
      </c>
      <c r="BD74" s="61" t="s">
        <v>121</v>
      </c>
      <c r="BE74" s="61" t="s">
        <v>121</v>
      </c>
      <c r="BF74" s="61" t="s">
        <v>121</v>
      </c>
      <c r="BG74" s="61">
        <v>1.0049999999999999</v>
      </c>
      <c r="BH74" s="61" t="s">
        <v>121</v>
      </c>
      <c r="BI74" s="61" t="s">
        <v>121</v>
      </c>
      <c r="BJ74" s="61">
        <v>1.0049999999999999</v>
      </c>
      <c r="BK74" s="66">
        <v>1.0049999999999999</v>
      </c>
      <c r="BL74" s="67" t="s">
        <v>121</v>
      </c>
      <c r="BM74" s="61" t="s">
        <v>121</v>
      </c>
      <c r="BN74" s="61" t="s">
        <v>121</v>
      </c>
      <c r="BO74" s="61" t="s">
        <v>121</v>
      </c>
      <c r="BP74" s="61" t="s">
        <v>121</v>
      </c>
      <c r="BQ74" s="61">
        <v>228.79</v>
      </c>
      <c r="BR74" s="61">
        <v>3.2280000000000002</v>
      </c>
      <c r="BS74" s="61" t="s">
        <v>121</v>
      </c>
      <c r="BT74" s="61" t="s">
        <v>121</v>
      </c>
      <c r="BU74" s="61">
        <v>0.17499999999999999</v>
      </c>
      <c r="BV74" s="61">
        <v>0.126</v>
      </c>
      <c r="BW74" s="61">
        <v>0.30099999999999999</v>
      </c>
      <c r="BX74" s="67">
        <v>232.31899999999999</v>
      </c>
      <c r="BY74" s="68">
        <v>104171</v>
      </c>
      <c r="BZ74" s="68">
        <v>128835</v>
      </c>
      <c r="CA74" s="69">
        <v>7865</v>
      </c>
      <c r="CB74" s="68">
        <v>216463</v>
      </c>
      <c r="CC74" s="68">
        <v>48</v>
      </c>
      <c r="CD74" s="61"/>
      <c r="CE74" s="64"/>
      <c r="CF74" s="64"/>
      <c r="CG74" s="70">
        <f t="shared" si="6"/>
        <v>9091.4459999999999</v>
      </c>
      <c r="CH74" s="70">
        <f t="shared" si="7"/>
        <v>330.33</v>
      </c>
      <c r="CI74" s="70">
        <f t="shared" si="8"/>
        <v>2.016</v>
      </c>
      <c r="CJ74" s="70">
        <f t="shared" si="10"/>
        <v>4375.1819999999998</v>
      </c>
      <c r="CK74" s="70">
        <f t="shared" si="10"/>
        <v>5411.07</v>
      </c>
      <c r="CL74" s="70">
        <f t="shared" si="9"/>
        <v>2.016</v>
      </c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  <c r="DI74" s="61"/>
      <c r="DJ74" s="61"/>
      <c r="DK74" s="61"/>
      <c r="DL74" s="61"/>
      <c r="DM74" s="61"/>
      <c r="DN74" s="61"/>
      <c r="DO74" s="61"/>
      <c r="DP74" s="61"/>
      <c r="DQ74" s="61"/>
      <c r="DR74" s="61"/>
      <c r="DS74" s="61"/>
      <c r="DT74" s="61"/>
      <c r="DU74" s="61"/>
      <c r="DV74" s="61"/>
      <c r="DW74" s="61"/>
      <c r="DX74" s="61"/>
      <c r="DY74" s="61"/>
      <c r="DZ74" s="61"/>
      <c r="EA74" s="61"/>
      <c r="EB74" s="61"/>
      <c r="EC74" s="61"/>
      <c r="ED74" s="61"/>
      <c r="EE74" s="61"/>
      <c r="EF74" s="61"/>
      <c r="EG74" s="61"/>
      <c r="EH74" s="61"/>
      <c r="EI74" s="61"/>
      <c r="EJ74" s="61"/>
      <c r="EK74" s="61"/>
      <c r="EL74" s="61"/>
      <c r="EM74" s="61"/>
      <c r="EN74" s="61"/>
      <c r="EO74" s="61"/>
      <c r="EP74" s="61"/>
      <c r="EQ74" s="61"/>
      <c r="ER74" s="61"/>
      <c r="ES74" s="61"/>
      <c r="ET74" s="61"/>
      <c r="EU74" s="61"/>
      <c r="EV74" s="61"/>
      <c r="EW74" s="61"/>
    </row>
    <row r="75" spans="1:153">
      <c r="A75" s="56">
        <v>28856</v>
      </c>
      <c r="B75" s="57"/>
      <c r="C75" s="58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8"/>
      <c r="P75" s="60">
        <v>182.453</v>
      </c>
      <c r="Q75" s="61" t="s">
        <v>121</v>
      </c>
      <c r="R75" s="61">
        <v>182.6</v>
      </c>
      <c r="S75" s="61">
        <v>447.79599999999999</v>
      </c>
      <c r="T75" s="61">
        <v>262.096</v>
      </c>
      <c r="U75" s="61">
        <v>3.0990000000000002</v>
      </c>
      <c r="V75" s="61" t="s">
        <v>121</v>
      </c>
      <c r="W75" s="61" t="s">
        <v>121</v>
      </c>
      <c r="X75" s="61">
        <v>182.453</v>
      </c>
      <c r="Y75" s="61">
        <v>0.14699999999999999</v>
      </c>
      <c r="Z75" s="61" t="s">
        <v>121</v>
      </c>
      <c r="AA75" s="61">
        <v>182.6</v>
      </c>
      <c r="AB75" s="60">
        <v>447.79599999999999</v>
      </c>
      <c r="AC75" s="62"/>
      <c r="AD75" s="61"/>
      <c r="AE75" s="61"/>
      <c r="AF75" s="61"/>
      <c r="AG75" s="61"/>
      <c r="AH75" s="61"/>
      <c r="AI75" s="61"/>
      <c r="AJ75" s="61"/>
      <c r="AK75" s="62"/>
      <c r="AL75" s="63"/>
      <c r="AM75" s="64"/>
      <c r="AN75" s="65" t="e">
        <v>#N/A</v>
      </c>
      <c r="AO75" s="61" t="e">
        <v>#N/A</v>
      </c>
      <c r="AP75" s="61" t="e">
        <v>#N/A</v>
      </c>
      <c r="AQ75" s="61" t="e">
        <v>#N/A</v>
      </c>
      <c r="AR75" s="61" t="e">
        <v>#N/A</v>
      </c>
      <c r="AS75" s="61" t="e">
        <v>#N/A</v>
      </c>
      <c r="AT75" s="61" t="e">
        <v>#N/A</v>
      </c>
      <c r="AU75" s="61" t="e">
        <v>#N/A</v>
      </c>
      <c r="AV75" s="61" t="e">
        <v>#N/A</v>
      </c>
      <c r="AW75" s="61" t="e">
        <v>#N/A</v>
      </c>
      <c r="AX75" s="65" t="e">
        <v>#N/A</v>
      </c>
      <c r="AY75" s="66" t="s">
        <v>121</v>
      </c>
      <c r="AZ75" s="61" t="s">
        <v>121</v>
      </c>
      <c r="BA75" s="61">
        <v>61.837000000000003</v>
      </c>
      <c r="BB75" s="61">
        <v>61.837000000000003</v>
      </c>
      <c r="BC75" s="61" t="s">
        <v>121</v>
      </c>
      <c r="BD75" s="61" t="s">
        <v>121</v>
      </c>
      <c r="BE75" s="61" t="s">
        <v>121</v>
      </c>
      <c r="BF75" s="61" t="s">
        <v>121</v>
      </c>
      <c r="BG75" s="61">
        <v>1.173</v>
      </c>
      <c r="BH75" s="61" t="s">
        <v>121</v>
      </c>
      <c r="BI75" s="61" t="s">
        <v>121</v>
      </c>
      <c r="BJ75" s="61">
        <v>1.173</v>
      </c>
      <c r="BK75" s="66">
        <v>1.173</v>
      </c>
      <c r="BL75" s="67" t="s">
        <v>121</v>
      </c>
      <c r="BM75" s="61" t="s">
        <v>121</v>
      </c>
      <c r="BN75" s="61" t="s">
        <v>121</v>
      </c>
      <c r="BO75" s="61" t="s">
        <v>121</v>
      </c>
      <c r="BP75" s="61" t="s">
        <v>121</v>
      </c>
      <c r="BQ75" s="61">
        <v>259.04700000000003</v>
      </c>
      <c r="BR75" s="61">
        <v>3.0990000000000002</v>
      </c>
      <c r="BS75" s="61" t="s">
        <v>121</v>
      </c>
      <c r="BT75" s="61" t="s">
        <v>121</v>
      </c>
      <c r="BU75" s="61">
        <v>0.126</v>
      </c>
      <c r="BV75" s="61">
        <v>0.14699999999999999</v>
      </c>
      <c r="BW75" s="61">
        <v>0.27300000000000002</v>
      </c>
      <c r="BX75" s="67">
        <v>262.42</v>
      </c>
      <c r="BY75" s="68">
        <v>94330</v>
      </c>
      <c r="BZ75" s="68">
        <v>141996</v>
      </c>
      <c r="CA75" s="69">
        <v>7002</v>
      </c>
      <c r="CB75" s="68">
        <v>175837</v>
      </c>
      <c r="CC75" s="68">
        <v>18</v>
      </c>
      <c r="CD75" s="61"/>
      <c r="CE75" s="64"/>
      <c r="CF75" s="64"/>
      <c r="CG75" s="70">
        <f t="shared" si="6"/>
        <v>7385.1540000000005</v>
      </c>
      <c r="CH75" s="70">
        <f t="shared" si="7"/>
        <v>294.084</v>
      </c>
      <c r="CI75" s="70">
        <f t="shared" si="8"/>
        <v>0.75600000000000001</v>
      </c>
      <c r="CJ75" s="70">
        <f t="shared" si="10"/>
        <v>3961.86</v>
      </c>
      <c r="CK75" s="70">
        <f t="shared" si="10"/>
        <v>5963.8320000000003</v>
      </c>
      <c r="CL75" s="70">
        <f t="shared" si="9"/>
        <v>0.75600000000000001</v>
      </c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61"/>
      <c r="DK75" s="61"/>
      <c r="DL75" s="61"/>
      <c r="DM75" s="61"/>
      <c r="DN75" s="61"/>
      <c r="DO75" s="61"/>
      <c r="DP75" s="61"/>
      <c r="DQ75" s="61"/>
      <c r="DR75" s="61"/>
      <c r="DS75" s="61"/>
      <c r="DT75" s="61"/>
      <c r="DU75" s="61"/>
      <c r="DV75" s="61"/>
      <c r="DW75" s="61"/>
      <c r="DX75" s="61"/>
      <c r="DY75" s="61"/>
      <c r="DZ75" s="61"/>
      <c r="EA75" s="61"/>
      <c r="EB75" s="61"/>
      <c r="EC75" s="61"/>
      <c r="ED75" s="61"/>
      <c r="EE75" s="61"/>
      <c r="EF75" s="61"/>
      <c r="EG75" s="61"/>
      <c r="EH75" s="61"/>
      <c r="EI75" s="61"/>
      <c r="EJ75" s="61"/>
      <c r="EK75" s="61"/>
      <c r="EL75" s="61"/>
      <c r="EM75" s="61"/>
      <c r="EN75" s="61"/>
      <c r="EO75" s="61"/>
      <c r="EP75" s="61"/>
      <c r="EQ75" s="61"/>
      <c r="ER75" s="61"/>
      <c r="ES75" s="61"/>
      <c r="ET75" s="61"/>
      <c r="EU75" s="61"/>
      <c r="EV75" s="61"/>
      <c r="EW75" s="61"/>
    </row>
    <row r="76" spans="1:153">
      <c r="A76" s="56">
        <v>28887</v>
      </c>
      <c r="B76" s="57"/>
      <c r="C76" s="58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8"/>
      <c r="P76" s="60">
        <v>164.92699999999999</v>
      </c>
      <c r="Q76" s="61" t="s">
        <v>121</v>
      </c>
      <c r="R76" s="61">
        <v>165.096</v>
      </c>
      <c r="S76" s="61">
        <v>390.48700000000002</v>
      </c>
      <c r="T76" s="61">
        <v>222.85499999999999</v>
      </c>
      <c r="U76" s="61">
        <v>2.5350000000000001</v>
      </c>
      <c r="V76" s="61" t="s">
        <v>121</v>
      </c>
      <c r="W76" s="61" t="s">
        <v>121</v>
      </c>
      <c r="X76" s="61">
        <v>164.92699999999999</v>
      </c>
      <c r="Y76" s="61">
        <v>0.16900000000000001</v>
      </c>
      <c r="Z76" s="61" t="s">
        <v>121</v>
      </c>
      <c r="AA76" s="61">
        <v>165.096</v>
      </c>
      <c r="AB76" s="60">
        <v>390.48700000000002</v>
      </c>
      <c r="AC76" s="62"/>
      <c r="AD76" s="61"/>
      <c r="AE76" s="61"/>
      <c r="AF76" s="61"/>
      <c r="AG76" s="61"/>
      <c r="AH76" s="61"/>
      <c r="AI76" s="61"/>
      <c r="AJ76" s="61"/>
      <c r="AK76" s="62"/>
      <c r="AL76" s="63"/>
      <c r="AM76" s="64"/>
      <c r="AN76" s="65" t="e">
        <v>#N/A</v>
      </c>
      <c r="AO76" s="61" t="e">
        <v>#N/A</v>
      </c>
      <c r="AP76" s="61" t="e">
        <v>#N/A</v>
      </c>
      <c r="AQ76" s="61" t="e">
        <v>#N/A</v>
      </c>
      <c r="AR76" s="61" t="e">
        <v>#N/A</v>
      </c>
      <c r="AS76" s="61" t="e">
        <v>#N/A</v>
      </c>
      <c r="AT76" s="61" t="e">
        <v>#N/A</v>
      </c>
      <c r="AU76" s="61" t="e">
        <v>#N/A</v>
      </c>
      <c r="AV76" s="61" t="e">
        <v>#N/A</v>
      </c>
      <c r="AW76" s="61" t="e">
        <v>#N/A</v>
      </c>
      <c r="AX76" s="65" t="e">
        <v>#N/A</v>
      </c>
      <c r="AY76" s="66" t="s">
        <v>121</v>
      </c>
      <c r="AZ76" s="61" t="s">
        <v>121</v>
      </c>
      <c r="BA76" s="61">
        <v>55.851999999999997</v>
      </c>
      <c r="BB76" s="61">
        <v>55.851999999999997</v>
      </c>
      <c r="BC76" s="61" t="s">
        <v>121</v>
      </c>
      <c r="BD76" s="61" t="s">
        <v>121</v>
      </c>
      <c r="BE76" s="61" t="s">
        <v>121</v>
      </c>
      <c r="BF76" s="61" t="s">
        <v>121</v>
      </c>
      <c r="BG76" s="61">
        <v>1.06</v>
      </c>
      <c r="BH76" s="61" t="s">
        <v>121</v>
      </c>
      <c r="BI76" s="61" t="s">
        <v>121</v>
      </c>
      <c r="BJ76" s="61">
        <v>1.06</v>
      </c>
      <c r="BK76" s="66">
        <v>1.06</v>
      </c>
      <c r="BL76" s="67" t="s">
        <v>121</v>
      </c>
      <c r="BM76" s="61" t="s">
        <v>121</v>
      </c>
      <c r="BN76" s="61" t="s">
        <v>121</v>
      </c>
      <c r="BO76" s="61" t="s">
        <v>121</v>
      </c>
      <c r="BP76" s="61" t="s">
        <v>121</v>
      </c>
      <c r="BQ76" s="61">
        <v>220.26300000000001</v>
      </c>
      <c r="BR76" s="61">
        <v>2.5350000000000001</v>
      </c>
      <c r="BS76" s="61" t="s">
        <v>121</v>
      </c>
      <c r="BT76" s="61" t="s">
        <v>121</v>
      </c>
      <c r="BU76" s="61">
        <v>0.245</v>
      </c>
      <c r="BV76" s="61">
        <v>0.16900000000000001</v>
      </c>
      <c r="BW76" s="61">
        <v>0.41399999999999998</v>
      </c>
      <c r="BX76" s="67">
        <v>223.21199999999999</v>
      </c>
      <c r="BY76" s="68">
        <v>80861</v>
      </c>
      <c r="BZ76" s="68">
        <v>134741</v>
      </c>
      <c r="CA76" s="69">
        <v>5477</v>
      </c>
      <c r="CB76" s="68">
        <v>127292</v>
      </c>
      <c r="CC76" s="68">
        <v>196</v>
      </c>
      <c r="CD76" s="61"/>
      <c r="CE76" s="64"/>
      <c r="CF76" s="64"/>
      <c r="CG76" s="70">
        <f t="shared" si="6"/>
        <v>5346.2640000000001</v>
      </c>
      <c r="CH76" s="70">
        <f t="shared" si="7"/>
        <v>230.03399999999999</v>
      </c>
      <c r="CI76" s="70">
        <f t="shared" si="8"/>
        <v>8.2319999999999993</v>
      </c>
      <c r="CJ76" s="70">
        <f t="shared" si="10"/>
        <v>3396.1619999999998</v>
      </c>
      <c r="CK76" s="70">
        <f t="shared" si="10"/>
        <v>5659.1220000000003</v>
      </c>
      <c r="CL76" s="70">
        <f t="shared" si="9"/>
        <v>8.2319999999999993</v>
      </c>
      <c r="CM76" s="61"/>
      <c r="CN76" s="61"/>
      <c r="CO76" s="61"/>
      <c r="CP76" s="61"/>
      <c r="CQ76" s="61"/>
      <c r="CR76" s="61"/>
      <c r="CS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61"/>
      <c r="DK76" s="61"/>
      <c r="DL76" s="61"/>
      <c r="DM76" s="61"/>
      <c r="DN76" s="61"/>
      <c r="DO76" s="61"/>
      <c r="DP76" s="61"/>
      <c r="DQ76" s="61"/>
      <c r="DR76" s="61"/>
      <c r="DS76" s="61"/>
      <c r="DT76" s="61"/>
      <c r="DU76" s="61"/>
      <c r="DV76" s="61"/>
      <c r="DW76" s="61"/>
      <c r="DX76" s="61"/>
      <c r="DY76" s="61"/>
      <c r="DZ76" s="61"/>
      <c r="EA76" s="61"/>
      <c r="EB76" s="61"/>
      <c r="EC76" s="61"/>
      <c r="ED76" s="61"/>
      <c r="EE76" s="61"/>
      <c r="EF76" s="61"/>
      <c r="EG76" s="61"/>
      <c r="EH76" s="61"/>
      <c r="EI76" s="61"/>
      <c r="EJ76" s="61"/>
      <c r="EK76" s="61"/>
      <c r="EL76" s="61"/>
      <c r="EM76" s="61"/>
      <c r="EN76" s="61"/>
      <c r="EO76" s="61"/>
      <c r="EP76" s="61"/>
      <c r="EQ76" s="61"/>
      <c r="ER76" s="61"/>
      <c r="ES76" s="61"/>
      <c r="ET76" s="61"/>
      <c r="EU76" s="61"/>
      <c r="EV76" s="61"/>
      <c r="EW76" s="61"/>
    </row>
    <row r="77" spans="1:153">
      <c r="A77" s="56">
        <v>28915</v>
      </c>
      <c r="B77" s="57"/>
      <c r="C77" s="58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8"/>
      <c r="P77" s="60">
        <v>182.64</v>
      </c>
      <c r="Q77" s="61" t="s">
        <v>121</v>
      </c>
      <c r="R77" s="61">
        <v>182.881</v>
      </c>
      <c r="S77" s="61">
        <v>457.79899999999998</v>
      </c>
      <c r="T77" s="61">
        <v>271.51600000000002</v>
      </c>
      <c r="U77" s="61">
        <v>3.4020000000000001</v>
      </c>
      <c r="V77" s="61" t="s">
        <v>121</v>
      </c>
      <c r="W77" s="61" t="s">
        <v>121</v>
      </c>
      <c r="X77" s="61">
        <v>182.64</v>
      </c>
      <c r="Y77" s="61">
        <v>0.24099999999999999</v>
      </c>
      <c r="Z77" s="61" t="s">
        <v>121</v>
      </c>
      <c r="AA77" s="61">
        <v>182.881</v>
      </c>
      <c r="AB77" s="60">
        <v>457.79899999999998</v>
      </c>
      <c r="AC77" s="62"/>
      <c r="AD77" s="61"/>
      <c r="AE77" s="61"/>
      <c r="AF77" s="61"/>
      <c r="AG77" s="61"/>
      <c r="AH77" s="61"/>
      <c r="AI77" s="61"/>
      <c r="AJ77" s="61"/>
      <c r="AK77" s="62"/>
      <c r="AL77" s="63"/>
      <c r="AM77" s="64"/>
      <c r="AN77" s="65" t="e">
        <v>#N/A</v>
      </c>
      <c r="AO77" s="61" t="e">
        <v>#N/A</v>
      </c>
      <c r="AP77" s="61" t="e">
        <v>#N/A</v>
      </c>
      <c r="AQ77" s="61" t="e">
        <v>#N/A</v>
      </c>
      <c r="AR77" s="61" t="e">
        <v>#N/A</v>
      </c>
      <c r="AS77" s="61" t="e">
        <v>#N/A</v>
      </c>
      <c r="AT77" s="61" t="e">
        <v>#N/A</v>
      </c>
      <c r="AU77" s="61" t="e">
        <v>#N/A</v>
      </c>
      <c r="AV77" s="61" t="e">
        <v>#N/A</v>
      </c>
      <c r="AW77" s="61" t="e">
        <v>#N/A</v>
      </c>
      <c r="AX77" s="65" t="e">
        <v>#N/A</v>
      </c>
      <c r="AY77" s="66" t="s">
        <v>121</v>
      </c>
      <c r="AZ77" s="61" t="s">
        <v>121</v>
      </c>
      <c r="BA77" s="61">
        <v>61.837000000000003</v>
      </c>
      <c r="BB77" s="61">
        <v>61.837000000000003</v>
      </c>
      <c r="BC77" s="61" t="s">
        <v>121</v>
      </c>
      <c r="BD77" s="61" t="s">
        <v>121</v>
      </c>
      <c r="BE77" s="61" t="s">
        <v>121</v>
      </c>
      <c r="BF77" s="61" t="s">
        <v>121</v>
      </c>
      <c r="BG77" s="61">
        <v>1.173</v>
      </c>
      <c r="BH77" s="61" t="s">
        <v>121</v>
      </c>
      <c r="BI77" s="61" t="s">
        <v>121</v>
      </c>
      <c r="BJ77" s="61">
        <v>1.173</v>
      </c>
      <c r="BK77" s="66">
        <v>1.173</v>
      </c>
      <c r="BL77" s="67" t="s">
        <v>121</v>
      </c>
      <c r="BM77" s="61" t="s">
        <v>121</v>
      </c>
      <c r="BN77" s="61" t="s">
        <v>121</v>
      </c>
      <c r="BO77" s="61" t="s">
        <v>121</v>
      </c>
      <c r="BP77" s="61" t="s">
        <v>121</v>
      </c>
      <c r="BQ77" s="61">
        <v>268.358</v>
      </c>
      <c r="BR77" s="61">
        <v>3.4020000000000001</v>
      </c>
      <c r="BS77" s="61" t="s">
        <v>121</v>
      </c>
      <c r="BT77" s="61" t="s">
        <v>121</v>
      </c>
      <c r="BU77" s="61">
        <v>0.313</v>
      </c>
      <c r="BV77" s="61">
        <v>0.24099999999999999</v>
      </c>
      <c r="BW77" s="61">
        <v>0.55400000000000005</v>
      </c>
      <c r="BX77" s="67">
        <v>272.31400000000002</v>
      </c>
      <c r="BY77" s="68">
        <v>93595</v>
      </c>
      <c r="BZ77" s="68">
        <v>113598</v>
      </c>
      <c r="CA77" s="69">
        <v>5453</v>
      </c>
      <c r="CB77" s="68">
        <v>112759</v>
      </c>
      <c r="CC77" s="68">
        <v>42</v>
      </c>
      <c r="CD77" s="61"/>
      <c r="CE77" s="64"/>
      <c r="CF77" s="64"/>
      <c r="CG77" s="70">
        <f t="shared" si="6"/>
        <v>4735.8779999999997</v>
      </c>
      <c r="CH77" s="70">
        <f t="shared" si="7"/>
        <v>229.02600000000001</v>
      </c>
      <c r="CI77" s="70">
        <f t="shared" si="8"/>
        <v>1.764</v>
      </c>
      <c r="CJ77" s="70">
        <f t="shared" si="10"/>
        <v>3930.99</v>
      </c>
      <c r="CK77" s="70">
        <f t="shared" si="10"/>
        <v>4771.116</v>
      </c>
      <c r="CL77" s="70">
        <f t="shared" si="9"/>
        <v>1.764</v>
      </c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61"/>
      <c r="DK77" s="61"/>
      <c r="DL77" s="61"/>
      <c r="DM77" s="61"/>
      <c r="DN77" s="61"/>
      <c r="DO77" s="61"/>
      <c r="DP77" s="61"/>
      <c r="DQ77" s="61"/>
      <c r="DR77" s="61"/>
      <c r="DS77" s="61"/>
      <c r="DT77" s="61"/>
      <c r="DU77" s="61"/>
      <c r="DV77" s="61"/>
      <c r="DW77" s="61"/>
      <c r="DX77" s="61"/>
      <c r="DY77" s="61"/>
      <c r="DZ77" s="61"/>
      <c r="EA77" s="61"/>
      <c r="EB77" s="61"/>
      <c r="EC77" s="61"/>
      <c r="ED77" s="61"/>
      <c r="EE77" s="61"/>
      <c r="EF77" s="61"/>
      <c r="EG77" s="61"/>
      <c r="EH77" s="61"/>
      <c r="EI77" s="61"/>
      <c r="EJ77" s="61"/>
      <c r="EK77" s="61"/>
      <c r="EL77" s="61"/>
      <c r="EM77" s="61"/>
      <c r="EN77" s="61"/>
      <c r="EO77" s="61"/>
      <c r="EP77" s="61"/>
      <c r="EQ77" s="61"/>
      <c r="ER77" s="61"/>
      <c r="ES77" s="61"/>
      <c r="ET77" s="61"/>
      <c r="EU77" s="61"/>
      <c r="EV77" s="61"/>
      <c r="EW77" s="61"/>
    </row>
    <row r="78" spans="1:153">
      <c r="A78" s="56">
        <v>28946</v>
      </c>
      <c r="B78" s="57"/>
      <c r="C78" s="58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8"/>
      <c r="P78" s="60">
        <v>176.70699999999999</v>
      </c>
      <c r="Q78" s="61" t="s">
        <v>121</v>
      </c>
      <c r="R78" s="61">
        <v>176.84399999999999</v>
      </c>
      <c r="S78" s="61">
        <v>445.93200000000002</v>
      </c>
      <c r="T78" s="61">
        <v>265.94099999999997</v>
      </c>
      <c r="U78" s="61">
        <v>3.1459999999999999</v>
      </c>
      <c r="V78" s="61" t="s">
        <v>121</v>
      </c>
      <c r="W78" s="61" t="s">
        <v>121</v>
      </c>
      <c r="X78" s="61">
        <v>176.70699999999999</v>
      </c>
      <c r="Y78" s="61">
        <v>0.13800000000000001</v>
      </c>
      <c r="Z78" s="61" t="s">
        <v>121</v>
      </c>
      <c r="AA78" s="61">
        <v>176.84399999999999</v>
      </c>
      <c r="AB78" s="60">
        <v>445.93200000000002</v>
      </c>
      <c r="AC78" s="62"/>
      <c r="AD78" s="61"/>
      <c r="AE78" s="61"/>
      <c r="AF78" s="61"/>
      <c r="AG78" s="61"/>
      <c r="AH78" s="61"/>
      <c r="AI78" s="61"/>
      <c r="AJ78" s="61"/>
      <c r="AK78" s="62"/>
      <c r="AL78" s="63"/>
      <c r="AM78" s="64"/>
      <c r="AN78" s="65" t="e">
        <v>#N/A</v>
      </c>
      <c r="AO78" s="61" t="e">
        <v>#N/A</v>
      </c>
      <c r="AP78" s="61" t="e">
        <v>#N/A</v>
      </c>
      <c r="AQ78" s="61" t="e">
        <v>#N/A</v>
      </c>
      <c r="AR78" s="61" t="e">
        <v>#N/A</v>
      </c>
      <c r="AS78" s="61" t="e">
        <v>#N/A</v>
      </c>
      <c r="AT78" s="61" t="e">
        <v>#N/A</v>
      </c>
      <c r="AU78" s="61" t="e">
        <v>#N/A</v>
      </c>
      <c r="AV78" s="61" t="e">
        <v>#N/A</v>
      </c>
      <c r="AW78" s="61" t="e">
        <v>#N/A</v>
      </c>
      <c r="AX78" s="65" t="e">
        <v>#N/A</v>
      </c>
      <c r="AY78" s="66" t="s">
        <v>121</v>
      </c>
      <c r="AZ78" s="61" t="s">
        <v>121</v>
      </c>
      <c r="BA78" s="61">
        <v>59.841999999999999</v>
      </c>
      <c r="BB78" s="61">
        <v>59.841999999999999</v>
      </c>
      <c r="BC78" s="61" t="s">
        <v>121</v>
      </c>
      <c r="BD78" s="61" t="s">
        <v>121</v>
      </c>
      <c r="BE78" s="61" t="s">
        <v>121</v>
      </c>
      <c r="BF78" s="61" t="s">
        <v>121</v>
      </c>
      <c r="BG78" s="61">
        <v>1.135</v>
      </c>
      <c r="BH78" s="61" t="s">
        <v>121</v>
      </c>
      <c r="BI78" s="61" t="s">
        <v>121</v>
      </c>
      <c r="BJ78" s="61">
        <v>1.135</v>
      </c>
      <c r="BK78" s="66">
        <v>1.135</v>
      </c>
      <c r="BL78" s="67" t="s">
        <v>121</v>
      </c>
      <c r="BM78" s="61" t="s">
        <v>121</v>
      </c>
      <c r="BN78" s="61" t="s">
        <v>121</v>
      </c>
      <c r="BO78" s="61" t="s">
        <v>121</v>
      </c>
      <c r="BP78" s="61" t="s">
        <v>121</v>
      </c>
      <c r="BQ78" s="61">
        <v>262.84699999999998</v>
      </c>
      <c r="BR78" s="61">
        <v>3.1459999999999999</v>
      </c>
      <c r="BS78" s="61" t="s">
        <v>121</v>
      </c>
      <c r="BT78" s="61" t="s">
        <v>121</v>
      </c>
      <c r="BU78" s="61">
        <v>0.26100000000000001</v>
      </c>
      <c r="BV78" s="61">
        <v>0.13800000000000001</v>
      </c>
      <c r="BW78" s="61">
        <v>0.39900000000000002</v>
      </c>
      <c r="BX78" s="67">
        <v>266.392</v>
      </c>
      <c r="BY78" s="68">
        <v>88361</v>
      </c>
      <c r="BZ78" s="68">
        <v>90488</v>
      </c>
      <c r="CA78" s="69">
        <v>4512</v>
      </c>
      <c r="CB78" s="68">
        <v>115140</v>
      </c>
      <c r="CC78" s="68">
        <v>67</v>
      </c>
      <c r="CD78" s="61"/>
      <c r="CE78" s="64"/>
      <c r="CF78" s="64"/>
      <c r="CG78" s="70">
        <f t="shared" si="6"/>
        <v>4835.88</v>
      </c>
      <c r="CH78" s="70">
        <f t="shared" si="7"/>
        <v>189.50399999999999</v>
      </c>
      <c r="CI78" s="70">
        <f t="shared" si="8"/>
        <v>2.8140000000000001</v>
      </c>
      <c r="CJ78" s="70">
        <f t="shared" si="10"/>
        <v>3711.1619999999998</v>
      </c>
      <c r="CK78" s="70">
        <f t="shared" si="10"/>
        <v>3800.4960000000001</v>
      </c>
      <c r="CL78" s="70">
        <f t="shared" si="9"/>
        <v>2.8140000000000001</v>
      </c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  <c r="DL78" s="61"/>
      <c r="DM78" s="61"/>
      <c r="DN78" s="61"/>
      <c r="DO78" s="61"/>
      <c r="DP78" s="61"/>
      <c r="DQ78" s="61"/>
      <c r="DR78" s="61"/>
      <c r="DS78" s="61"/>
      <c r="DT78" s="61"/>
      <c r="DU78" s="61"/>
      <c r="DV78" s="61"/>
      <c r="DW78" s="61"/>
      <c r="DX78" s="61"/>
      <c r="DY78" s="61"/>
      <c r="DZ78" s="61"/>
      <c r="EA78" s="61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61"/>
      <c r="EO78" s="61"/>
      <c r="EP78" s="61"/>
      <c r="EQ78" s="61"/>
      <c r="ER78" s="61"/>
      <c r="ES78" s="61"/>
      <c r="ET78" s="61"/>
      <c r="EU78" s="61"/>
      <c r="EV78" s="61"/>
      <c r="EW78" s="61"/>
    </row>
    <row r="79" spans="1:153">
      <c r="A79" s="56">
        <v>28976</v>
      </c>
      <c r="B79" s="57"/>
      <c r="C79" s="58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8"/>
      <c r="P79" s="60">
        <v>182.56100000000001</v>
      </c>
      <c r="Q79" s="61" t="s">
        <v>121</v>
      </c>
      <c r="R79" s="61">
        <v>182.78200000000001</v>
      </c>
      <c r="S79" s="61">
        <v>489.08</v>
      </c>
      <c r="T79" s="61">
        <v>303.13400000000001</v>
      </c>
      <c r="U79" s="61">
        <v>3.1640000000000001</v>
      </c>
      <c r="V79" s="61" t="s">
        <v>121</v>
      </c>
      <c r="W79" s="61" t="s">
        <v>121</v>
      </c>
      <c r="X79" s="61">
        <v>182.56100000000001</v>
      </c>
      <c r="Y79" s="61">
        <v>0.221</v>
      </c>
      <c r="Z79" s="61" t="s">
        <v>121</v>
      </c>
      <c r="AA79" s="61">
        <v>182.78200000000001</v>
      </c>
      <c r="AB79" s="60">
        <v>489.08</v>
      </c>
      <c r="AC79" s="62"/>
      <c r="AD79" s="61"/>
      <c r="AE79" s="61"/>
      <c r="AF79" s="61"/>
      <c r="AG79" s="61"/>
      <c r="AH79" s="61"/>
      <c r="AI79" s="61"/>
      <c r="AJ79" s="61"/>
      <c r="AK79" s="62"/>
      <c r="AL79" s="63"/>
      <c r="AM79" s="64"/>
      <c r="AN79" s="65" t="e">
        <v>#N/A</v>
      </c>
      <c r="AO79" s="61" t="e">
        <v>#N/A</v>
      </c>
      <c r="AP79" s="61" t="e">
        <v>#N/A</v>
      </c>
      <c r="AQ79" s="61" t="e">
        <v>#N/A</v>
      </c>
      <c r="AR79" s="61" t="e">
        <v>#N/A</v>
      </c>
      <c r="AS79" s="61" t="e">
        <v>#N/A</v>
      </c>
      <c r="AT79" s="61" t="e">
        <v>#N/A</v>
      </c>
      <c r="AU79" s="61" t="e">
        <v>#N/A</v>
      </c>
      <c r="AV79" s="61" t="e">
        <v>#N/A</v>
      </c>
      <c r="AW79" s="61" t="e">
        <v>#N/A</v>
      </c>
      <c r="AX79" s="65" t="e">
        <v>#N/A</v>
      </c>
      <c r="AY79" s="66" t="s">
        <v>121</v>
      </c>
      <c r="AZ79" s="61" t="s">
        <v>121</v>
      </c>
      <c r="BA79" s="61">
        <v>61.837000000000003</v>
      </c>
      <c r="BB79" s="61">
        <v>61.837000000000003</v>
      </c>
      <c r="BC79" s="61" t="s">
        <v>121</v>
      </c>
      <c r="BD79" s="61" t="s">
        <v>121</v>
      </c>
      <c r="BE79" s="61" t="s">
        <v>121</v>
      </c>
      <c r="BF79" s="61" t="s">
        <v>121</v>
      </c>
      <c r="BG79" s="61">
        <v>1.173</v>
      </c>
      <c r="BH79" s="61" t="s">
        <v>121</v>
      </c>
      <c r="BI79" s="61" t="s">
        <v>121</v>
      </c>
      <c r="BJ79" s="61">
        <v>1.173</v>
      </c>
      <c r="BK79" s="66">
        <v>1.173</v>
      </c>
      <c r="BL79" s="67" t="s">
        <v>121</v>
      </c>
      <c r="BM79" s="61" t="s">
        <v>121</v>
      </c>
      <c r="BN79" s="61" t="s">
        <v>121</v>
      </c>
      <c r="BO79" s="61" t="s">
        <v>121</v>
      </c>
      <c r="BP79" s="61" t="s">
        <v>121</v>
      </c>
      <c r="BQ79" s="61">
        <v>299.60700000000003</v>
      </c>
      <c r="BR79" s="61">
        <v>3.1640000000000001</v>
      </c>
      <c r="BS79" s="61" t="s">
        <v>121</v>
      </c>
      <c r="BT79" s="61" t="s">
        <v>121</v>
      </c>
      <c r="BU79" s="61">
        <v>0.23400000000000001</v>
      </c>
      <c r="BV79" s="61">
        <v>0.221</v>
      </c>
      <c r="BW79" s="61">
        <v>0.45500000000000002</v>
      </c>
      <c r="BX79" s="67">
        <v>303.22699999999998</v>
      </c>
      <c r="BY79" s="68">
        <v>95036</v>
      </c>
      <c r="BZ79" s="68">
        <v>92923</v>
      </c>
      <c r="CA79" s="69">
        <v>5750</v>
      </c>
      <c r="CB79" s="68">
        <v>123055</v>
      </c>
      <c r="CC79" s="68">
        <v>5</v>
      </c>
      <c r="CD79" s="61"/>
      <c r="CE79" s="64"/>
      <c r="CF79" s="64"/>
      <c r="CG79" s="70">
        <f t="shared" si="6"/>
        <v>5168.3100000000004</v>
      </c>
      <c r="CH79" s="70">
        <f t="shared" si="7"/>
        <v>241.5</v>
      </c>
      <c r="CI79" s="70">
        <f t="shared" si="8"/>
        <v>0.21</v>
      </c>
      <c r="CJ79" s="70">
        <f t="shared" si="10"/>
        <v>3991.5120000000002</v>
      </c>
      <c r="CK79" s="70">
        <f t="shared" si="10"/>
        <v>3902.7660000000001</v>
      </c>
      <c r="CL79" s="70">
        <f t="shared" si="9"/>
        <v>0.21</v>
      </c>
      <c r="CM79" s="61"/>
      <c r="CN79" s="61"/>
      <c r="CO79" s="61"/>
      <c r="CP79" s="61"/>
      <c r="CQ79" s="61"/>
      <c r="CR79" s="61"/>
      <c r="CS79" s="61"/>
      <c r="CT79" s="61"/>
      <c r="CU79" s="61"/>
      <c r="CV79" s="61"/>
      <c r="CW79" s="61"/>
      <c r="CX79" s="61"/>
      <c r="CY79" s="61"/>
      <c r="CZ79" s="61"/>
      <c r="DA79" s="61"/>
      <c r="DB79" s="61"/>
      <c r="DC79" s="61"/>
      <c r="DD79" s="61"/>
      <c r="DE79" s="61"/>
      <c r="DF79" s="61"/>
      <c r="DG79" s="61"/>
      <c r="DH79" s="61"/>
      <c r="DI79" s="61"/>
      <c r="DJ79" s="61"/>
      <c r="DK79" s="61"/>
      <c r="DL79" s="61"/>
      <c r="DM79" s="61"/>
      <c r="DN79" s="61"/>
      <c r="DO79" s="61"/>
      <c r="DP79" s="61"/>
      <c r="DQ79" s="61"/>
      <c r="DR79" s="61"/>
      <c r="DS79" s="61"/>
      <c r="DT79" s="61"/>
      <c r="DU79" s="61"/>
      <c r="DV79" s="61"/>
      <c r="DW79" s="61"/>
      <c r="DX79" s="61"/>
      <c r="DY79" s="61"/>
      <c r="DZ79" s="61"/>
      <c r="EA79" s="61"/>
      <c r="EB79" s="61"/>
      <c r="EC79" s="61"/>
      <c r="ED79" s="61"/>
      <c r="EE79" s="61"/>
      <c r="EF79" s="61"/>
      <c r="EG79" s="61"/>
      <c r="EH79" s="61"/>
      <c r="EI79" s="61"/>
      <c r="EJ79" s="61"/>
      <c r="EK79" s="61"/>
      <c r="EL79" s="61"/>
      <c r="EM79" s="61"/>
      <c r="EN79" s="61"/>
      <c r="EO79" s="61"/>
      <c r="EP79" s="61"/>
      <c r="EQ79" s="61"/>
      <c r="ER79" s="61"/>
      <c r="ES79" s="61"/>
      <c r="ET79" s="61"/>
      <c r="EU79" s="61"/>
      <c r="EV79" s="61"/>
      <c r="EW79" s="61"/>
    </row>
    <row r="80" spans="1:153">
      <c r="A80" s="56">
        <v>29007</v>
      </c>
      <c r="B80" s="57"/>
      <c r="C80" s="58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8"/>
      <c r="P80" s="60">
        <v>176.66200000000001</v>
      </c>
      <c r="Q80" s="61" t="s">
        <v>121</v>
      </c>
      <c r="R80" s="61">
        <v>176.833</v>
      </c>
      <c r="S80" s="61">
        <v>441.68299999999999</v>
      </c>
      <c r="T80" s="61">
        <v>261.64600000000002</v>
      </c>
      <c r="U80" s="61">
        <v>3.2040000000000002</v>
      </c>
      <c r="V80" s="61" t="s">
        <v>121</v>
      </c>
      <c r="W80" s="61" t="s">
        <v>121</v>
      </c>
      <c r="X80" s="61">
        <v>176.66200000000001</v>
      </c>
      <c r="Y80" s="61">
        <v>0.17</v>
      </c>
      <c r="Z80" s="61" t="s">
        <v>121</v>
      </c>
      <c r="AA80" s="61">
        <v>176.833</v>
      </c>
      <c r="AB80" s="60">
        <v>441.68299999999999</v>
      </c>
      <c r="AC80" s="62"/>
      <c r="AD80" s="61"/>
      <c r="AE80" s="61"/>
      <c r="AF80" s="61"/>
      <c r="AG80" s="61"/>
      <c r="AH80" s="61"/>
      <c r="AI80" s="61"/>
      <c r="AJ80" s="61"/>
      <c r="AK80" s="62"/>
      <c r="AL80" s="63"/>
      <c r="AM80" s="64"/>
      <c r="AN80" s="65" t="e">
        <v>#N/A</v>
      </c>
      <c r="AO80" s="61" t="e">
        <v>#N/A</v>
      </c>
      <c r="AP80" s="61" t="e">
        <v>#N/A</v>
      </c>
      <c r="AQ80" s="61" t="e">
        <v>#N/A</v>
      </c>
      <c r="AR80" s="61" t="e">
        <v>#N/A</v>
      </c>
      <c r="AS80" s="61" t="e">
        <v>#N/A</v>
      </c>
      <c r="AT80" s="61" t="e">
        <v>#N/A</v>
      </c>
      <c r="AU80" s="61" t="e">
        <v>#N/A</v>
      </c>
      <c r="AV80" s="61" t="e">
        <v>#N/A</v>
      </c>
      <c r="AW80" s="61" t="e">
        <v>#N/A</v>
      </c>
      <c r="AX80" s="65" t="e">
        <v>#N/A</v>
      </c>
      <c r="AY80" s="66" t="s">
        <v>121</v>
      </c>
      <c r="AZ80" s="61" t="s">
        <v>121</v>
      </c>
      <c r="BA80" s="61">
        <v>59.841999999999999</v>
      </c>
      <c r="BB80" s="61">
        <v>59.841999999999999</v>
      </c>
      <c r="BC80" s="61" t="s">
        <v>121</v>
      </c>
      <c r="BD80" s="61" t="s">
        <v>121</v>
      </c>
      <c r="BE80" s="61" t="s">
        <v>121</v>
      </c>
      <c r="BF80" s="61" t="s">
        <v>121</v>
      </c>
      <c r="BG80" s="61">
        <v>1.135</v>
      </c>
      <c r="BH80" s="61" t="s">
        <v>121</v>
      </c>
      <c r="BI80" s="61" t="s">
        <v>121</v>
      </c>
      <c r="BJ80" s="61">
        <v>1.135</v>
      </c>
      <c r="BK80" s="66">
        <v>1.135</v>
      </c>
      <c r="BL80" s="67" t="s">
        <v>121</v>
      </c>
      <c r="BM80" s="61" t="s">
        <v>121</v>
      </c>
      <c r="BN80" s="61" t="s">
        <v>121</v>
      </c>
      <c r="BO80" s="61" t="s">
        <v>121</v>
      </c>
      <c r="BP80" s="61" t="s">
        <v>121</v>
      </c>
      <c r="BQ80" s="61">
        <v>258.60300000000001</v>
      </c>
      <c r="BR80" s="61">
        <v>3.2040000000000002</v>
      </c>
      <c r="BS80" s="61" t="s">
        <v>121</v>
      </c>
      <c r="BT80" s="61" t="s">
        <v>121</v>
      </c>
      <c r="BU80" s="61">
        <v>0.217</v>
      </c>
      <c r="BV80" s="61">
        <v>0.17</v>
      </c>
      <c r="BW80" s="61">
        <v>0.38700000000000001</v>
      </c>
      <c r="BX80" s="67">
        <v>262.19400000000002</v>
      </c>
      <c r="BY80" s="68">
        <v>94580</v>
      </c>
      <c r="BZ80" s="68">
        <v>81236</v>
      </c>
      <c r="CA80" s="69">
        <v>5387</v>
      </c>
      <c r="CB80" s="68">
        <v>141383</v>
      </c>
      <c r="CC80" s="68">
        <v>463</v>
      </c>
      <c r="CD80" s="61"/>
      <c r="CE80" s="64"/>
      <c r="CF80" s="64"/>
      <c r="CG80" s="70">
        <f t="shared" si="6"/>
        <v>5938.0860000000002</v>
      </c>
      <c r="CH80" s="70">
        <f t="shared" si="7"/>
        <v>226.25399999999999</v>
      </c>
      <c r="CI80" s="70">
        <f t="shared" si="8"/>
        <v>19.446000000000002</v>
      </c>
      <c r="CJ80" s="70">
        <f t="shared" si="10"/>
        <v>3972.36</v>
      </c>
      <c r="CK80" s="70">
        <f t="shared" si="10"/>
        <v>3411.9119999999998</v>
      </c>
      <c r="CL80" s="70">
        <f t="shared" si="9"/>
        <v>19.446000000000002</v>
      </c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61"/>
      <c r="DK80" s="61"/>
      <c r="DL80" s="61"/>
      <c r="DM80" s="61"/>
      <c r="DN80" s="61"/>
      <c r="DO80" s="61"/>
      <c r="DP80" s="61"/>
      <c r="DQ80" s="61"/>
      <c r="DR80" s="61"/>
      <c r="DS80" s="61"/>
      <c r="DT80" s="61"/>
      <c r="DU80" s="61"/>
      <c r="DV80" s="61"/>
      <c r="DW80" s="61"/>
      <c r="DX80" s="61"/>
      <c r="DY80" s="61"/>
      <c r="DZ80" s="61"/>
      <c r="EA80" s="61"/>
      <c r="EB80" s="61"/>
      <c r="EC80" s="61"/>
      <c r="ED80" s="61"/>
      <c r="EE80" s="61"/>
      <c r="EF80" s="61"/>
      <c r="EG80" s="61"/>
      <c r="EH80" s="61"/>
      <c r="EI80" s="61"/>
      <c r="EJ80" s="61"/>
      <c r="EK80" s="61"/>
      <c r="EL80" s="61"/>
      <c r="EM80" s="61"/>
      <c r="EN80" s="61"/>
      <c r="EO80" s="61"/>
      <c r="EP80" s="61"/>
      <c r="EQ80" s="61"/>
      <c r="ER80" s="61"/>
      <c r="ES80" s="61"/>
      <c r="ET80" s="61"/>
      <c r="EU80" s="61"/>
      <c r="EV80" s="61"/>
      <c r="EW80" s="61"/>
    </row>
    <row r="81" spans="1:153">
      <c r="A81" s="56">
        <v>29037</v>
      </c>
      <c r="B81" s="57"/>
      <c r="C81" s="58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8"/>
      <c r="P81" s="60">
        <v>182.536</v>
      </c>
      <c r="Q81" s="61" t="s">
        <v>121</v>
      </c>
      <c r="R81" s="61">
        <v>182.7</v>
      </c>
      <c r="S81" s="61">
        <v>424.51299999999998</v>
      </c>
      <c r="T81" s="61">
        <v>238.41399999999999</v>
      </c>
      <c r="U81" s="61">
        <v>3.3980000000000001</v>
      </c>
      <c r="V81" s="61" t="s">
        <v>121</v>
      </c>
      <c r="W81" s="61" t="s">
        <v>121</v>
      </c>
      <c r="X81" s="61">
        <v>182.536</v>
      </c>
      <c r="Y81" s="61">
        <v>0.16500000000000001</v>
      </c>
      <c r="Z81" s="61" t="s">
        <v>121</v>
      </c>
      <c r="AA81" s="61">
        <v>182.7</v>
      </c>
      <c r="AB81" s="60">
        <v>424.51299999999998</v>
      </c>
      <c r="AC81" s="62"/>
      <c r="AD81" s="61"/>
      <c r="AE81" s="61"/>
      <c r="AF81" s="61"/>
      <c r="AG81" s="61"/>
      <c r="AH81" s="61"/>
      <c r="AI81" s="61"/>
      <c r="AJ81" s="61"/>
      <c r="AK81" s="62"/>
      <c r="AL81" s="63"/>
      <c r="AM81" s="64"/>
      <c r="AN81" s="65" t="e">
        <v>#N/A</v>
      </c>
      <c r="AO81" s="61" t="e">
        <v>#N/A</v>
      </c>
      <c r="AP81" s="61" t="e">
        <v>#N/A</v>
      </c>
      <c r="AQ81" s="61" t="e">
        <v>#N/A</v>
      </c>
      <c r="AR81" s="61" t="e">
        <v>#N/A</v>
      </c>
      <c r="AS81" s="61" t="e">
        <v>#N/A</v>
      </c>
      <c r="AT81" s="61" t="e">
        <v>#N/A</v>
      </c>
      <c r="AU81" s="61" t="e">
        <v>#N/A</v>
      </c>
      <c r="AV81" s="61" t="e">
        <v>#N/A</v>
      </c>
      <c r="AW81" s="61" t="e">
        <v>#N/A</v>
      </c>
      <c r="AX81" s="65" t="e">
        <v>#N/A</v>
      </c>
      <c r="AY81" s="66" t="s">
        <v>121</v>
      </c>
      <c r="AZ81" s="61" t="s">
        <v>121</v>
      </c>
      <c r="BA81" s="61">
        <v>61.837000000000003</v>
      </c>
      <c r="BB81" s="61">
        <v>61.837000000000003</v>
      </c>
      <c r="BC81" s="61" t="s">
        <v>121</v>
      </c>
      <c r="BD81" s="61" t="s">
        <v>121</v>
      </c>
      <c r="BE81" s="61" t="s">
        <v>121</v>
      </c>
      <c r="BF81" s="61" t="s">
        <v>121</v>
      </c>
      <c r="BG81" s="61">
        <v>1.173</v>
      </c>
      <c r="BH81" s="61" t="s">
        <v>121</v>
      </c>
      <c r="BI81" s="61" t="s">
        <v>121</v>
      </c>
      <c r="BJ81" s="61">
        <v>1.173</v>
      </c>
      <c r="BK81" s="66">
        <v>1.173</v>
      </c>
      <c r="BL81" s="67" t="s">
        <v>121</v>
      </c>
      <c r="BM81" s="61" t="s">
        <v>121</v>
      </c>
      <c r="BN81" s="61" t="s">
        <v>121</v>
      </c>
      <c r="BO81" s="61" t="s">
        <v>121</v>
      </c>
      <c r="BP81" s="61" t="s">
        <v>121</v>
      </c>
      <c r="BQ81" s="61">
        <v>235.64099999999999</v>
      </c>
      <c r="BR81" s="61">
        <v>3.3980000000000001</v>
      </c>
      <c r="BS81" s="61" t="s">
        <v>121</v>
      </c>
      <c r="BT81" s="61" t="s">
        <v>121</v>
      </c>
      <c r="BU81" s="61">
        <v>0.20899999999999999</v>
      </c>
      <c r="BV81" s="61">
        <v>0.16500000000000001</v>
      </c>
      <c r="BW81" s="61">
        <v>0.373</v>
      </c>
      <c r="BX81" s="67">
        <v>239.41300000000001</v>
      </c>
      <c r="BY81" s="68">
        <v>102470</v>
      </c>
      <c r="BZ81" s="68">
        <v>79447</v>
      </c>
      <c r="CA81" s="69">
        <v>6960</v>
      </c>
      <c r="CB81" s="68">
        <v>171223</v>
      </c>
      <c r="CC81" s="68">
        <v>208</v>
      </c>
      <c r="CD81" s="61"/>
      <c r="CE81" s="64"/>
      <c r="CF81" s="64"/>
      <c r="CG81" s="70">
        <f t="shared" si="6"/>
        <v>7191.366</v>
      </c>
      <c r="CH81" s="70">
        <f t="shared" si="7"/>
        <v>292.32</v>
      </c>
      <c r="CI81" s="70">
        <f t="shared" si="8"/>
        <v>8.7360000000000007</v>
      </c>
      <c r="CJ81" s="70">
        <f t="shared" si="10"/>
        <v>4303.74</v>
      </c>
      <c r="CK81" s="70">
        <f t="shared" si="10"/>
        <v>3336.7739999999999</v>
      </c>
      <c r="CL81" s="70">
        <f t="shared" si="9"/>
        <v>8.7360000000000007</v>
      </c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61"/>
      <c r="EO81" s="61"/>
      <c r="EP81" s="61"/>
      <c r="EQ81" s="61"/>
      <c r="ER81" s="61"/>
      <c r="ES81" s="61"/>
      <c r="ET81" s="61"/>
      <c r="EU81" s="61"/>
      <c r="EV81" s="61"/>
      <c r="EW81" s="61"/>
    </row>
    <row r="82" spans="1:153">
      <c r="A82" s="56">
        <v>29068</v>
      </c>
      <c r="B82" s="57"/>
      <c r="C82" s="58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8"/>
      <c r="P82" s="60">
        <v>182.63800000000001</v>
      </c>
      <c r="Q82" s="61" t="s">
        <v>121</v>
      </c>
      <c r="R82" s="61">
        <v>182.80799999999999</v>
      </c>
      <c r="S82" s="61">
        <v>409.21</v>
      </c>
      <c r="T82" s="61">
        <v>222.69499999999999</v>
      </c>
      <c r="U82" s="61">
        <v>3.7069999999999999</v>
      </c>
      <c r="V82" s="61" t="s">
        <v>121</v>
      </c>
      <c r="W82" s="61" t="s">
        <v>121</v>
      </c>
      <c r="X82" s="61">
        <v>182.63800000000001</v>
      </c>
      <c r="Y82" s="61">
        <v>0.17</v>
      </c>
      <c r="Z82" s="61" t="s">
        <v>121</v>
      </c>
      <c r="AA82" s="61">
        <v>182.80799999999999</v>
      </c>
      <c r="AB82" s="60">
        <v>409.21</v>
      </c>
      <c r="AC82" s="62"/>
      <c r="AD82" s="61"/>
      <c r="AE82" s="61"/>
      <c r="AF82" s="61"/>
      <c r="AG82" s="61"/>
      <c r="AH82" s="61"/>
      <c r="AI82" s="61"/>
      <c r="AJ82" s="61"/>
      <c r="AK82" s="62"/>
      <c r="AL82" s="63"/>
      <c r="AM82" s="64"/>
      <c r="AN82" s="65" t="e">
        <v>#N/A</v>
      </c>
      <c r="AO82" s="61" t="e">
        <v>#N/A</v>
      </c>
      <c r="AP82" s="61" t="e">
        <v>#N/A</v>
      </c>
      <c r="AQ82" s="61" t="e">
        <v>#N/A</v>
      </c>
      <c r="AR82" s="61" t="e">
        <v>#N/A</v>
      </c>
      <c r="AS82" s="61" t="e">
        <v>#N/A</v>
      </c>
      <c r="AT82" s="61" t="e">
        <v>#N/A</v>
      </c>
      <c r="AU82" s="61" t="e">
        <v>#N/A</v>
      </c>
      <c r="AV82" s="61" t="e">
        <v>#N/A</v>
      </c>
      <c r="AW82" s="61" t="e">
        <v>#N/A</v>
      </c>
      <c r="AX82" s="65" t="e">
        <v>#N/A</v>
      </c>
      <c r="AY82" s="66" t="s">
        <v>121</v>
      </c>
      <c r="AZ82" s="61" t="s">
        <v>121</v>
      </c>
      <c r="BA82" s="61">
        <v>61.837000000000003</v>
      </c>
      <c r="BB82" s="61">
        <v>61.837000000000003</v>
      </c>
      <c r="BC82" s="61" t="s">
        <v>121</v>
      </c>
      <c r="BD82" s="61" t="s">
        <v>121</v>
      </c>
      <c r="BE82" s="61" t="s">
        <v>121</v>
      </c>
      <c r="BF82" s="61" t="s">
        <v>121</v>
      </c>
      <c r="BG82" s="61">
        <v>1.173</v>
      </c>
      <c r="BH82" s="61" t="s">
        <v>121</v>
      </c>
      <c r="BI82" s="61" t="s">
        <v>121</v>
      </c>
      <c r="BJ82" s="61">
        <v>1.173</v>
      </c>
      <c r="BK82" s="66">
        <v>1.173</v>
      </c>
      <c r="BL82" s="67" t="s">
        <v>121</v>
      </c>
      <c r="BM82" s="61" t="s">
        <v>121</v>
      </c>
      <c r="BN82" s="61" t="s">
        <v>121</v>
      </c>
      <c r="BO82" s="61" t="s">
        <v>121</v>
      </c>
      <c r="BP82" s="61" t="s">
        <v>121</v>
      </c>
      <c r="BQ82" s="61">
        <v>220.10400000000001</v>
      </c>
      <c r="BR82" s="61">
        <v>3.7069999999999999</v>
      </c>
      <c r="BS82" s="61" t="s">
        <v>121</v>
      </c>
      <c r="BT82" s="61" t="s">
        <v>121</v>
      </c>
      <c r="BU82" s="61">
        <v>0.311</v>
      </c>
      <c r="BV82" s="61">
        <v>0.17</v>
      </c>
      <c r="BW82" s="61">
        <v>0.48099999999999998</v>
      </c>
      <c r="BX82" s="67">
        <v>224.29300000000001</v>
      </c>
      <c r="BY82" s="68">
        <v>102941</v>
      </c>
      <c r="BZ82" s="68">
        <v>85586</v>
      </c>
      <c r="CA82" s="69">
        <v>6745</v>
      </c>
      <c r="CB82" s="68">
        <v>195379</v>
      </c>
      <c r="CC82" s="68">
        <v>5</v>
      </c>
      <c r="CD82" s="61"/>
      <c r="CE82" s="64"/>
      <c r="CF82" s="64"/>
      <c r="CG82" s="70">
        <f t="shared" si="6"/>
        <v>8205.9179999999997</v>
      </c>
      <c r="CH82" s="70">
        <f t="shared" si="7"/>
        <v>283.29000000000002</v>
      </c>
      <c r="CI82" s="70">
        <f t="shared" si="8"/>
        <v>0.21</v>
      </c>
      <c r="CJ82" s="70">
        <f t="shared" si="10"/>
        <v>4323.5219999999999</v>
      </c>
      <c r="CK82" s="70">
        <f t="shared" si="10"/>
        <v>3594.6120000000001</v>
      </c>
      <c r="CL82" s="70">
        <f t="shared" si="9"/>
        <v>0.21</v>
      </c>
      <c r="CM82" s="61"/>
      <c r="CN82" s="61"/>
      <c r="CO82" s="61"/>
      <c r="CP82" s="61"/>
      <c r="CQ82" s="61"/>
      <c r="CR82" s="61"/>
      <c r="CS82" s="61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61"/>
      <c r="DK82" s="61"/>
      <c r="DL82" s="61"/>
      <c r="DM82" s="61"/>
      <c r="DN82" s="61"/>
      <c r="DO82" s="61"/>
      <c r="DP82" s="61"/>
      <c r="DQ82" s="61"/>
      <c r="DR82" s="61"/>
      <c r="DS82" s="61"/>
      <c r="DT82" s="61"/>
      <c r="DU82" s="61"/>
      <c r="DV82" s="61"/>
      <c r="DW82" s="61"/>
      <c r="DX82" s="61"/>
      <c r="DY82" s="61"/>
      <c r="DZ82" s="61"/>
      <c r="EA82" s="61"/>
      <c r="EB82" s="61"/>
      <c r="EC82" s="61"/>
      <c r="ED82" s="61"/>
      <c r="EE82" s="61"/>
      <c r="EF82" s="61"/>
      <c r="EG82" s="61"/>
      <c r="EH82" s="61"/>
      <c r="EI82" s="61"/>
      <c r="EJ82" s="61"/>
      <c r="EK82" s="61"/>
      <c r="EL82" s="61"/>
      <c r="EM82" s="61"/>
      <c r="EN82" s="61"/>
      <c r="EO82" s="61"/>
      <c r="EP82" s="61"/>
      <c r="EQ82" s="61"/>
      <c r="ER82" s="61"/>
      <c r="ES82" s="61"/>
      <c r="ET82" s="61"/>
      <c r="EU82" s="61"/>
      <c r="EV82" s="61"/>
      <c r="EW82" s="61"/>
    </row>
    <row r="83" spans="1:153">
      <c r="A83" s="56">
        <v>29099</v>
      </c>
      <c r="B83" s="57"/>
      <c r="C83" s="58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8"/>
      <c r="P83" s="60">
        <v>176.76599999999999</v>
      </c>
      <c r="Q83" s="61" t="s">
        <v>121</v>
      </c>
      <c r="R83" s="61">
        <v>176.89099999999999</v>
      </c>
      <c r="S83" s="61">
        <v>378.90300000000002</v>
      </c>
      <c r="T83" s="61">
        <v>198.79400000000001</v>
      </c>
      <c r="U83" s="61">
        <v>3.2170000000000001</v>
      </c>
      <c r="V83" s="61" t="s">
        <v>121</v>
      </c>
      <c r="W83" s="61" t="s">
        <v>121</v>
      </c>
      <c r="X83" s="61">
        <v>176.76599999999999</v>
      </c>
      <c r="Y83" s="61">
        <v>0.125</v>
      </c>
      <c r="Z83" s="61" t="s">
        <v>121</v>
      </c>
      <c r="AA83" s="61">
        <v>176.89099999999999</v>
      </c>
      <c r="AB83" s="60">
        <v>378.90300000000002</v>
      </c>
      <c r="AC83" s="62"/>
      <c r="AD83" s="61"/>
      <c r="AE83" s="61"/>
      <c r="AF83" s="61"/>
      <c r="AG83" s="61"/>
      <c r="AH83" s="61"/>
      <c r="AI83" s="61"/>
      <c r="AJ83" s="61"/>
      <c r="AK83" s="62"/>
      <c r="AL83" s="63"/>
      <c r="AM83" s="64"/>
      <c r="AN83" s="65" t="e">
        <v>#N/A</v>
      </c>
      <c r="AO83" s="61" t="e">
        <v>#N/A</v>
      </c>
      <c r="AP83" s="61" t="e">
        <v>#N/A</v>
      </c>
      <c r="AQ83" s="61" t="e">
        <v>#N/A</v>
      </c>
      <c r="AR83" s="61" t="e">
        <v>#N/A</v>
      </c>
      <c r="AS83" s="61" t="e">
        <v>#N/A</v>
      </c>
      <c r="AT83" s="61" t="e">
        <v>#N/A</v>
      </c>
      <c r="AU83" s="61" t="e">
        <v>#N/A</v>
      </c>
      <c r="AV83" s="61" t="e">
        <v>#N/A</v>
      </c>
      <c r="AW83" s="61" t="e">
        <v>#N/A</v>
      </c>
      <c r="AX83" s="65" t="e">
        <v>#N/A</v>
      </c>
      <c r="AY83" s="66" t="s">
        <v>121</v>
      </c>
      <c r="AZ83" s="61" t="s">
        <v>121</v>
      </c>
      <c r="BA83" s="61">
        <v>59.841999999999999</v>
      </c>
      <c r="BB83" s="61">
        <v>59.841999999999999</v>
      </c>
      <c r="BC83" s="61" t="s">
        <v>121</v>
      </c>
      <c r="BD83" s="61" t="s">
        <v>121</v>
      </c>
      <c r="BE83" s="61" t="s">
        <v>121</v>
      </c>
      <c r="BF83" s="61" t="s">
        <v>121</v>
      </c>
      <c r="BG83" s="61">
        <v>1.135</v>
      </c>
      <c r="BH83" s="61" t="s">
        <v>121</v>
      </c>
      <c r="BI83" s="61" t="s">
        <v>121</v>
      </c>
      <c r="BJ83" s="61">
        <v>1.135</v>
      </c>
      <c r="BK83" s="66">
        <v>1.135</v>
      </c>
      <c r="BL83" s="67" t="s">
        <v>121</v>
      </c>
      <c r="BM83" s="61" t="s">
        <v>121</v>
      </c>
      <c r="BN83" s="61" t="s">
        <v>121</v>
      </c>
      <c r="BO83" s="61" t="s">
        <v>121</v>
      </c>
      <c r="BP83" s="61" t="s">
        <v>121</v>
      </c>
      <c r="BQ83" s="61">
        <v>196.482</v>
      </c>
      <c r="BR83" s="61">
        <v>3.2170000000000001</v>
      </c>
      <c r="BS83" s="61" t="s">
        <v>121</v>
      </c>
      <c r="BT83" s="61" t="s">
        <v>121</v>
      </c>
      <c r="BU83" s="61">
        <v>0.32100000000000001</v>
      </c>
      <c r="BV83" s="61">
        <v>0.125</v>
      </c>
      <c r="BW83" s="61">
        <v>0.44600000000000001</v>
      </c>
      <c r="BX83" s="67">
        <v>200.14500000000001</v>
      </c>
      <c r="BY83" s="68">
        <v>100631</v>
      </c>
      <c r="BZ83" s="68">
        <v>79400</v>
      </c>
      <c r="CA83" s="69">
        <v>3765</v>
      </c>
      <c r="CB83" s="68">
        <v>220390</v>
      </c>
      <c r="CC83" s="68">
        <v>45</v>
      </c>
      <c r="CD83" s="61"/>
      <c r="CE83" s="64"/>
      <c r="CF83" s="64"/>
      <c r="CG83" s="70">
        <f t="shared" si="6"/>
        <v>9256.3799999999992</v>
      </c>
      <c r="CH83" s="70">
        <f t="shared" si="7"/>
        <v>158.13</v>
      </c>
      <c r="CI83" s="70">
        <f t="shared" si="8"/>
        <v>1.89</v>
      </c>
      <c r="CJ83" s="70">
        <f t="shared" si="10"/>
        <v>4226.5020000000004</v>
      </c>
      <c r="CK83" s="70">
        <f t="shared" si="10"/>
        <v>3334.8</v>
      </c>
      <c r="CL83" s="70">
        <f t="shared" si="9"/>
        <v>1.89</v>
      </c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  <c r="DX83" s="61"/>
      <c r="DY83" s="61"/>
      <c r="DZ83" s="61"/>
      <c r="EA83" s="61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61"/>
      <c r="EO83" s="61"/>
      <c r="EP83" s="61"/>
      <c r="EQ83" s="61"/>
      <c r="ER83" s="61"/>
      <c r="ES83" s="61"/>
      <c r="ET83" s="61"/>
      <c r="EU83" s="61"/>
      <c r="EV83" s="61"/>
      <c r="EW83" s="61"/>
    </row>
    <row r="84" spans="1:153">
      <c r="A84" s="56">
        <v>29129</v>
      </c>
      <c r="B84" s="57"/>
      <c r="C84" s="58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8"/>
      <c r="P84" s="60">
        <v>182.63</v>
      </c>
      <c r="Q84" s="61" t="s">
        <v>121</v>
      </c>
      <c r="R84" s="61">
        <v>182.75200000000001</v>
      </c>
      <c r="S84" s="61">
        <v>397.60199999999998</v>
      </c>
      <c r="T84" s="61">
        <v>211.24299999999999</v>
      </c>
      <c r="U84" s="61">
        <v>3.6070000000000002</v>
      </c>
      <c r="V84" s="61" t="s">
        <v>121</v>
      </c>
      <c r="W84" s="61" t="s">
        <v>121</v>
      </c>
      <c r="X84" s="61">
        <v>182.63</v>
      </c>
      <c r="Y84" s="61">
        <v>0.121</v>
      </c>
      <c r="Z84" s="61" t="s">
        <v>121</v>
      </c>
      <c r="AA84" s="61">
        <v>182.75200000000001</v>
      </c>
      <c r="AB84" s="60">
        <v>397.60199999999998</v>
      </c>
      <c r="AC84" s="62"/>
      <c r="AD84" s="61"/>
      <c r="AE84" s="61"/>
      <c r="AF84" s="61"/>
      <c r="AG84" s="61"/>
      <c r="AH84" s="61"/>
      <c r="AI84" s="61"/>
      <c r="AJ84" s="61"/>
      <c r="AK84" s="62"/>
      <c r="AL84" s="63"/>
      <c r="AM84" s="64"/>
      <c r="AN84" s="65" t="e">
        <v>#N/A</v>
      </c>
      <c r="AO84" s="61" t="e">
        <v>#N/A</v>
      </c>
      <c r="AP84" s="61" t="e">
        <v>#N/A</v>
      </c>
      <c r="AQ84" s="61" t="e">
        <v>#N/A</v>
      </c>
      <c r="AR84" s="61" t="e">
        <v>#N/A</v>
      </c>
      <c r="AS84" s="61" t="e">
        <v>#N/A</v>
      </c>
      <c r="AT84" s="61" t="e">
        <v>#N/A</v>
      </c>
      <c r="AU84" s="61" t="e">
        <v>#N/A</v>
      </c>
      <c r="AV84" s="61" t="e">
        <v>#N/A</v>
      </c>
      <c r="AW84" s="61" t="e">
        <v>#N/A</v>
      </c>
      <c r="AX84" s="65" t="e">
        <v>#N/A</v>
      </c>
      <c r="AY84" s="66" t="s">
        <v>121</v>
      </c>
      <c r="AZ84" s="61" t="s">
        <v>121</v>
      </c>
      <c r="BA84" s="61">
        <v>61.837000000000003</v>
      </c>
      <c r="BB84" s="61">
        <v>61.837000000000003</v>
      </c>
      <c r="BC84" s="61" t="s">
        <v>121</v>
      </c>
      <c r="BD84" s="61" t="s">
        <v>121</v>
      </c>
      <c r="BE84" s="61" t="s">
        <v>121</v>
      </c>
      <c r="BF84" s="61" t="s">
        <v>121</v>
      </c>
      <c r="BG84" s="61">
        <v>1.173</v>
      </c>
      <c r="BH84" s="61" t="s">
        <v>121</v>
      </c>
      <c r="BI84" s="61" t="s">
        <v>121</v>
      </c>
      <c r="BJ84" s="61">
        <v>1.173</v>
      </c>
      <c r="BK84" s="66">
        <v>1.173</v>
      </c>
      <c r="BL84" s="67" t="s">
        <v>121</v>
      </c>
      <c r="BM84" s="61" t="s">
        <v>121</v>
      </c>
      <c r="BN84" s="61" t="s">
        <v>121</v>
      </c>
      <c r="BO84" s="61" t="s">
        <v>121</v>
      </c>
      <c r="BP84" s="61" t="s">
        <v>121</v>
      </c>
      <c r="BQ84" s="61">
        <v>208.786</v>
      </c>
      <c r="BR84" s="61">
        <v>3.6070000000000002</v>
      </c>
      <c r="BS84" s="61" t="s">
        <v>121</v>
      </c>
      <c r="BT84" s="61" t="s">
        <v>121</v>
      </c>
      <c r="BU84" s="61">
        <v>0.30299999999999999</v>
      </c>
      <c r="BV84" s="61">
        <v>0.121</v>
      </c>
      <c r="BW84" s="61">
        <v>0.42499999999999999</v>
      </c>
      <c r="BX84" s="67">
        <v>212.81800000000001</v>
      </c>
      <c r="BY84" s="68">
        <v>100774</v>
      </c>
      <c r="BZ84" s="68">
        <v>96676</v>
      </c>
      <c r="CA84" s="69">
        <v>6552</v>
      </c>
      <c r="CB84" s="68">
        <v>231073</v>
      </c>
      <c r="CC84" s="68">
        <v>28</v>
      </c>
      <c r="CD84" s="61"/>
      <c r="CE84" s="64"/>
      <c r="CF84" s="64"/>
      <c r="CG84" s="70">
        <f t="shared" si="6"/>
        <v>9705.0660000000007</v>
      </c>
      <c r="CH84" s="70">
        <f t="shared" si="7"/>
        <v>275.18400000000003</v>
      </c>
      <c r="CI84" s="70">
        <f t="shared" si="8"/>
        <v>1.1759999999999999</v>
      </c>
      <c r="CJ84" s="70">
        <f t="shared" si="10"/>
        <v>4232.5079999999998</v>
      </c>
      <c r="CK84" s="70">
        <f t="shared" si="10"/>
        <v>4060.3919999999998</v>
      </c>
      <c r="CL84" s="70">
        <f t="shared" si="9"/>
        <v>1.1759999999999999</v>
      </c>
      <c r="CM84" s="61"/>
      <c r="CN84" s="61"/>
      <c r="CO84" s="61"/>
      <c r="CP84" s="61"/>
      <c r="CQ84" s="61"/>
      <c r="CR84" s="61"/>
      <c r="CS84" s="61"/>
      <c r="CT84" s="61"/>
      <c r="CU84" s="61"/>
      <c r="CV84" s="61"/>
      <c r="CW84" s="61"/>
      <c r="CX84" s="61"/>
      <c r="CY84" s="61"/>
      <c r="CZ84" s="61"/>
      <c r="DA84" s="61"/>
      <c r="DB84" s="61"/>
      <c r="DC84" s="61"/>
      <c r="DD84" s="61"/>
      <c r="DE84" s="61"/>
      <c r="DF84" s="61"/>
      <c r="DG84" s="61"/>
      <c r="DH84" s="61"/>
      <c r="DI84" s="61"/>
      <c r="DJ84" s="61"/>
      <c r="DK84" s="61"/>
      <c r="DL84" s="61"/>
      <c r="DM84" s="61"/>
      <c r="DN84" s="61"/>
      <c r="DO84" s="61"/>
      <c r="DP84" s="61"/>
      <c r="DQ84" s="61"/>
      <c r="DR84" s="61"/>
      <c r="DS84" s="61"/>
      <c r="DT84" s="61"/>
      <c r="DU84" s="61"/>
      <c r="DV84" s="61"/>
      <c r="DW84" s="61"/>
      <c r="DX84" s="61"/>
      <c r="DY84" s="61"/>
      <c r="DZ84" s="61"/>
      <c r="EA84" s="61"/>
      <c r="EB84" s="61"/>
      <c r="EC84" s="61"/>
      <c r="ED84" s="61"/>
      <c r="EE84" s="61"/>
      <c r="EF84" s="61"/>
      <c r="EG84" s="61"/>
      <c r="EH84" s="61"/>
      <c r="EI84" s="61"/>
      <c r="EJ84" s="61"/>
      <c r="EK84" s="61"/>
      <c r="EL84" s="61"/>
      <c r="EM84" s="61"/>
      <c r="EN84" s="61"/>
      <c r="EO84" s="61"/>
      <c r="EP84" s="61"/>
      <c r="EQ84" s="61"/>
      <c r="ER84" s="61"/>
      <c r="ES84" s="61"/>
      <c r="ET84" s="61"/>
      <c r="EU84" s="61"/>
      <c r="EV84" s="61"/>
      <c r="EW84" s="61"/>
    </row>
    <row r="85" spans="1:153">
      <c r="A85" s="56">
        <v>29160</v>
      </c>
      <c r="B85" s="57"/>
      <c r="C85" s="58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8"/>
      <c r="P85" s="60">
        <v>176.767</v>
      </c>
      <c r="Q85" s="61" t="s">
        <v>121</v>
      </c>
      <c r="R85" s="61">
        <v>176.94900000000001</v>
      </c>
      <c r="S85" s="61">
        <v>414.74</v>
      </c>
      <c r="T85" s="61">
        <v>234.286</v>
      </c>
      <c r="U85" s="61">
        <v>3.5049999999999999</v>
      </c>
      <c r="V85" s="61" t="s">
        <v>121</v>
      </c>
      <c r="W85" s="61" t="s">
        <v>121</v>
      </c>
      <c r="X85" s="61">
        <v>176.767</v>
      </c>
      <c r="Y85" s="61">
        <v>0.182</v>
      </c>
      <c r="Z85" s="61" t="s">
        <v>121</v>
      </c>
      <c r="AA85" s="61">
        <v>176.94900000000001</v>
      </c>
      <c r="AB85" s="60">
        <v>414.74</v>
      </c>
      <c r="AC85" s="62"/>
      <c r="AD85" s="61"/>
      <c r="AE85" s="61"/>
      <c r="AF85" s="61"/>
      <c r="AG85" s="61"/>
      <c r="AH85" s="61"/>
      <c r="AI85" s="61"/>
      <c r="AJ85" s="61"/>
      <c r="AK85" s="62"/>
      <c r="AL85" s="63"/>
      <c r="AM85" s="64"/>
      <c r="AN85" s="65" t="e">
        <v>#N/A</v>
      </c>
      <c r="AO85" s="61" t="e">
        <v>#N/A</v>
      </c>
      <c r="AP85" s="61" t="e">
        <v>#N/A</v>
      </c>
      <c r="AQ85" s="61" t="e">
        <v>#N/A</v>
      </c>
      <c r="AR85" s="61" t="e">
        <v>#N/A</v>
      </c>
      <c r="AS85" s="61" t="e">
        <v>#N/A</v>
      </c>
      <c r="AT85" s="61" t="e">
        <v>#N/A</v>
      </c>
      <c r="AU85" s="61" t="e">
        <v>#N/A</v>
      </c>
      <c r="AV85" s="61" t="e">
        <v>#N/A</v>
      </c>
      <c r="AW85" s="61" t="e">
        <v>#N/A</v>
      </c>
      <c r="AX85" s="65" t="e">
        <v>#N/A</v>
      </c>
      <c r="AY85" s="66" t="s">
        <v>121</v>
      </c>
      <c r="AZ85" s="61" t="s">
        <v>121</v>
      </c>
      <c r="BA85" s="61">
        <v>59.841999999999999</v>
      </c>
      <c r="BB85" s="61">
        <v>59.841999999999999</v>
      </c>
      <c r="BC85" s="61" t="s">
        <v>121</v>
      </c>
      <c r="BD85" s="61" t="s">
        <v>121</v>
      </c>
      <c r="BE85" s="61" t="s">
        <v>121</v>
      </c>
      <c r="BF85" s="61" t="s">
        <v>121</v>
      </c>
      <c r="BG85" s="61">
        <v>1.135</v>
      </c>
      <c r="BH85" s="61" t="s">
        <v>121</v>
      </c>
      <c r="BI85" s="61" t="s">
        <v>121</v>
      </c>
      <c r="BJ85" s="61">
        <v>1.135</v>
      </c>
      <c r="BK85" s="66">
        <v>1.135</v>
      </c>
      <c r="BL85" s="67" t="s">
        <v>121</v>
      </c>
      <c r="BM85" s="61" t="s">
        <v>121</v>
      </c>
      <c r="BN85" s="61" t="s">
        <v>121</v>
      </c>
      <c r="BO85" s="61" t="s">
        <v>121</v>
      </c>
      <c r="BP85" s="61" t="s">
        <v>121</v>
      </c>
      <c r="BQ85" s="61">
        <v>231.56100000000001</v>
      </c>
      <c r="BR85" s="61">
        <v>3.5049999999999999</v>
      </c>
      <c r="BS85" s="61" t="s">
        <v>121</v>
      </c>
      <c r="BT85" s="61" t="s">
        <v>121</v>
      </c>
      <c r="BU85" s="61">
        <v>0.32200000000000001</v>
      </c>
      <c r="BV85" s="61">
        <v>0.182</v>
      </c>
      <c r="BW85" s="61">
        <v>0.504</v>
      </c>
      <c r="BX85" s="67">
        <v>235.56899999999999</v>
      </c>
      <c r="BY85" s="68">
        <v>97170</v>
      </c>
      <c r="BZ85" s="68">
        <v>97417</v>
      </c>
      <c r="CA85" s="69">
        <v>5777</v>
      </c>
      <c r="CB85" s="68">
        <v>236661</v>
      </c>
      <c r="CC85" s="68">
        <v>1</v>
      </c>
      <c r="CD85" s="61"/>
      <c r="CE85" s="64"/>
      <c r="CF85" s="64"/>
      <c r="CG85" s="70">
        <f t="shared" si="6"/>
        <v>9939.7620000000006</v>
      </c>
      <c r="CH85" s="70">
        <f t="shared" si="7"/>
        <v>242.63399999999999</v>
      </c>
      <c r="CI85" s="70">
        <f t="shared" si="8"/>
        <v>4.2000000000000003E-2</v>
      </c>
      <c r="CJ85" s="70">
        <f t="shared" si="10"/>
        <v>4081.14</v>
      </c>
      <c r="CK85" s="70">
        <f t="shared" si="10"/>
        <v>4091.5140000000001</v>
      </c>
      <c r="CL85" s="70">
        <f t="shared" si="9"/>
        <v>4.2000000000000003E-2</v>
      </c>
      <c r="CM85" s="61"/>
      <c r="CN85" s="61"/>
      <c r="CO85" s="61"/>
      <c r="CP85" s="61"/>
      <c r="CQ85" s="61"/>
      <c r="CR85" s="61"/>
      <c r="CS85" s="61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  <c r="DF85" s="61"/>
      <c r="DG85" s="61"/>
      <c r="DH85" s="61"/>
      <c r="DI85" s="61"/>
      <c r="DJ85" s="61"/>
      <c r="DK85" s="61"/>
      <c r="DL85" s="61"/>
      <c r="DM85" s="61"/>
      <c r="DN85" s="61"/>
      <c r="DO85" s="61"/>
      <c r="DP85" s="61"/>
      <c r="DQ85" s="61"/>
      <c r="DR85" s="61"/>
      <c r="DS85" s="61"/>
      <c r="DT85" s="61"/>
      <c r="DU85" s="61"/>
      <c r="DV85" s="61"/>
      <c r="DW85" s="61"/>
      <c r="DX85" s="61"/>
      <c r="DY85" s="61"/>
      <c r="DZ85" s="61"/>
      <c r="EA85" s="61"/>
      <c r="EB85" s="61"/>
      <c r="EC85" s="61"/>
      <c r="ED85" s="61"/>
      <c r="EE85" s="61"/>
      <c r="EF85" s="61"/>
      <c r="EG85" s="61"/>
      <c r="EH85" s="61"/>
      <c r="EI85" s="61"/>
      <c r="EJ85" s="61"/>
      <c r="EK85" s="61"/>
      <c r="EL85" s="61"/>
      <c r="EM85" s="61"/>
      <c r="EN85" s="61"/>
      <c r="EO85" s="61"/>
      <c r="EP85" s="61"/>
      <c r="EQ85" s="61"/>
      <c r="ER85" s="61"/>
      <c r="ES85" s="61"/>
      <c r="ET85" s="61"/>
      <c r="EU85" s="61"/>
      <c r="EV85" s="61"/>
      <c r="EW85" s="61"/>
    </row>
    <row r="86" spans="1:153">
      <c r="A86" s="56">
        <v>29190</v>
      </c>
      <c r="B86" s="57"/>
      <c r="C86" s="58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8"/>
      <c r="P86" s="60">
        <v>182.56800000000001</v>
      </c>
      <c r="Q86" s="61" t="s">
        <v>121</v>
      </c>
      <c r="R86" s="61">
        <v>182.77</v>
      </c>
      <c r="S86" s="61">
        <v>425.10899999999998</v>
      </c>
      <c r="T86" s="61">
        <v>238.06299999999999</v>
      </c>
      <c r="U86" s="61">
        <v>4.2750000000000004</v>
      </c>
      <c r="V86" s="61" t="s">
        <v>121</v>
      </c>
      <c r="W86" s="61" t="s">
        <v>121</v>
      </c>
      <c r="X86" s="61">
        <v>182.56800000000001</v>
      </c>
      <c r="Y86" s="61">
        <v>0.20200000000000001</v>
      </c>
      <c r="Z86" s="61" t="s">
        <v>121</v>
      </c>
      <c r="AA86" s="61">
        <v>182.77</v>
      </c>
      <c r="AB86" s="60">
        <v>425.10899999999998</v>
      </c>
      <c r="AC86" s="62"/>
      <c r="AD86" s="61"/>
      <c r="AE86" s="61"/>
      <c r="AF86" s="61"/>
      <c r="AG86" s="61"/>
      <c r="AH86" s="61"/>
      <c r="AI86" s="61"/>
      <c r="AJ86" s="61"/>
      <c r="AK86" s="62"/>
      <c r="AL86" s="63"/>
      <c r="AM86" s="64"/>
      <c r="AN86" s="65" t="e">
        <v>#N/A</v>
      </c>
      <c r="AO86" s="61" t="e">
        <v>#N/A</v>
      </c>
      <c r="AP86" s="61" t="e">
        <v>#N/A</v>
      </c>
      <c r="AQ86" s="61" t="e">
        <v>#N/A</v>
      </c>
      <c r="AR86" s="61" t="e">
        <v>#N/A</v>
      </c>
      <c r="AS86" s="61" t="e">
        <v>#N/A</v>
      </c>
      <c r="AT86" s="61" t="e">
        <v>#N/A</v>
      </c>
      <c r="AU86" s="61" t="e">
        <v>#N/A</v>
      </c>
      <c r="AV86" s="61" t="e">
        <v>#N/A</v>
      </c>
      <c r="AW86" s="61" t="e">
        <v>#N/A</v>
      </c>
      <c r="AX86" s="65" t="e">
        <v>#N/A</v>
      </c>
      <c r="AY86" s="66" t="s">
        <v>121</v>
      </c>
      <c r="AZ86" s="61" t="s">
        <v>121</v>
      </c>
      <c r="BA86" s="61">
        <v>61.837000000000003</v>
      </c>
      <c r="BB86" s="61">
        <v>61.837000000000003</v>
      </c>
      <c r="BC86" s="61" t="s">
        <v>121</v>
      </c>
      <c r="BD86" s="61" t="s">
        <v>121</v>
      </c>
      <c r="BE86" s="61" t="s">
        <v>121</v>
      </c>
      <c r="BF86" s="61" t="s">
        <v>121</v>
      </c>
      <c r="BG86" s="61">
        <v>1.173</v>
      </c>
      <c r="BH86" s="61" t="s">
        <v>121</v>
      </c>
      <c r="BI86" s="61" t="s">
        <v>121</v>
      </c>
      <c r="BJ86" s="61">
        <v>1.173</v>
      </c>
      <c r="BK86" s="66">
        <v>1.173</v>
      </c>
      <c r="BL86" s="67" t="s">
        <v>121</v>
      </c>
      <c r="BM86" s="61" t="s">
        <v>121</v>
      </c>
      <c r="BN86" s="61" t="s">
        <v>121</v>
      </c>
      <c r="BO86" s="61" t="s">
        <v>121</v>
      </c>
      <c r="BP86" s="61" t="s">
        <v>121</v>
      </c>
      <c r="BQ86" s="61">
        <v>235.29300000000001</v>
      </c>
      <c r="BR86" s="61">
        <v>4.2750000000000004</v>
      </c>
      <c r="BS86" s="61" t="s">
        <v>121</v>
      </c>
      <c r="BT86" s="61" t="s">
        <v>121</v>
      </c>
      <c r="BU86" s="61">
        <v>0.24099999999999999</v>
      </c>
      <c r="BV86" s="61">
        <v>0.20200000000000001</v>
      </c>
      <c r="BW86" s="61">
        <v>0.44400000000000001</v>
      </c>
      <c r="BX86" s="67">
        <v>240.012</v>
      </c>
      <c r="BY86" s="68">
        <v>99845</v>
      </c>
      <c r="BZ86" s="68">
        <v>114948</v>
      </c>
      <c r="CA86" s="69">
        <v>7109</v>
      </c>
      <c r="CB86" s="68">
        <v>228729</v>
      </c>
      <c r="CC86" s="68">
        <v>1</v>
      </c>
      <c r="CD86" s="61"/>
      <c r="CE86" s="64"/>
      <c r="CF86" s="64"/>
      <c r="CG86" s="70">
        <f t="shared" si="6"/>
        <v>9606.6180000000004</v>
      </c>
      <c r="CH86" s="70">
        <f t="shared" si="7"/>
        <v>298.57799999999997</v>
      </c>
      <c r="CI86" s="70">
        <f t="shared" si="8"/>
        <v>4.2000000000000003E-2</v>
      </c>
      <c r="CJ86" s="70">
        <f t="shared" si="10"/>
        <v>4193.49</v>
      </c>
      <c r="CK86" s="70">
        <f t="shared" si="10"/>
        <v>4827.8159999999998</v>
      </c>
      <c r="CL86" s="70">
        <f t="shared" si="9"/>
        <v>4.2000000000000003E-2</v>
      </c>
      <c r="CM86" s="61"/>
      <c r="CN86" s="61"/>
      <c r="CO86" s="61"/>
      <c r="CP86" s="61"/>
      <c r="CQ86" s="61"/>
      <c r="CR86" s="61"/>
      <c r="CS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61"/>
      <c r="DK86" s="61"/>
      <c r="DL86" s="61"/>
      <c r="DM86" s="61"/>
      <c r="DN86" s="61"/>
      <c r="DO86" s="61"/>
      <c r="DP86" s="61"/>
      <c r="DQ86" s="61"/>
      <c r="DR86" s="61"/>
      <c r="DS86" s="61"/>
      <c r="DT86" s="61"/>
      <c r="DU86" s="61"/>
      <c r="DV86" s="61"/>
      <c r="DW86" s="61"/>
      <c r="DX86" s="61"/>
      <c r="DY86" s="61"/>
      <c r="DZ86" s="61"/>
      <c r="EA86" s="61"/>
      <c r="EB86" s="61"/>
      <c r="EC86" s="61"/>
      <c r="ED86" s="61"/>
      <c r="EE86" s="61"/>
      <c r="EF86" s="61"/>
      <c r="EG86" s="61"/>
      <c r="EH86" s="61"/>
      <c r="EI86" s="61"/>
      <c r="EJ86" s="61"/>
      <c r="EK86" s="61"/>
      <c r="EL86" s="61"/>
      <c r="EM86" s="61"/>
      <c r="EN86" s="61"/>
      <c r="EO86" s="61"/>
      <c r="EP86" s="61"/>
      <c r="EQ86" s="61"/>
      <c r="ER86" s="61"/>
      <c r="ES86" s="61"/>
      <c r="ET86" s="61"/>
      <c r="EU86" s="61"/>
      <c r="EV86" s="61"/>
      <c r="EW86" s="61"/>
    </row>
    <row r="87" spans="1:153">
      <c r="A87" s="56">
        <v>29221</v>
      </c>
      <c r="B87" s="57"/>
      <c r="C87" s="58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8"/>
      <c r="P87" s="60">
        <v>209.613</v>
      </c>
      <c r="Q87" s="61" t="s">
        <v>121</v>
      </c>
      <c r="R87" s="61">
        <v>209.82900000000001</v>
      </c>
      <c r="S87" s="61">
        <v>478.94299999999998</v>
      </c>
      <c r="T87" s="61">
        <v>265.61799999999999</v>
      </c>
      <c r="U87" s="61">
        <v>3.4950000000000001</v>
      </c>
      <c r="V87" s="61" t="s">
        <v>121</v>
      </c>
      <c r="W87" s="61" t="s">
        <v>121</v>
      </c>
      <c r="X87" s="61">
        <v>209.613</v>
      </c>
      <c r="Y87" s="61">
        <v>0.216</v>
      </c>
      <c r="Z87" s="61" t="s">
        <v>121</v>
      </c>
      <c r="AA87" s="61">
        <v>209.82900000000001</v>
      </c>
      <c r="AB87" s="60">
        <v>478.94299999999998</v>
      </c>
      <c r="AC87" s="62"/>
      <c r="AD87" s="61"/>
      <c r="AE87" s="61"/>
      <c r="AF87" s="61"/>
      <c r="AG87" s="61"/>
      <c r="AH87" s="61"/>
      <c r="AI87" s="61"/>
      <c r="AJ87" s="61"/>
      <c r="AK87" s="62"/>
      <c r="AL87" s="63"/>
      <c r="AM87" s="64"/>
      <c r="AN87" s="65" t="e">
        <v>#N/A</v>
      </c>
      <c r="AO87" s="61" t="e">
        <v>#N/A</v>
      </c>
      <c r="AP87" s="61" t="e">
        <v>#N/A</v>
      </c>
      <c r="AQ87" s="61" t="e">
        <v>#N/A</v>
      </c>
      <c r="AR87" s="61" t="e">
        <v>#N/A</v>
      </c>
      <c r="AS87" s="61" t="e">
        <v>#N/A</v>
      </c>
      <c r="AT87" s="61" t="e">
        <v>#N/A</v>
      </c>
      <c r="AU87" s="61" t="e">
        <v>#N/A</v>
      </c>
      <c r="AV87" s="61" t="e">
        <v>#N/A</v>
      </c>
      <c r="AW87" s="61" t="e">
        <v>#N/A</v>
      </c>
      <c r="AX87" s="65" t="e">
        <v>#N/A</v>
      </c>
      <c r="AY87" s="66" t="s">
        <v>121</v>
      </c>
      <c r="AZ87" s="61" t="s">
        <v>121</v>
      </c>
      <c r="BA87" s="61">
        <v>71.995000000000005</v>
      </c>
      <c r="BB87" s="61">
        <v>71.995000000000005</v>
      </c>
      <c r="BC87" s="61" t="s">
        <v>121</v>
      </c>
      <c r="BD87" s="61" t="s">
        <v>121</v>
      </c>
      <c r="BE87" s="61" t="s">
        <v>121</v>
      </c>
      <c r="BF87" s="61" t="s">
        <v>121</v>
      </c>
      <c r="BG87" s="61">
        <v>1.7789999999999999</v>
      </c>
      <c r="BH87" s="61" t="s">
        <v>121</v>
      </c>
      <c r="BI87" s="61" t="s">
        <v>121</v>
      </c>
      <c r="BJ87" s="61">
        <v>1.7789999999999999</v>
      </c>
      <c r="BK87" s="66">
        <v>1.7789999999999999</v>
      </c>
      <c r="BL87" s="67" t="s">
        <v>121</v>
      </c>
      <c r="BM87" s="61" t="s">
        <v>121</v>
      </c>
      <c r="BN87" s="61" t="s">
        <v>121</v>
      </c>
      <c r="BO87" s="61" t="s">
        <v>121</v>
      </c>
      <c r="BP87" s="61" t="s">
        <v>121</v>
      </c>
      <c r="BQ87" s="61">
        <v>262.589</v>
      </c>
      <c r="BR87" s="61">
        <v>3.4950000000000001</v>
      </c>
      <c r="BS87" s="61" t="s">
        <v>121</v>
      </c>
      <c r="BT87" s="61" t="s">
        <v>121</v>
      </c>
      <c r="BU87" s="61">
        <v>0.32100000000000001</v>
      </c>
      <c r="BV87" s="61">
        <v>0.216</v>
      </c>
      <c r="BW87" s="61">
        <v>0.53700000000000003</v>
      </c>
      <c r="BX87" s="67">
        <v>266.62099999999998</v>
      </c>
      <c r="BY87" s="68">
        <v>93415</v>
      </c>
      <c r="BZ87" s="68">
        <v>115121</v>
      </c>
      <c r="CA87" s="69">
        <v>5544</v>
      </c>
      <c r="CB87" s="68">
        <v>212394</v>
      </c>
      <c r="CC87" s="68">
        <v>212</v>
      </c>
      <c r="CD87" s="61"/>
      <c r="CE87" s="64"/>
      <c r="CF87" s="64"/>
      <c r="CG87" s="70">
        <f t="shared" si="6"/>
        <v>8920.5480000000007</v>
      </c>
      <c r="CH87" s="70">
        <f t="shared" si="7"/>
        <v>232.84800000000001</v>
      </c>
      <c r="CI87" s="70">
        <f t="shared" si="8"/>
        <v>8.9039999999999999</v>
      </c>
      <c r="CJ87" s="70">
        <f t="shared" si="10"/>
        <v>3923.43</v>
      </c>
      <c r="CK87" s="70">
        <f t="shared" si="10"/>
        <v>4835.0820000000003</v>
      </c>
      <c r="CL87" s="70">
        <f t="shared" si="9"/>
        <v>8.9039999999999999</v>
      </c>
      <c r="CM87" s="61"/>
      <c r="CN87" s="61"/>
      <c r="CO87" s="61"/>
      <c r="CP87" s="61"/>
      <c r="CQ87" s="61"/>
      <c r="CR87" s="61"/>
      <c r="CS87" s="61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61"/>
      <c r="DK87" s="61"/>
      <c r="DL87" s="61"/>
      <c r="DM87" s="61"/>
      <c r="DN87" s="61"/>
      <c r="DO87" s="61"/>
      <c r="DP87" s="61"/>
      <c r="DQ87" s="61"/>
      <c r="DR87" s="61"/>
      <c r="DS87" s="61"/>
      <c r="DT87" s="61"/>
      <c r="DU87" s="61"/>
      <c r="DV87" s="61"/>
      <c r="DW87" s="61"/>
      <c r="DX87" s="61"/>
      <c r="DY87" s="61"/>
      <c r="DZ87" s="61"/>
      <c r="EA87" s="61"/>
      <c r="EB87" s="61"/>
      <c r="EC87" s="61"/>
      <c r="ED87" s="61"/>
      <c r="EE87" s="61"/>
      <c r="EF87" s="61"/>
      <c r="EG87" s="61"/>
      <c r="EH87" s="61"/>
      <c r="EI87" s="61"/>
      <c r="EJ87" s="61"/>
      <c r="EK87" s="61"/>
      <c r="EL87" s="61"/>
      <c r="EM87" s="61"/>
      <c r="EN87" s="61"/>
      <c r="EO87" s="61"/>
      <c r="EP87" s="61"/>
      <c r="EQ87" s="61"/>
      <c r="ER87" s="61"/>
      <c r="ES87" s="61"/>
      <c r="ET87" s="61"/>
      <c r="EU87" s="61"/>
      <c r="EV87" s="61"/>
      <c r="EW87" s="61"/>
    </row>
    <row r="88" spans="1:153">
      <c r="A88" s="56">
        <v>29252</v>
      </c>
      <c r="B88" s="57"/>
      <c r="C88" s="58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8"/>
      <c r="P88" s="60">
        <v>196.11699999999999</v>
      </c>
      <c r="Q88" s="61" t="s">
        <v>121</v>
      </c>
      <c r="R88" s="61">
        <v>196.31</v>
      </c>
      <c r="S88" s="61">
        <v>424.298</v>
      </c>
      <c r="T88" s="61">
        <v>224.631</v>
      </c>
      <c r="U88" s="61">
        <v>3.3570000000000002</v>
      </c>
      <c r="V88" s="61" t="s">
        <v>121</v>
      </c>
      <c r="W88" s="61" t="s">
        <v>121</v>
      </c>
      <c r="X88" s="61">
        <v>196.11699999999999</v>
      </c>
      <c r="Y88" s="61">
        <v>0.193</v>
      </c>
      <c r="Z88" s="61" t="s">
        <v>121</v>
      </c>
      <c r="AA88" s="61">
        <v>196.31</v>
      </c>
      <c r="AB88" s="60">
        <v>424.298</v>
      </c>
      <c r="AC88" s="62"/>
      <c r="AD88" s="61"/>
      <c r="AE88" s="61"/>
      <c r="AF88" s="61"/>
      <c r="AG88" s="61"/>
      <c r="AH88" s="61"/>
      <c r="AI88" s="61"/>
      <c r="AJ88" s="61"/>
      <c r="AK88" s="62"/>
      <c r="AL88" s="63"/>
      <c r="AM88" s="64"/>
      <c r="AN88" s="65" t="e">
        <v>#N/A</v>
      </c>
      <c r="AO88" s="61" t="e">
        <v>#N/A</v>
      </c>
      <c r="AP88" s="61" t="e">
        <v>#N/A</v>
      </c>
      <c r="AQ88" s="61" t="e">
        <v>#N/A</v>
      </c>
      <c r="AR88" s="61" t="e">
        <v>#N/A</v>
      </c>
      <c r="AS88" s="61" t="e">
        <v>#N/A</v>
      </c>
      <c r="AT88" s="61" t="e">
        <v>#N/A</v>
      </c>
      <c r="AU88" s="61" t="e">
        <v>#N/A</v>
      </c>
      <c r="AV88" s="61" t="e">
        <v>#N/A</v>
      </c>
      <c r="AW88" s="61" t="e">
        <v>#N/A</v>
      </c>
      <c r="AX88" s="65" t="e">
        <v>#N/A</v>
      </c>
      <c r="AY88" s="66" t="s">
        <v>121</v>
      </c>
      <c r="AZ88" s="61" t="s">
        <v>121</v>
      </c>
      <c r="BA88" s="61">
        <v>67.349999999999994</v>
      </c>
      <c r="BB88" s="61">
        <v>67.349999999999994</v>
      </c>
      <c r="BC88" s="61" t="s">
        <v>121</v>
      </c>
      <c r="BD88" s="61" t="s">
        <v>121</v>
      </c>
      <c r="BE88" s="61" t="s">
        <v>121</v>
      </c>
      <c r="BF88" s="61" t="s">
        <v>121</v>
      </c>
      <c r="BG88" s="61">
        <v>1.6639999999999999</v>
      </c>
      <c r="BH88" s="61" t="s">
        <v>121</v>
      </c>
      <c r="BI88" s="61" t="s">
        <v>121</v>
      </c>
      <c r="BJ88" s="61">
        <v>1.6639999999999999</v>
      </c>
      <c r="BK88" s="66">
        <v>1.6639999999999999</v>
      </c>
      <c r="BL88" s="67" t="s">
        <v>121</v>
      </c>
      <c r="BM88" s="61" t="s">
        <v>121</v>
      </c>
      <c r="BN88" s="61" t="s">
        <v>121</v>
      </c>
      <c r="BO88" s="61" t="s">
        <v>121</v>
      </c>
      <c r="BP88" s="61" t="s">
        <v>121</v>
      </c>
      <c r="BQ88" s="61">
        <v>222.071</v>
      </c>
      <c r="BR88" s="61">
        <v>3.3570000000000002</v>
      </c>
      <c r="BS88" s="61" t="s">
        <v>121</v>
      </c>
      <c r="BT88" s="61" t="s">
        <v>121</v>
      </c>
      <c r="BU88" s="61">
        <v>0.32700000000000001</v>
      </c>
      <c r="BV88" s="61">
        <v>0.193</v>
      </c>
      <c r="BW88" s="61">
        <v>0.52100000000000002</v>
      </c>
      <c r="BX88" s="67">
        <v>225.94800000000001</v>
      </c>
      <c r="BY88" s="68">
        <v>80206</v>
      </c>
      <c r="BZ88" s="68">
        <v>107645</v>
      </c>
      <c r="CA88" s="69">
        <v>6866</v>
      </c>
      <c r="CB88" s="68">
        <v>191639</v>
      </c>
      <c r="CC88" s="68">
        <v>239</v>
      </c>
      <c r="CD88" s="61"/>
      <c r="CE88" s="64"/>
      <c r="CF88" s="64"/>
      <c r="CG88" s="70">
        <f t="shared" si="6"/>
        <v>8048.8379999999997</v>
      </c>
      <c r="CH88" s="70">
        <f t="shared" si="7"/>
        <v>288.37200000000001</v>
      </c>
      <c r="CI88" s="70">
        <f t="shared" si="8"/>
        <v>10.038</v>
      </c>
      <c r="CJ88" s="70">
        <f t="shared" si="10"/>
        <v>3368.652</v>
      </c>
      <c r="CK88" s="70">
        <f t="shared" si="10"/>
        <v>4521.09</v>
      </c>
      <c r="CL88" s="70">
        <f t="shared" si="9"/>
        <v>10.038</v>
      </c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  <c r="DL88" s="61"/>
      <c r="DM88" s="61"/>
      <c r="DN88" s="61"/>
      <c r="DO88" s="61"/>
      <c r="DP88" s="61"/>
      <c r="DQ88" s="61"/>
      <c r="DR88" s="61"/>
      <c r="DS88" s="61"/>
      <c r="DT88" s="61"/>
      <c r="DU88" s="61"/>
      <c r="DV88" s="61"/>
      <c r="DW88" s="61"/>
      <c r="DX88" s="61"/>
      <c r="DY88" s="61"/>
      <c r="DZ88" s="61"/>
      <c r="EA88" s="61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61"/>
      <c r="EO88" s="61"/>
      <c r="EP88" s="61"/>
      <c r="EQ88" s="61"/>
      <c r="ER88" s="61"/>
      <c r="ES88" s="61"/>
      <c r="ET88" s="61"/>
      <c r="EU88" s="61"/>
      <c r="EV88" s="61"/>
      <c r="EW88" s="61"/>
    </row>
    <row r="89" spans="1:153">
      <c r="A89" s="56">
        <v>29281</v>
      </c>
      <c r="B89" s="57"/>
      <c r="C89" s="58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8"/>
      <c r="P89" s="60">
        <v>209.59800000000001</v>
      </c>
      <c r="Q89" s="61" t="s">
        <v>121</v>
      </c>
      <c r="R89" s="61">
        <v>209.727</v>
      </c>
      <c r="S89" s="61">
        <v>469.13400000000001</v>
      </c>
      <c r="T89" s="61">
        <v>255.67599999999999</v>
      </c>
      <c r="U89" s="61">
        <v>3.7309999999999999</v>
      </c>
      <c r="V89" s="61" t="s">
        <v>121</v>
      </c>
      <c r="W89" s="61" t="s">
        <v>121</v>
      </c>
      <c r="X89" s="61">
        <v>209.59800000000001</v>
      </c>
      <c r="Y89" s="61">
        <v>0.129</v>
      </c>
      <c r="Z89" s="61" t="s">
        <v>121</v>
      </c>
      <c r="AA89" s="61">
        <v>209.727</v>
      </c>
      <c r="AB89" s="60">
        <v>469.13400000000001</v>
      </c>
      <c r="AC89" s="62"/>
      <c r="AD89" s="61"/>
      <c r="AE89" s="61"/>
      <c r="AF89" s="61"/>
      <c r="AG89" s="61"/>
      <c r="AH89" s="61"/>
      <c r="AI89" s="61"/>
      <c r="AJ89" s="61"/>
      <c r="AK89" s="62"/>
      <c r="AL89" s="63"/>
      <c r="AM89" s="64"/>
      <c r="AN89" s="65" t="e">
        <v>#N/A</v>
      </c>
      <c r="AO89" s="61" t="e">
        <v>#N/A</v>
      </c>
      <c r="AP89" s="61" t="e">
        <v>#N/A</v>
      </c>
      <c r="AQ89" s="61" t="e">
        <v>#N/A</v>
      </c>
      <c r="AR89" s="61" t="e">
        <v>#N/A</v>
      </c>
      <c r="AS89" s="61" t="e">
        <v>#N/A</v>
      </c>
      <c r="AT89" s="61" t="e">
        <v>#N/A</v>
      </c>
      <c r="AU89" s="61" t="e">
        <v>#N/A</v>
      </c>
      <c r="AV89" s="61" t="e">
        <v>#N/A</v>
      </c>
      <c r="AW89" s="61" t="e">
        <v>#N/A</v>
      </c>
      <c r="AX89" s="65" t="e">
        <v>#N/A</v>
      </c>
      <c r="AY89" s="66" t="s">
        <v>121</v>
      </c>
      <c r="AZ89" s="61" t="s">
        <v>121</v>
      </c>
      <c r="BA89" s="61">
        <v>71.995000000000005</v>
      </c>
      <c r="BB89" s="61">
        <v>71.995000000000005</v>
      </c>
      <c r="BC89" s="61" t="s">
        <v>121</v>
      </c>
      <c r="BD89" s="61" t="s">
        <v>121</v>
      </c>
      <c r="BE89" s="61" t="s">
        <v>121</v>
      </c>
      <c r="BF89" s="61" t="s">
        <v>121</v>
      </c>
      <c r="BG89" s="61">
        <v>1.7789999999999999</v>
      </c>
      <c r="BH89" s="61" t="s">
        <v>121</v>
      </c>
      <c r="BI89" s="61" t="s">
        <v>121</v>
      </c>
      <c r="BJ89" s="61">
        <v>1.7789999999999999</v>
      </c>
      <c r="BK89" s="66">
        <v>1.7789999999999999</v>
      </c>
      <c r="BL89" s="67" t="s">
        <v>121</v>
      </c>
      <c r="BM89" s="61" t="s">
        <v>121</v>
      </c>
      <c r="BN89" s="61" t="s">
        <v>121</v>
      </c>
      <c r="BO89" s="61" t="s">
        <v>121</v>
      </c>
      <c r="BP89" s="61" t="s">
        <v>121</v>
      </c>
      <c r="BQ89" s="61">
        <v>252.762</v>
      </c>
      <c r="BR89" s="61">
        <v>3.7309999999999999</v>
      </c>
      <c r="BS89" s="61" t="s">
        <v>121</v>
      </c>
      <c r="BT89" s="61" t="s">
        <v>121</v>
      </c>
      <c r="BU89" s="61">
        <v>0.30499999999999999</v>
      </c>
      <c r="BV89" s="61">
        <v>0.129</v>
      </c>
      <c r="BW89" s="61">
        <v>0.435</v>
      </c>
      <c r="BX89" s="67">
        <v>256.928</v>
      </c>
      <c r="BY89" s="68">
        <v>79273</v>
      </c>
      <c r="BZ89" s="68">
        <v>98544</v>
      </c>
      <c r="CA89" s="69">
        <v>5992</v>
      </c>
      <c r="CB89" s="68">
        <v>177846</v>
      </c>
      <c r="CC89" s="68">
        <v>575</v>
      </c>
      <c r="CD89" s="61"/>
      <c r="CE89" s="64"/>
      <c r="CF89" s="64"/>
      <c r="CG89" s="70">
        <f t="shared" si="6"/>
        <v>7469.5320000000002</v>
      </c>
      <c r="CH89" s="70">
        <f t="shared" si="7"/>
        <v>251.66399999999999</v>
      </c>
      <c r="CI89" s="70">
        <f t="shared" si="8"/>
        <v>24.15</v>
      </c>
      <c r="CJ89" s="70">
        <f t="shared" si="10"/>
        <v>3329.4659999999999</v>
      </c>
      <c r="CK89" s="70">
        <f t="shared" si="10"/>
        <v>4138.848</v>
      </c>
      <c r="CL89" s="70">
        <f t="shared" si="9"/>
        <v>24.15</v>
      </c>
      <c r="CM89" s="61"/>
      <c r="CN89" s="61"/>
      <c r="CO89" s="61"/>
      <c r="CP89" s="61"/>
      <c r="CQ89" s="61"/>
      <c r="CR89" s="61"/>
      <c r="CS89" s="61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  <c r="DF89" s="61"/>
      <c r="DG89" s="61"/>
      <c r="DH89" s="61"/>
      <c r="DI89" s="61"/>
      <c r="DJ89" s="61"/>
      <c r="DK89" s="61"/>
      <c r="DL89" s="61"/>
      <c r="DM89" s="61"/>
      <c r="DN89" s="61"/>
      <c r="DO89" s="61"/>
      <c r="DP89" s="61"/>
      <c r="DQ89" s="61"/>
      <c r="DR89" s="61"/>
      <c r="DS89" s="61"/>
      <c r="DT89" s="61"/>
      <c r="DU89" s="61"/>
      <c r="DV89" s="61"/>
      <c r="DW89" s="61"/>
      <c r="DX89" s="61"/>
      <c r="DY89" s="61"/>
      <c r="DZ89" s="61"/>
      <c r="EA89" s="61"/>
      <c r="EB89" s="61"/>
      <c r="EC89" s="61"/>
      <c r="ED89" s="61"/>
      <c r="EE89" s="61"/>
      <c r="EF89" s="61"/>
      <c r="EG89" s="61"/>
      <c r="EH89" s="61"/>
      <c r="EI89" s="61"/>
      <c r="EJ89" s="61"/>
      <c r="EK89" s="61"/>
      <c r="EL89" s="61"/>
      <c r="EM89" s="61"/>
      <c r="EN89" s="61"/>
      <c r="EO89" s="61"/>
      <c r="EP89" s="61"/>
      <c r="EQ89" s="61"/>
      <c r="ER89" s="61"/>
      <c r="ES89" s="61"/>
      <c r="ET89" s="61"/>
      <c r="EU89" s="61"/>
      <c r="EV89" s="61"/>
      <c r="EW89" s="61"/>
    </row>
    <row r="90" spans="1:153">
      <c r="A90" s="56">
        <v>29312</v>
      </c>
      <c r="B90" s="57"/>
      <c r="C90" s="58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8"/>
      <c r="P90" s="60">
        <v>202.768</v>
      </c>
      <c r="Q90" s="61" t="s">
        <v>121</v>
      </c>
      <c r="R90" s="61">
        <v>202.89400000000001</v>
      </c>
      <c r="S90" s="61">
        <v>477.35599999999999</v>
      </c>
      <c r="T90" s="61">
        <v>270.55200000000002</v>
      </c>
      <c r="U90" s="61">
        <v>3.9089999999999998</v>
      </c>
      <c r="V90" s="61" t="s">
        <v>121</v>
      </c>
      <c r="W90" s="61" t="s">
        <v>121</v>
      </c>
      <c r="X90" s="61">
        <v>202.768</v>
      </c>
      <c r="Y90" s="61">
        <v>0.127</v>
      </c>
      <c r="Z90" s="61" t="s">
        <v>121</v>
      </c>
      <c r="AA90" s="61">
        <v>202.89400000000001</v>
      </c>
      <c r="AB90" s="60">
        <v>477.35599999999999</v>
      </c>
      <c r="AC90" s="62"/>
      <c r="AD90" s="61"/>
      <c r="AE90" s="61"/>
      <c r="AF90" s="61"/>
      <c r="AG90" s="61"/>
      <c r="AH90" s="61"/>
      <c r="AI90" s="61"/>
      <c r="AJ90" s="61"/>
      <c r="AK90" s="62"/>
      <c r="AL90" s="63"/>
      <c r="AM90" s="64"/>
      <c r="AN90" s="65" t="e">
        <v>#N/A</v>
      </c>
      <c r="AO90" s="61" t="e">
        <v>#N/A</v>
      </c>
      <c r="AP90" s="61" t="e">
        <v>#N/A</v>
      </c>
      <c r="AQ90" s="61" t="e">
        <v>#N/A</v>
      </c>
      <c r="AR90" s="61" t="e">
        <v>#N/A</v>
      </c>
      <c r="AS90" s="61" t="e">
        <v>#N/A</v>
      </c>
      <c r="AT90" s="61" t="e">
        <v>#N/A</v>
      </c>
      <c r="AU90" s="61" t="e">
        <v>#N/A</v>
      </c>
      <c r="AV90" s="61" t="e">
        <v>#N/A</v>
      </c>
      <c r="AW90" s="61" t="e">
        <v>#N/A</v>
      </c>
      <c r="AX90" s="65" t="e">
        <v>#N/A</v>
      </c>
      <c r="AY90" s="66" t="s">
        <v>121</v>
      </c>
      <c r="AZ90" s="61" t="s">
        <v>121</v>
      </c>
      <c r="BA90" s="61">
        <v>69.671999999999997</v>
      </c>
      <c r="BB90" s="61">
        <v>69.671999999999997</v>
      </c>
      <c r="BC90" s="61" t="s">
        <v>121</v>
      </c>
      <c r="BD90" s="61" t="s">
        <v>121</v>
      </c>
      <c r="BE90" s="61" t="s">
        <v>121</v>
      </c>
      <c r="BF90" s="61" t="s">
        <v>121</v>
      </c>
      <c r="BG90" s="61">
        <v>1.7210000000000001</v>
      </c>
      <c r="BH90" s="61" t="s">
        <v>121</v>
      </c>
      <c r="BI90" s="61" t="s">
        <v>121</v>
      </c>
      <c r="BJ90" s="61">
        <v>1.7210000000000001</v>
      </c>
      <c r="BK90" s="66">
        <v>1.7210000000000001</v>
      </c>
      <c r="BL90" s="67" t="s">
        <v>121</v>
      </c>
      <c r="BM90" s="61" t="s">
        <v>121</v>
      </c>
      <c r="BN90" s="61" t="s">
        <v>121</v>
      </c>
      <c r="BO90" s="61" t="s">
        <v>121</v>
      </c>
      <c r="BP90" s="61" t="s">
        <v>121</v>
      </c>
      <c r="BQ90" s="61">
        <v>267.46899999999999</v>
      </c>
      <c r="BR90" s="61">
        <v>3.9089999999999998</v>
      </c>
      <c r="BS90" s="61" t="s">
        <v>121</v>
      </c>
      <c r="BT90" s="61" t="s">
        <v>121</v>
      </c>
      <c r="BU90" s="61">
        <v>0.22700000000000001</v>
      </c>
      <c r="BV90" s="61">
        <v>0.127</v>
      </c>
      <c r="BW90" s="61">
        <v>0.35299999999999998</v>
      </c>
      <c r="BX90" s="67">
        <v>271.73200000000003</v>
      </c>
      <c r="BY90" s="68">
        <v>73806</v>
      </c>
      <c r="BZ90" s="68">
        <v>79039</v>
      </c>
      <c r="CA90" s="69">
        <v>4619</v>
      </c>
      <c r="CB90" s="68">
        <v>177220</v>
      </c>
      <c r="CC90" s="68">
        <v>73</v>
      </c>
      <c r="CD90" s="61"/>
      <c r="CE90" s="64"/>
      <c r="CF90" s="64"/>
      <c r="CG90" s="70">
        <f t="shared" si="6"/>
        <v>7443.24</v>
      </c>
      <c r="CH90" s="70">
        <f t="shared" si="7"/>
        <v>193.99799999999999</v>
      </c>
      <c r="CI90" s="70">
        <f t="shared" si="8"/>
        <v>3.0659999999999998</v>
      </c>
      <c r="CJ90" s="70">
        <f t="shared" si="10"/>
        <v>3099.8519999999999</v>
      </c>
      <c r="CK90" s="70">
        <f t="shared" si="10"/>
        <v>3319.6379999999999</v>
      </c>
      <c r="CL90" s="70">
        <f t="shared" si="9"/>
        <v>3.0659999999999998</v>
      </c>
      <c r="CM90" s="61"/>
      <c r="CN90" s="61"/>
      <c r="CO90" s="61"/>
      <c r="CP90" s="61"/>
      <c r="CQ90" s="61"/>
      <c r="CR90" s="61"/>
      <c r="CS90" s="61"/>
      <c r="CT90" s="61"/>
      <c r="CU90" s="61"/>
      <c r="CV90" s="61"/>
      <c r="CW90" s="61"/>
      <c r="CX90" s="61"/>
      <c r="CY90" s="61"/>
      <c r="CZ90" s="61"/>
      <c r="DA90" s="61"/>
      <c r="DB90" s="61"/>
      <c r="DC90" s="61"/>
      <c r="DD90" s="61"/>
      <c r="DE90" s="61"/>
      <c r="DF90" s="61"/>
      <c r="DG90" s="61"/>
      <c r="DH90" s="61"/>
      <c r="DI90" s="61"/>
      <c r="DJ90" s="61"/>
      <c r="DK90" s="61"/>
      <c r="DL90" s="61"/>
      <c r="DM90" s="61"/>
      <c r="DN90" s="61"/>
      <c r="DO90" s="61"/>
      <c r="DP90" s="61"/>
      <c r="DQ90" s="61"/>
      <c r="DR90" s="61"/>
      <c r="DS90" s="61"/>
      <c r="DT90" s="61"/>
      <c r="DU90" s="61"/>
      <c r="DV90" s="61"/>
      <c r="DW90" s="61"/>
      <c r="DX90" s="61"/>
      <c r="DY90" s="61"/>
      <c r="DZ90" s="61"/>
      <c r="EA90" s="61"/>
      <c r="EB90" s="61"/>
      <c r="EC90" s="61"/>
      <c r="ED90" s="61"/>
      <c r="EE90" s="61"/>
      <c r="EF90" s="61"/>
      <c r="EG90" s="61"/>
      <c r="EH90" s="61"/>
      <c r="EI90" s="61"/>
      <c r="EJ90" s="61"/>
      <c r="EK90" s="61"/>
      <c r="EL90" s="61"/>
      <c r="EM90" s="61"/>
      <c r="EN90" s="61"/>
      <c r="EO90" s="61"/>
      <c r="EP90" s="61"/>
      <c r="EQ90" s="61"/>
      <c r="ER90" s="61"/>
      <c r="ES90" s="61"/>
      <c r="ET90" s="61"/>
      <c r="EU90" s="61"/>
      <c r="EV90" s="61"/>
      <c r="EW90" s="61"/>
    </row>
    <row r="91" spans="1:153">
      <c r="A91" s="56">
        <v>29342</v>
      </c>
      <c r="B91" s="57"/>
      <c r="C91" s="58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8"/>
      <c r="P91" s="60">
        <v>209.39400000000001</v>
      </c>
      <c r="Q91" s="61" t="s">
        <v>121</v>
      </c>
      <c r="R91" s="61">
        <v>209.548</v>
      </c>
      <c r="S91" s="61">
        <v>517.45600000000002</v>
      </c>
      <c r="T91" s="61">
        <v>303.30500000000001</v>
      </c>
      <c r="U91" s="61">
        <v>4.6029999999999998</v>
      </c>
      <c r="V91" s="61" t="s">
        <v>121</v>
      </c>
      <c r="W91" s="61" t="s">
        <v>121</v>
      </c>
      <c r="X91" s="61">
        <v>209.39400000000001</v>
      </c>
      <c r="Y91" s="61">
        <v>0.154</v>
      </c>
      <c r="Z91" s="61" t="s">
        <v>121</v>
      </c>
      <c r="AA91" s="61">
        <v>209.548</v>
      </c>
      <c r="AB91" s="60">
        <v>517.45600000000002</v>
      </c>
      <c r="AC91" s="62"/>
      <c r="AD91" s="61"/>
      <c r="AE91" s="61"/>
      <c r="AF91" s="61"/>
      <c r="AG91" s="61"/>
      <c r="AH91" s="61"/>
      <c r="AI91" s="61"/>
      <c r="AJ91" s="61"/>
      <c r="AK91" s="62"/>
      <c r="AL91" s="63"/>
      <c r="AM91" s="64"/>
      <c r="AN91" s="65" t="e">
        <v>#N/A</v>
      </c>
      <c r="AO91" s="61" t="e">
        <v>#N/A</v>
      </c>
      <c r="AP91" s="61" t="e">
        <v>#N/A</v>
      </c>
      <c r="AQ91" s="61" t="e">
        <v>#N/A</v>
      </c>
      <c r="AR91" s="61" t="e">
        <v>#N/A</v>
      </c>
      <c r="AS91" s="61" t="e">
        <v>#N/A</v>
      </c>
      <c r="AT91" s="61" t="e">
        <v>#N/A</v>
      </c>
      <c r="AU91" s="61" t="e">
        <v>#N/A</v>
      </c>
      <c r="AV91" s="61" t="e">
        <v>#N/A</v>
      </c>
      <c r="AW91" s="61" t="e">
        <v>#N/A</v>
      </c>
      <c r="AX91" s="65" t="e">
        <v>#N/A</v>
      </c>
      <c r="AY91" s="66" t="s">
        <v>121</v>
      </c>
      <c r="AZ91" s="61" t="s">
        <v>121</v>
      </c>
      <c r="BA91" s="61">
        <v>71.995000000000005</v>
      </c>
      <c r="BB91" s="61">
        <v>71.995000000000005</v>
      </c>
      <c r="BC91" s="61" t="s">
        <v>121</v>
      </c>
      <c r="BD91" s="61" t="s">
        <v>121</v>
      </c>
      <c r="BE91" s="61" t="s">
        <v>121</v>
      </c>
      <c r="BF91" s="61" t="s">
        <v>121</v>
      </c>
      <c r="BG91" s="61">
        <v>1.7789999999999999</v>
      </c>
      <c r="BH91" s="61" t="s">
        <v>121</v>
      </c>
      <c r="BI91" s="61" t="s">
        <v>121</v>
      </c>
      <c r="BJ91" s="61">
        <v>1.7789999999999999</v>
      </c>
      <c r="BK91" s="66">
        <v>1.7789999999999999</v>
      </c>
      <c r="BL91" s="67" t="s">
        <v>121</v>
      </c>
      <c r="BM91" s="61" t="s">
        <v>121</v>
      </c>
      <c r="BN91" s="61" t="s">
        <v>121</v>
      </c>
      <c r="BO91" s="61" t="s">
        <v>121</v>
      </c>
      <c r="BP91" s="61" t="s">
        <v>121</v>
      </c>
      <c r="BQ91" s="61">
        <v>299.84800000000001</v>
      </c>
      <c r="BR91" s="61">
        <v>4.6029999999999998</v>
      </c>
      <c r="BS91" s="61" t="s">
        <v>121</v>
      </c>
      <c r="BT91" s="61" t="s">
        <v>121</v>
      </c>
      <c r="BU91" s="61">
        <v>0.10199999999999999</v>
      </c>
      <c r="BV91" s="61">
        <v>0.154</v>
      </c>
      <c r="BW91" s="61">
        <v>0.25600000000000001</v>
      </c>
      <c r="BX91" s="67">
        <v>304.70699999999999</v>
      </c>
      <c r="BY91" s="68">
        <v>76690</v>
      </c>
      <c r="BZ91" s="68">
        <v>74460</v>
      </c>
      <c r="CA91" s="69">
        <v>3894</v>
      </c>
      <c r="CB91" s="68">
        <v>183381</v>
      </c>
      <c r="CC91" s="68">
        <v>18</v>
      </c>
      <c r="CD91" s="61"/>
      <c r="CE91" s="64"/>
      <c r="CF91" s="64"/>
      <c r="CG91" s="70">
        <f t="shared" si="6"/>
        <v>7702.0020000000004</v>
      </c>
      <c r="CH91" s="70">
        <f t="shared" si="7"/>
        <v>163.548</v>
      </c>
      <c r="CI91" s="70">
        <f t="shared" si="8"/>
        <v>0.75600000000000001</v>
      </c>
      <c r="CJ91" s="70">
        <f t="shared" si="10"/>
        <v>3220.98</v>
      </c>
      <c r="CK91" s="70">
        <f t="shared" si="10"/>
        <v>3127.32</v>
      </c>
      <c r="CL91" s="70">
        <f t="shared" si="9"/>
        <v>0.75600000000000001</v>
      </c>
      <c r="CM91" s="61"/>
      <c r="CN91" s="61"/>
      <c r="CO91" s="61"/>
      <c r="CP91" s="61"/>
      <c r="CQ91" s="61"/>
      <c r="CR91" s="61"/>
      <c r="CS91" s="61"/>
      <c r="CT91" s="61"/>
      <c r="CU91" s="61"/>
      <c r="CV91" s="61"/>
      <c r="CW91" s="61"/>
      <c r="CX91" s="61"/>
      <c r="CY91" s="61"/>
      <c r="CZ91" s="61"/>
      <c r="DA91" s="61"/>
      <c r="DB91" s="61"/>
      <c r="DC91" s="61"/>
      <c r="DD91" s="61"/>
      <c r="DE91" s="61"/>
      <c r="DF91" s="61"/>
      <c r="DG91" s="61"/>
      <c r="DH91" s="61"/>
      <c r="DI91" s="61"/>
      <c r="DJ91" s="61"/>
      <c r="DK91" s="61"/>
      <c r="DL91" s="61"/>
      <c r="DM91" s="61"/>
      <c r="DN91" s="61"/>
      <c r="DO91" s="61"/>
      <c r="DP91" s="61"/>
      <c r="DQ91" s="61"/>
      <c r="DR91" s="61"/>
      <c r="DS91" s="61"/>
      <c r="DT91" s="61"/>
      <c r="DU91" s="61"/>
      <c r="DV91" s="61"/>
      <c r="DW91" s="61"/>
      <c r="DX91" s="61"/>
      <c r="DY91" s="61"/>
      <c r="DZ91" s="61"/>
      <c r="EA91" s="61"/>
      <c r="EB91" s="61"/>
      <c r="EC91" s="61"/>
      <c r="ED91" s="61"/>
      <c r="EE91" s="61"/>
      <c r="EF91" s="61"/>
      <c r="EG91" s="61"/>
      <c r="EH91" s="61"/>
      <c r="EI91" s="61"/>
      <c r="EJ91" s="61"/>
      <c r="EK91" s="61"/>
      <c r="EL91" s="61"/>
      <c r="EM91" s="61"/>
      <c r="EN91" s="61"/>
      <c r="EO91" s="61"/>
      <c r="EP91" s="61"/>
      <c r="EQ91" s="61"/>
      <c r="ER91" s="61"/>
      <c r="ES91" s="61"/>
      <c r="ET91" s="61"/>
      <c r="EU91" s="61"/>
      <c r="EV91" s="61"/>
      <c r="EW91" s="61"/>
    </row>
    <row r="92" spans="1:153">
      <c r="A92" s="56">
        <v>29373</v>
      </c>
      <c r="B92" s="57"/>
      <c r="C92" s="58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8"/>
      <c r="P92" s="60">
        <v>202.60900000000001</v>
      </c>
      <c r="Q92" s="61" t="s">
        <v>121</v>
      </c>
      <c r="R92" s="61">
        <v>202.72300000000001</v>
      </c>
      <c r="S92" s="61">
        <v>497.76799999999997</v>
      </c>
      <c r="T92" s="61">
        <v>290.60399999999998</v>
      </c>
      <c r="U92" s="61">
        <v>4.4409999999999998</v>
      </c>
      <c r="V92" s="61" t="s">
        <v>121</v>
      </c>
      <c r="W92" s="61" t="s">
        <v>121</v>
      </c>
      <c r="X92" s="61">
        <v>202.60900000000001</v>
      </c>
      <c r="Y92" s="61">
        <v>0.114</v>
      </c>
      <c r="Z92" s="61" t="s">
        <v>121</v>
      </c>
      <c r="AA92" s="61">
        <v>202.72300000000001</v>
      </c>
      <c r="AB92" s="60">
        <v>497.76799999999997</v>
      </c>
      <c r="AC92" s="62"/>
      <c r="AD92" s="61"/>
      <c r="AE92" s="61"/>
      <c r="AF92" s="61"/>
      <c r="AG92" s="61"/>
      <c r="AH92" s="61"/>
      <c r="AI92" s="61"/>
      <c r="AJ92" s="61"/>
      <c r="AK92" s="62"/>
      <c r="AL92" s="63"/>
      <c r="AM92" s="64"/>
      <c r="AN92" s="65" t="e">
        <v>#N/A</v>
      </c>
      <c r="AO92" s="61" t="e">
        <v>#N/A</v>
      </c>
      <c r="AP92" s="61" t="e">
        <v>#N/A</v>
      </c>
      <c r="AQ92" s="61" t="e">
        <v>#N/A</v>
      </c>
      <c r="AR92" s="61" t="e">
        <v>#N/A</v>
      </c>
      <c r="AS92" s="61" t="e">
        <v>#N/A</v>
      </c>
      <c r="AT92" s="61" t="e">
        <v>#N/A</v>
      </c>
      <c r="AU92" s="61" t="e">
        <v>#N/A</v>
      </c>
      <c r="AV92" s="61" t="e">
        <v>#N/A</v>
      </c>
      <c r="AW92" s="61" t="e">
        <v>#N/A</v>
      </c>
      <c r="AX92" s="65" t="e">
        <v>#N/A</v>
      </c>
      <c r="AY92" s="66" t="s">
        <v>121</v>
      </c>
      <c r="AZ92" s="61" t="s">
        <v>121</v>
      </c>
      <c r="BA92" s="61">
        <v>69.671999999999997</v>
      </c>
      <c r="BB92" s="61">
        <v>69.671999999999997</v>
      </c>
      <c r="BC92" s="61" t="s">
        <v>121</v>
      </c>
      <c r="BD92" s="61" t="s">
        <v>121</v>
      </c>
      <c r="BE92" s="61" t="s">
        <v>121</v>
      </c>
      <c r="BF92" s="61" t="s">
        <v>121</v>
      </c>
      <c r="BG92" s="61">
        <v>1.7210000000000001</v>
      </c>
      <c r="BH92" s="61" t="s">
        <v>121</v>
      </c>
      <c r="BI92" s="61" t="s">
        <v>121</v>
      </c>
      <c r="BJ92" s="61">
        <v>1.7210000000000001</v>
      </c>
      <c r="BK92" s="66">
        <v>1.7210000000000001</v>
      </c>
      <c r="BL92" s="67" t="s">
        <v>121</v>
      </c>
      <c r="BM92" s="61" t="s">
        <v>121</v>
      </c>
      <c r="BN92" s="61" t="s">
        <v>121</v>
      </c>
      <c r="BO92" s="61" t="s">
        <v>121</v>
      </c>
      <c r="BP92" s="61" t="s">
        <v>121</v>
      </c>
      <c r="BQ92" s="61">
        <v>287.29199999999997</v>
      </c>
      <c r="BR92" s="61">
        <v>4.4409999999999998</v>
      </c>
      <c r="BS92" s="61" t="s">
        <v>121</v>
      </c>
      <c r="BT92" s="61" t="s">
        <v>121</v>
      </c>
      <c r="BU92" s="61">
        <v>6.8000000000000005E-2</v>
      </c>
      <c r="BV92" s="61">
        <v>0.114</v>
      </c>
      <c r="BW92" s="61">
        <v>0.183</v>
      </c>
      <c r="BX92" s="67">
        <v>291.91500000000002</v>
      </c>
      <c r="BY92" s="68">
        <v>79384</v>
      </c>
      <c r="BZ92" s="68">
        <v>69516</v>
      </c>
      <c r="CA92" s="69">
        <v>3236</v>
      </c>
      <c r="CB92" s="68">
        <v>196538</v>
      </c>
      <c r="CC92" s="68">
        <v>1</v>
      </c>
      <c r="CD92" s="61"/>
      <c r="CE92" s="64"/>
      <c r="CF92" s="64"/>
      <c r="CG92" s="70">
        <f t="shared" si="6"/>
        <v>8254.5959999999995</v>
      </c>
      <c r="CH92" s="70">
        <f t="shared" si="7"/>
        <v>135.91200000000001</v>
      </c>
      <c r="CI92" s="70">
        <f t="shared" si="8"/>
        <v>4.2000000000000003E-2</v>
      </c>
      <c r="CJ92" s="70">
        <f t="shared" si="10"/>
        <v>3334.1280000000002</v>
      </c>
      <c r="CK92" s="70">
        <f t="shared" si="10"/>
        <v>2919.672</v>
      </c>
      <c r="CL92" s="70">
        <f t="shared" si="9"/>
        <v>4.2000000000000003E-2</v>
      </c>
      <c r="CM92" s="61"/>
      <c r="CN92" s="61"/>
      <c r="CO92" s="61"/>
      <c r="CP92" s="61"/>
      <c r="CQ92" s="61"/>
      <c r="CR92" s="61"/>
      <c r="CS92" s="61"/>
      <c r="CT92" s="61"/>
      <c r="CU92" s="61"/>
      <c r="CV92" s="61"/>
      <c r="CW92" s="61"/>
      <c r="CX92" s="61"/>
      <c r="CY92" s="61"/>
      <c r="CZ92" s="61"/>
      <c r="DA92" s="61"/>
      <c r="DB92" s="61"/>
      <c r="DC92" s="61"/>
      <c r="DD92" s="61"/>
      <c r="DE92" s="61"/>
      <c r="DF92" s="61"/>
      <c r="DG92" s="61"/>
      <c r="DH92" s="61"/>
      <c r="DI92" s="61"/>
      <c r="DJ92" s="61"/>
      <c r="DK92" s="61"/>
      <c r="DL92" s="61"/>
      <c r="DM92" s="61"/>
      <c r="DN92" s="61"/>
      <c r="DO92" s="61"/>
      <c r="DP92" s="61"/>
      <c r="DQ92" s="61"/>
      <c r="DR92" s="61"/>
      <c r="DS92" s="61"/>
      <c r="DT92" s="61"/>
      <c r="DU92" s="61"/>
      <c r="DV92" s="61"/>
      <c r="DW92" s="61"/>
      <c r="DX92" s="61"/>
      <c r="DY92" s="61"/>
      <c r="DZ92" s="61"/>
      <c r="EA92" s="61"/>
      <c r="EB92" s="61"/>
      <c r="EC92" s="61"/>
      <c r="ED92" s="61"/>
      <c r="EE92" s="61"/>
      <c r="EF92" s="61"/>
      <c r="EG92" s="61"/>
      <c r="EH92" s="61"/>
      <c r="EI92" s="61"/>
      <c r="EJ92" s="61"/>
      <c r="EK92" s="61"/>
      <c r="EL92" s="61"/>
      <c r="EM92" s="61"/>
      <c r="EN92" s="61"/>
      <c r="EO92" s="61"/>
      <c r="EP92" s="61"/>
      <c r="EQ92" s="61"/>
      <c r="ER92" s="61"/>
      <c r="ES92" s="61"/>
      <c r="ET92" s="61"/>
      <c r="EU92" s="61"/>
      <c r="EV92" s="61"/>
      <c r="EW92" s="61"/>
    </row>
    <row r="93" spans="1:153">
      <c r="A93" s="56">
        <v>29403</v>
      </c>
      <c r="B93" s="57"/>
      <c r="C93" s="58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8"/>
      <c r="P93" s="60">
        <v>209.44900000000001</v>
      </c>
      <c r="Q93" s="61" t="s">
        <v>121</v>
      </c>
      <c r="R93" s="61">
        <v>209.554</v>
      </c>
      <c r="S93" s="61">
        <v>471.33100000000002</v>
      </c>
      <c r="T93" s="61">
        <v>257.10599999999999</v>
      </c>
      <c r="U93" s="61">
        <v>4.67</v>
      </c>
      <c r="V93" s="61" t="s">
        <v>121</v>
      </c>
      <c r="W93" s="61" t="s">
        <v>121</v>
      </c>
      <c r="X93" s="61">
        <v>209.44900000000001</v>
      </c>
      <c r="Y93" s="61">
        <v>0.106</v>
      </c>
      <c r="Z93" s="61" t="s">
        <v>121</v>
      </c>
      <c r="AA93" s="61">
        <v>209.554</v>
      </c>
      <c r="AB93" s="60">
        <v>471.33100000000002</v>
      </c>
      <c r="AC93" s="62"/>
      <c r="AD93" s="61"/>
      <c r="AE93" s="61"/>
      <c r="AF93" s="61"/>
      <c r="AG93" s="61"/>
      <c r="AH93" s="61"/>
      <c r="AI93" s="61"/>
      <c r="AJ93" s="61"/>
      <c r="AK93" s="62"/>
      <c r="AL93" s="63"/>
      <c r="AM93" s="64"/>
      <c r="AN93" s="65" t="e">
        <v>#N/A</v>
      </c>
      <c r="AO93" s="61" t="e">
        <v>#N/A</v>
      </c>
      <c r="AP93" s="61" t="e">
        <v>#N/A</v>
      </c>
      <c r="AQ93" s="61" t="e">
        <v>#N/A</v>
      </c>
      <c r="AR93" s="61" t="e">
        <v>#N/A</v>
      </c>
      <c r="AS93" s="61" t="e">
        <v>#N/A</v>
      </c>
      <c r="AT93" s="61" t="e">
        <v>#N/A</v>
      </c>
      <c r="AU93" s="61" t="e">
        <v>#N/A</v>
      </c>
      <c r="AV93" s="61" t="e">
        <v>#N/A</v>
      </c>
      <c r="AW93" s="61" t="e">
        <v>#N/A</v>
      </c>
      <c r="AX93" s="65" t="e">
        <v>#N/A</v>
      </c>
      <c r="AY93" s="66" t="s">
        <v>121</v>
      </c>
      <c r="AZ93" s="61" t="s">
        <v>121</v>
      </c>
      <c r="BA93" s="61">
        <v>71.995000000000005</v>
      </c>
      <c r="BB93" s="61">
        <v>71.995000000000005</v>
      </c>
      <c r="BC93" s="61" t="s">
        <v>121</v>
      </c>
      <c r="BD93" s="61" t="s">
        <v>121</v>
      </c>
      <c r="BE93" s="61" t="s">
        <v>121</v>
      </c>
      <c r="BF93" s="61" t="s">
        <v>121</v>
      </c>
      <c r="BG93" s="61">
        <v>1.7789999999999999</v>
      </c>
      <c r="BH93" s="61" t="s">
        <v>121</v>
      </c>
      <c r="BI93" s="61" t="s">
        <v>121</v>
      </c>
      <c r="BJ93" s="61">
        <v>1.7789999999999999</v>
      </c>
      <c r="BK93" s="66">
        <v>1.7789999999999999</v>
      </c>
      <c r="BL93" s="67" t="s">
        <v>121</v>
      </c>
      <c r="BM93" s="61" t="s">
        <v>121</v>
      </c>
      <c r="BN93" s="61" t="s">
        <v>121</v>
      </c>
      <c r="BO93" s="61" t="s">
        <v>121</v>
      </c>
      <c r="BP93" s="61" t="s">
        <v>121</v>
      </c>
      <c r="BQ93" s="61">
        <v>254.18199999999999</v>
      </c>
      <c r="BR93" s="61">
        <v>4.67</v>
      </c>
      <c r="BS93" s="61" t="s">
        <v>121</v>
      </c>
      <c r="BT93" s="61" t="s">
        <v>121</v>
      </c>
      <c r="BU93" s="61">
        <v>0.156</v>
      </c>
      <c r="BV93" s="61">
        <v>0.106</v>
      </c>
      <c r="BW93" s="61">
        <v>0.26200000000000001</v>
      </c>
      <c r="BX93" s="67">
        <v>259.11500000000001</v>
      </c>
      <c r="BY93" s="68">
        <v>83370</v>
      </c>
      <c r="BZ93" s="68">
        <v>69714</v>
      </c>
      <c r="CA93" s="69">
        <v>3640</v>
      </c>
      <c r="CB93" s="68">
        <v>213808</v>
      </c>
      <c r="CC93" s="68">
        <v>87</v>
      </c>
      <c r="CD93" s="61"/>
      <c r="CE93" s="64"/>
      <c r="CF93" s="64"/>
      <c r="CG93" s="70">
        <f t="shared" si="6"/>
        <v>8979.9359999999997</v>
      </c>
      <c r="CH93" s="70">
        <f t="shared" si="7"/>
        <v>152.88</v>
      </c>
      <c r="CI93" s="70">
        <f t="shared" si="8"/>
        <v>3.6539999999999999</v>
      </c>
      <c r="CJ93" s="70">
        <f t="shared" si="10"/>
        <v>3501.54</v>
      </c>
      <c r="CK93" s="70">
        <f t="shared" si="10"/>
        <v>2927.9879999999998</v>
      </c>
      <c r="CL93" s="70">
        <f t="shared" si="9"/>
        <v>3.6539999999999999</v>
      </c>
      <c r="CM93" s="61"/>
      <c r="CN93" s="61"/>
      <c r="CO93" s="61"/>
      <c r="CP93" s="61"/>
      <c r="CQ93" s="61"/>
      <c r="CR93" s="61"/>
      <c r="CS93" s="61"/>
      <c r="CT93" s="61"/>
      <c r="CU93" s="61"/>
      <c r="CV93" s="61"/>
      <c r="CW93" s="61"/>
      <c r="CX93" s="61"/>
      <c r="CY93" s="61"/>
      <c r="CZ93" s="61"/>
      <c r="DA93" s="61"/>
      <c r="DB93" s="61"/>
      <c r="DC93" s="61"/>
      <c r="DD93" s="61"/>
      <c r="DE93" s="61"/>
      <c r="DF93" s="61"/>
      <c r="DG93" s="61"/>
      <c r="DH93" s="61"/>
      <c r="DI93" s="61"/>
      <c r="DJ93" s="61"/>
      <c r="DK93" s="61"/>
      <c r="DL93" s="61"/>
      <c r="DM93" s="61"/>
      <c r="DN93" s="61"/>
      <c r="DO93" s="61"/>
      <c r="DP93" s="61"/>
      <c r="DQ93" s="61"/>
      <c r="DR93" s="61"/>
      <c r="DS93" s="61"/>
      <c r="DT93" s="61"/>
      <c r="DU93" s="61"/>
      <c r="DV93" s="61"/>
      <c r="DW93" s="61"/>
      <c r="DX93" s="61"/>
      <c r="DY93" s="61"/>
      <c r="DZ93" s="61"/>
      <c r="EA93" s="61"/>
      <c r="EB93" s="61"/>
      <c r="EC93" s="61"/>
      <c r="ED93" s="61"/>
      <c r="EE93" s="61"/>
      <c r="EF93" s="61"/>
      <c r="EG93" s="61"/>
      <c r="EH93" s="61"/>
      <c r="EI93" s="61"/>
      <c r="EJ93" s="61"/>
      <c r="EK93" s="61"/>
      <c r="EL93" s="61"/>
      <c r="EM93" s="61"/>
      <c r="EN93" s="61"/>
      <c r="EO93" s="61"/>
      <c r="EP93" s="61"/>
      <c r="EQ93" s="61"/>
      <c r="ER93" s="61"/>
      <c r="ES93" s="61"/>
      <c r="ET93" s="61"/>
      <c r="EU93" s="61"/>
      <c r="EV93" s="61"/>
      <c r="EW93" s="61"/>
    </row>
    <row r="94" spans="1:153">
      <c r="A94" s="56">
        <v>29434</v>
      </c>
      <c r="B94" s="57"/>
      <c r="C94" s="58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8"/>
      <c r="P94" s="60">
        <v>209.54400000000001</v>
      </c>
      <c r="Q94" s="61" t="s">
        <v>121</v>
      </c>
      <c r="R94" s="61">
        <v>209.67500000000001</v>
      </c>
      <c r="S94" s="61">
        <v>429.358</v>
      </c>
      <c r="T94" s="61">
        <v>214.69300000000001</v>
      </c>
      <c r="U94" s="61">
        <v>4.9909999999999997</v>
      </c>
      <c r="V94" s="61" t="s">
        <v>121</v>
      </c>
      <c r="W94" s="61" t="s">
        <v>121</v>
      </c>
      <c r="X94" s="61">
        <v>209.54400000000001</v>
      </c>
      <c r="Y94" s="61">
        <v>0.13100000000000001</v>
      </c>
      <c r="Z94" s="61" t="s">
        <v>121</v>
      </c>
      <c r="AA94" s="61">
        <v>209.67500000000001</v>
      </c>
      <c r="AB94" s="60">
        <v>429.358</v>
      </c>
      <c r="AC94" s="62"/>
      <c r="AD94" s="61"/>
      <c r="AE94" s="61"/>
      <c r="AF94" s="61"/>
      <c r="AG94" s="61"/>
      <c r="AH94" s="61"/>
      <c r="AI94" s="61"/>
      <c r="AJ94" s="61"/>
      <c r="AK94" s="62"/>
      <c r="AL94" s="63"/>
      <c r="AM94" s="64"/>
      <c r="AN94" s="65" t="e">
        <v>#N/A</v>
      </c>
      <c r="AO94" s="61" t="e">
        <v>#N/A</v>
      </c>
      <c r="AP94" s="61" t="e">
        <v>#N/A</v>
      </c>
      <c r="AQ94" s="61" t="e">
        <v>#N/A</v>
      </c>
      <c r="AR94" s="61" t="e">
        <v>#N/A</v>
      </c>
      <c r="AS94" s="61" t="e">
        <v>#N/A</v>
      </c>
      <c r="AT94" s="61" t="e">
        <v>#N/A</v>
      </c>
      <c r="AU94" s="61" t="e">
        <v>#N/A</v>
      </c>
      <c r="AV94" s="61" t="e">
        <v>#N/A</v>
      </c>
      <c r="AW94" s="61" t="e">
        <v>#N/A</v>
      </c>
      <c r="AX94" s="65" t="e">
        <v>#N/A</v>
      </c>
      <c r="AY94" s="66" t="s">
        <v>121</v>
      </c>
      <c r="AZ94" s="61" t="s">
        <v>121</v>
      </c>
      <c r="BA94" s="61">
        <v>71.995000000000005</v>
      </c>
      <c r="BB94" s="61">
        <v>71.995000000000005</v>
      </c>
      <c r="BC94" s="61" t="s">
        <v>121</v>
      </c>
      <c r="BD94" s="61" t="s">
        <v>121</v>
      </c>
      <c r="BE94" s="61" t="s">
        <v>121</v>
      </c>
      <c r="BF94" s="61" t="s">
        <v>121</v>
      </c>
      <c r="BG94" s="61">
        <v>1.7789999999999999</v>
      </c>
      <c r="BH94" s="61" t="s">
        <v>121</v>
      </c>
      <c r="BI94" s="61" t="s">
        <v>121</v>
      </c>
      <c r="BJ94" s="61">
        <v>1.7789999999999999</v>
      </c>
      <c r="BK94" s="66">
        <v>1.7789999999999999</v>
      </c>
      <c r="BL94" s="67" t="s">
        <v>121</v>
      </c>
      <c r="BM94" s="61" t="s">
        <v>121</v>
      </c>
      <c r="BN94" s="61" t="s">
        <v>121</v>
      </c>
      <c r="BO94" s="61" t="s">
        <v>121</v>
      </c>
      <c r="BP94" s="61" t="s">
        <v>121</v>
      </c>
      <c r="BQ94" s="61">
        <v>212.24</v>
      </c>
      <c r="BR94" s="61">
        <v>4.9909999999999997</v>
      </c>
      <c r="BS94" s="61" t="s">
        <v>121</v>
      </c>
      <c r="BT94" s="61" t="s">
        <v>121</v>
      </c>
      <c r="BU94" s="61">
        <v>0.252</v>
      </c>
      <c r="BV94" s="61">
        <v>0.13100000000000001</v>
      </c>
      <c r="BW94" s="61">
        <v>0.38200000000000001</v>
      </c>
      <c r="BX94" s="67">
        <v>217.614</v>
      </c>
      <c r="BY94" s="68">
        <v>76300</v>
      </c>
      <c r="BZ94" s="68">
        <v>66245</v>
      </c>
      <c r="CA94" s="69">
        <v>2382</v>
      </c>
      <c r="CB94" s="68">
        <v>226306</v>
      </c>
      <c r="CC94" s="68">
        <v>1</v>
      </c>
      <c r="CD94" s="61"/>
      <c r="CE94" s="64"/>
      <c r="CF94" s="64"/>
      <c r="CG94" s="70">
        <f t="shared" si="6"/>
        <v>9504.8520000000008</v>
      </c>
      <c r="CH94" s="70">
        <f t="shared" si="7"/>
        <v>100.044</v>
      </c>
      <c r="CI94" s="70">
        <f t="shared" si="8"/>
        <v>4.2000000000000003E-2</v>
      </c>
      <c r="CJ94" s="70">
        <f t="shared" si="10"/>
        <v>3204.6</v>
      </c>
      <c r="CK94" s="70">
        <f t="shared" si="10"/>
        <v>2782.29</v>
      </c>
      <c r="CL94" s="70">
        <f t="shared" si="9"/>
        <v>4.2000000000000003E-2</v>
      </c>
      <c r="CM94" s="61"/>
      <c r="CN94" s="61"/>
      <c r="CO94" s="61"/>
      <c r="CP94" s="61"/>
      <c r="CQ94" s="61"/>
      <c r="CR94" s="61"/>
      <c r="CS94" s="61"/>
      <c r="CT94" s="61"/>
      <c r="CU94" s="61"/>
      <c r="CV94" s="61"/>
      <c r="CW94" s="61"/>
      <c r="CX94" s="61"/>
      <c r="CY94" s="61"/>
      <c r="CZ94" s="61"/>
      <c r="DA94" s="61"/>
      <c r="DB94" s="61"/>
      <c r="DC94" s="61"/>
      <c r="DD94" s="61"/>
      <c r="DE94" s="61"/>
      <c r="DF94" s="61"/>
      <c r="DG94" s="61"/>
      <c r="DH94" s="61"/>
      <c r="DI94" s="61"/>
      <c r="DJ94" s="61"/>
      <c r="DK94" s="61"/>
      <c r="DL94" s="61"/>
      <c r="DM94" s="61"/>
      <c r="DN94" s="61"/>
      <c r="DO94" s="61"/>
      <c r="DP94" s="61"/>
      <c r="DQ94" s="61"/>
      <c r="DR94" s="61"/>
      <c r="DS94" s="61"/>
      <c r="DT94" s="61"/>
      <c r="DU94" s="61"/>
      <c r="DV94" s="61"/>
      <c r="DW94" s="61"/>
      <c r="DX94" s="61"/>
      <c r="DY94" s="61"/>
      <c r="DZ94" s="61"/>
      <c r="EA94" s="61"/>
      <c r="EB94" s="61"/>
      <c r="EC94" s="61"/>
      <c r="ED94" s="61"/>
      <c r="EE94" s="61"/>
      <c r="EF94" s="61"/>
      <c r="EG94" s="61"/>
      <c r="EH94" s="61"/>
      <c r="EI94" s="61"/>
      <c r="EJ94" s="61"/>
      <c r="EK94" s="61"/>
      <c r="EL94" s="61"/>
      <c r="EM94" s="61"/>
      <c r="EN94" s="61"/>
      <c r="EO94" s="61"/>
      <c r="EP94" s="61"/>
      <c r="EQ94" s="61"/>
      <c r="ER94" s="61"/>
      <c r="ES94" s="61"/>
      <c r="ET94" s="61"/>
      <c r="EU94" s="61"/>
      <c r="EV94" s="61"/>
      <c r="EW94" s="61"/>
    </row>
    <row r="95" spans="1:153">
      <c r="A95" s="56">
        <v>29465</v>
      </c>
      <c r="B95" s="57"/>
      <c r="C95" s="58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8"/>
      <c r="P95" s="60">
        <v>202.79</v>
      </c>
      <c r="Q95" s="61" t="s">
        <v>121</v>
      </c>
      <c r="R95" s="61">
        <v>202.905</v>
      </c>
      <c r="S95" s="61">
        <v>401.71199999999999</v>
      </c>
      <c r="T95" s="61">
        <v>194.30099999999999</v>
      </c>
      <c r="U95" s="61">
        <v>4.5060000000000002</v>
      </c>
      <c r="V95" s="61" t="s">
        <v>121</v>
      </c>
      <c r="W95" s="61" t="s">
        <v>121</v>
      </c>
      <c r="X95" s="61">
        <v>202.79</v>
      </c>
      <c r="Y95" s="61">
        <v>0.115</v>
      </c>
      <c r="Z95" s="61" t="s">
        <v>121</v>
      </c>
      <c r="AA95" s="61">
        <v>202.905</v>
      </c>
      <c r="AB95" s="60">
        <v>401.71199999999999</v>
      </c>
      <c r="AC95" s="62"/>
      <c r="AD95" s="61"/>
      <c r="AE95" s="61"/>
      <c r="AF95" s="61"/>
      <c r="AG95" s="61"/>
      <c r="AH95" s="61"/>
      <c r="AI95" s="61"/>
      <c r="AJ95" s="61"/>
      <c r="AK95" s="62"/>
      <c r="AL95" s="63"/>
      <c r="AM95" s="64"/>
      <c r="AN95" s="65" t="e">
        <v>#N/A</v>
      </c>
      <c r="AO95" s="61" t="e">
        <v>#N/A</v>
      </c>
      <c r="AP95" s="61" t="e">
        <v>#N/A</v>
      </c>
      <c r="AQ95" s="61" t="e">
        <v>#N/A</v>
      </c>
      <c r="AR95" s="61" t="e">
        <v>#N/A</v>
      </c>
      <c r="AS95" s="61" t="e">
        <v>#N/A</v>
      </c>
      <c r="AT95" s="61" t="e">
        <v>#N/A</v>
      </c>
      <c r="AU95" s="61" t="e">
        <v>#N/A</v>
      </c>
      <c r="AV95" s="61" t="e">
        <v>#N/A</v>
      </c>
      <c r="AW95" s="61" t="e">
        <v>#N/A</v>
      </c>
      <c r="AX95" s="65" t="e">
        <v>#N/A</v>
      </c>
      <c r="AY95" s="66" t="s">
        <v>121</v>
      </c>
      <c r="AZ95" s="61" t="s">
        <v>121</v>
      </c>
      <c r="BA95" s="61">
        <v>69.671999999999997</v>
      </c>
      <c r="BB95" s="61">
        <v>69.671999999999997</v>
      </c>
      <c r="BC95" s="61" t="s">
        <v>121</v>
      </c>
      <c r="BD95" s="61" t="s">
        <v>121</v>
      </c>
      <c r="BE95" s="61" t="s">
        <v>121</v>
      </c>
      <c r="BF95" s="61" t="s">
        <v>121</v>
      </c>
      <c r="BG95" s="61">
        <v>1.7210000000000001</v>
      </c>
      <c r="BH95" s="61" t="s">
        <v>121</v>
      </c>
      <c r="BI95" s="61" t="s">
        <v>121</v>
      </c>
      <c r="BJ95" s="61">
        <v>1.7210000000000001</v>
      </c>
      <c r="BK95" s="66">
        <v>1.7210000000000001</v>
      </c>
      <c r="BL95" s="67" t="s">
        <v>121</v>
      </c>
      <c r="BM95" s="61" t="s">
        <v>121</v>
      </c>
      <c r="BN95" s="61" t="s">
        <v>121</v>
      </c>
      <c r="BO95" s="61" t="s">
        <v>121</v>
      </c>
      <c r="BP95" s="61" t="s">
        <v>121</v>
      </c>
      <c r="BQ95" s="61">
        <v>192.08600000000001</v>
      </c>
      <c r="BR95" s="61">
        <v>4.5060000000000002</v>
      </c>
      <c r="BS95" s="61" t="s">
        <v>121</v>
      </c>
      <c r="BT95" s="61" t="s">
        <v>121</v>
      </c>
      <c r="BU95" s="61">
        <v>0.249</v>
      </c>
      <c r="BV95" s="61">
        <v>0.115</v>
      </c>
      <c r="BW95" s="61">
        <v>0.36399999999999999</v>
      </c>
      <c r="BX95" s="67">
        <v>196.95699999999999</v>
      </c>
      <c r="BY95" s="68">
        <v>80574</v>
      </c>
      <c r="BZ95" s="68">
        <v>77620</v>
      </c>
      <c r="CA95" s="69">
        <v>3028</v>
      </c>
      <c r="CB95" s="68">
        <v>232356</v>
      </c>
      <c r="CC95" s="68">
        <v>3</v>
      </c>
      <c r="CD95" s="61"/>
      <c r="CE95" s="64"/>
      <c r="CF95" s="64"/>
      <c r="CG95" s="70">
        <f t="shared" si="6"/>
        <v>9758.9519999999993</v>
      </c>
      <c r="CH95" s="70">
        <f t="shared" si="7"/>
        <v>127.176</v>
      </c>
      <c r="CI95" s="70">
        <f t="shared" si="8"/>
        <v>0.126</v>
      </c>
      <c r="CJ95" s="70">
        <f t="shared" si="10"/>
        <v>3384.1080000000002</v>
      </c>
      <c r="CK95" s="70">
        <f t="shared" si="10"/>
        <v>3260.04</v>
      </c>
      <c r="CL95" s="70">
        <f t="shared" si="9"/>
        <v>0.126</v>
      </c>
      <c r="CM95" s="61"/>
      <c r="CN95" s="61"/>
      <c r="CO95" s="61"/>
      <c r="CP95" s="61"/>
      <c r="CQ95" s="61"/>
      <c r="CR95" s="61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1"/>
      <c r="DG95" s="61"/>
      <c r="DH95" s="61"/>
      <c r="DI95" s="61"/>
      <c r="DJ95" s="61"/>
      <c r="DK95" s="61"/>
      <c r="DL95" s="61"/>
      <c r="DM95" s="61"/>
      <c r="DN95" s="61"/>
      <c r="DO95" s="61"/>
      <c r="DP95" s="61"/>
      <c r="DQ95" s="61"/>
      <c r="DR95" s="61"/>
      <c r="DS95" s="61"/>
      <c r="DT95" s="61"/>
      <c r="DU95" s="61"/>
      <c r="DV95" s="61"/>
      <c r="DW95" s="61"/>
      <c r="DX95" s="61"/>
      <c r="DY95" s="61"/>
      <c r="DZ95" s="61"/>
      <c r="EA95" s="61"/>
      <c r="EB95" s="61"/>
      <c r="EC95" s="61"/>
      <c r="ED95" s="61"/>
      <c r="EE95" s="61"/>
      <c r="EF95" s="61"/>
      <c r="EG95" s="61"/>
      <c r="EH95" s="61"/>
      <c r="EI95" s="61"/>
      <c r="EJ95" s="61"/>
      <c r="EK95" s="61"/>
      <c r="EL95" s="61"/>
      <c r="EM95" s="61"/>
      <c r="EN95" s="61"/>
      <c r="EO95" s="61"/>
      <c r="EP95" s="61"/>
      <c r="EQ95" s="61"/>
      <c r="ER95" s="61"/>
      <c r="ES95" s="61"/>
      <c r="ET95" s="61"/>
      <c r="EU95" s="61"/>
      <c r="EV95" s="61"/>
      <c r="EW95" s="61"/>
    </row>
    <row r="96" spans="1:153">
      <c r="A96" s="56">
        <v>29495</v>
      </c>
      <c r="B96" s="57"/>
      <c r="C96" s="58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8"/>
      <c r="P96" s="60">
        <v>209.602</v>
      </c>
      <c r="Q96" s="61" t="s">
        <v>121</v>
      </c>
      <c r="R96" s="61">
        <v>209.71700000000001</v>
      </c>
      <c r="S96" s="61">
        <v>402.56400000000002</v>
      </c>
      <c r="T96" s="61">
        <v>187.73</v>
      </c>
      <c r="U96" s="61">
        <v>5.117</v>
      </c>
      <c r="V96" s="61" t="s">
        <v>121</v>
      </c>
      <c r="W96" s="61" t="s">
        <v>121</v>
      </c>
      <c r="X96" s="61">
        <v>209.602</v>
      </c>
      <c r="Y96" s="61">
        <v>0.115</v>
      </c>
      <c r="Z96" s="61" t="s">
        <v>121</v>
      </c>
      <c r="AA96" s="61">
        <v>209.71700000000001</v>
      </c>
      <c r="AB96" s="60">
        <v>402.56400000000002</v>
      </c>
      <c r="AC96" s="62"/>
      <c r="AD96" s="61"/>
      <c r="AE96" s="61"/>
      <c r="AF96" s="61"/>
      <c r="AG96" s="61"/>
      <c r="AH96" s="61"/>
      <c r="AI96" s="61"/>
      <c r="AJ96" s="61"/>
      <c r="AK96" s="62"/>
      <c r="AL96" s="63"/>
      <c r="AM96" s="64"/>
      <c r="AN96" s="65" t="e">
        <v>#N/A</v>
      </c>
      <c r="AO96" s="61" t="e">
        <v>#N/A</v>
      </c>
      <c r="AP96" s="61" t="e">
        <v>#N/A</v>
      </c>
      <c r="AQ96" s="61" t="e">
        <v>#N/A</v>
      </c>
      <c r="AR96" s="61" t="e">
        <v>#N/A</v>
      </c>
      <c r="AS96" s="61" t="e">
        <v>#N/A</v>
      </c>
      <c r="AT96" s="61" t="e">
        <v>#N/A</v>
      </c>
      <c r="AU96" s="61" t="e">
        <v>#N/A</v>
      </c>
      <c r="AV96" s="61" t="e">
        <v>#N/A</v>
      </c>
      <c r="AW96" s="61" t="e">
        <v>#N/A</v>
      </c>
      <c r="AX96" s="65" t="e">
        <v>#N/A</v>
      </c>
      <c r="AY96" s="66" t="s">
        <v>121</v>
      </c>
      <c r="AZ96" s="61" t="s">
        <v>121</v>
      </c>
      <c r="BA96" s="61">
        <v>71.995000000000005</v>
      </c>
      <c r="BB96" s="61">
        <v>71.995000000000005</v>
      </c>
      <c r="BC96" s="61" t="s">
        <v>121</v>
      </c>
      <c r="BD96" s="61" t="s">
        <v>121</v>
      </c>
      <c r="BE96" s="61" t="s">
        <v>121</v>
      </c>
      <c r="BF96" s="61" t="s">
        <v>121</v>
      </c>
      <c r="BG96" s="61">
        <v>1.7789999999999999</v>
      </c>
      <c r="BH96" s="61" t="s">
        <v>121</v>
      </c>
      <c r="BI96" s="61" t="s">
        <v>121</v>
      </c>
      <c r="BJ96" s="61">
        <v>1.7789999999999999</v>
      </c>
      <c r="BK96" s="66">
        <v>1.7789999999999999</v>
      </c>
      <c r="BL96" s="67" t="s">
        <v>121</v>
      </c>
      <c r="BM96" s="61" t="s">
        <v>121</v>
      </c>
      <c r="BN96" s="61" t="s">
        <v>121</v>
      </c>
      <c r="BO96" s="61" t="s">
        <v>121</v>
      </c>
      <c r="BP96" s="61" t="s">
        <v>121</v>
      </c>
      <c r="BQ96" s="61">
        <v>185.59</v>
      </c>
      <c r="BR96" s="61">
        <v>5.117</v>
      </c>
      <c r="BS96" s="61" t="s">
        <v>121</v>
      </c>
      <c r="BT96" s="61" t="s">
        <v>121</v>
      </c>
      <c r="BU96" s="61">
        <v>0.31</v>
      </c>
      <c r="BV96" s="61">
        <v>0.115</v>
      </c>
      <c r="BW96" s="61">
        <v>0.42399999999999999</v>
      </c>
      <c r="BX96" s="67">
        <v>191.13200000000001</v>
      </c>
      <c r="BY96" s="68">
        <v>80265</v>
      </c>
      <c r="BZ96" s="68">
        <v>90533</v>
      </c>
      <c r="CA96" s="69">
        <v>3554</v>
      </c>
      <c r="CB96" s="68">
        <v>225687</v>
      </c>
      <c r="CC96" s="68">
        <v>7</v>
      </c>
      <c r="CD96" s="61"/>
      <c r="CE96" s="64"/>
      <c r="CF96" s="64"/>
      <c r="CG96" s="70">
        <f t="shared" si="6"/>
        <v>9478.8539999999994</v>
      </c>
      <c r="CH96" s="70">
        <f t="shared" si="7"/>
        <v>149.268</v>
      </c>
      <c r="CI96" s="70">
        <f t="shared" si="8"/>
        <v>0.29399999999999998</v>
      </c>
      <c r="CJ96" s="70">
        <f t="shared" si="10"/>
        <v>3371.13</v>
      </c>
      <c r="CK96" s="70">
        <f t="shared" si="10"/>
        <v>3802.386</v>
      </c>
      <c r="CL96" s="70">
        <f t="shared" si="9"/>
        <v>0.29399999999999998</v>
      </c>
      <c r="CM96" s="61"/>
      <c r="CN96" s="61"/>
      <c r="CO96" s="61"/>
      <c r="CP96" s="61"/>
      <c r="CQ96" s="61"/>
      <c r="CR96" s="61"/>
      <c r="CS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  <c r="DF96" s="61"/>
      <c r="DG96" s="61"/>
      <c r="DH96" s="61"/>
      <c r="DI96" s="61"/>
      <c r="DJ96" s="61"/>
      <c r="DK96" s="61"/>
      <c r="DL96" s="61"/>
      <c r="DM96" s="61"/>
      <c r="DN96" s="61"/>
      <c r="DO96" s="61"/>
      <c r="DP96" s="61"/>
      <c r="DQ96" s="61"/>
      <c r="DR96" s="61"/>
      <c r="DS96" s="61"/>
      <c r="DT96" s="61"/>
      <c r="DU96" s="61"/>
      <c r="DV96" s="61"/>
      <c r="DW96" s="61"/>
      <c r="DX96" s="61"/>
      <c r="DY96" s="61"/>
      <c r="DZ96" s="61"/>
      <c r="EA96" s="61"/>
      <c r="EB96" s="61"/>
      <c r="EC96" s="61"/>
      <c r="ED96" s="61"/>
      <c r="EE96" s="61"/>
      <c r="EF96" s="61"/>
      <c r="EG96" s="61"/>
      <c r="EH96" s="61"/>
      <c r="EI96" s="61"/>
      <c r="EJ96" s="61"/>
      <c r="EK96" s="61"/>
      <c r="EL96" s="61"/>
      <c r="EM96" s="61"/>
      <c r="EN96" s="61"/>
      <c r="EO96" s="61"/>
      <c r="EP96" s="61"/>
      <c r="EQ96" s="61"/>
      <c r="ER96" s="61"/>
      <c r="ES96" s="61"/>
      <c r="ET96" s="61"/>
      <c r="EU96" s="61"/>
      <c r="EV96" s="61"/>
      <c r="EW96" s="61"/>
    </row>
    <row r="97" spans="1:153">
      <c r="A97" s="56">
        <v>29526</v>
      </c>
      <c r="B97" s="57"/>
      <c r="C97" s="58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8"/>
      <c r="P97" s="60">
        <v>202.83099999999999</v>
      </c>
      <c r="Q97" s="61" t="s">
        <v>121</v>
      </c>
      <c r="R97" s="61">
        <v>202.94499999999999</v>
      </c>
      <c r="S97" s="61">
        <v>409.87599999999998</v>
      </c>
      <c r="T97" s="61">
        <v>201.929</v>
      </c>
      <c r="U97" s="61">
        <v>5.0019999999999998</v>
      </c>
      <c r="V97" s="61" t="s">
        <v>121</v>
      </c>
      <c r="W97" s="61" t="s">
        <v>121</v>
      </c>
      <c r="X97" s="61">
        <v>202.83099999999999</v>
      </c>
      <c r="Y97" s="61">
        <v>0.114</v>
      </c>
      <c r="Z97" s="61" t="s">
        <v>121</v>
      </c>
      <c r="AA97" s="61">
        <v>202.94499999999999</v>
      </c>
      <c r="AB97" s="60">
        <v>409.87599999999998</v>
      </c>
      <c r="AC97" s="62"/>
      <c r="AD97" s="61"/>
      <c r="AE97" s="61"/>
      <c r="AF97" s="61"/>
      <c r="AG97" s="61"/>
      <c r="AH97" s="61"/>
      <c r="AI97" s="61"/>
      <c r="AJ97" s="61"/>
      <c r="AK97" s="62"/>
      <c r="AL97" s="63"/>
      <c r="AM97" s="64"/>
      <c r="AN97" s="65" t="e">
        <v>#N/A</v>
      </c>
      <c r="AO97" s="61" t="e">
        <v>#N/A</v>
      </c>
      <c r="AP97" s="61" t="e">
        <v>#N/A</v>
      </c>
      <c r="AQ97" s="61" t="e">
        <v>#N/A</v>
      </c>
      <c r="AR97" s="61" t="e">
        <v>#N/A</v>
      </c>
      <c r="AS97" s="61" t="e">
        <v>#N/A</v>
      </c>
      <c r="AT97" s="61" t="e">
        <v>#N/A</v>
      </c>
      <c r="AU97" s="61" t="e">
        <v>#N/A</v>
      </c>
      <c r="AV97" s="61" t="e">
        <v>#N/A</v>
      </c>
      <c r="AW97" s="61" t="e">
        <v>#N/A</v>
      </c>
      <c r="AX97" s="65" t="e">
        <v>#N/A</v>
      </c>
      <c r="AY97" s="66" t="s">
        <v>121</v>
      </c>
      <c r="AZ97" s="61" t="s">
        <v>121</v>
      </c>
      <c r="BA97" s="61">
        <v>69.671999999999997</v>
      </c>
      <c r="BB97" s="61">
        <v>69.671999999999997</v>
      </c>
      <c r="BC97" s="61" t="s">
        <v>121</v>
      </c>
      <c r="BD97" s="61" t="s">
        <v>121</v>
      </c>
      <c r="BE97" s="61" t="s">
        <v>121</v>
      </c>
      <c r="BF97" s="61" t="s">
        <v>121</v>
      </c>
      <c r="BG97" s="61">
        <v>1.7210000000000001</v>
      </c>
      <c r="BH97" s="61" t="s">
        <v>121</v>
      </c>
      <c r="BI97" s="61" t="s">
        <v>121</v>
      </c>
      <c r="BJ97" s="61">
        <v>1.7210000000000001</v>
      </c>
      <c r="BK97" s="66">
        <v>1.7210000000000001</v>
      </c>
      <c r="BL97" s="67" t="s">
        <v>121</v>
      </c>
      <c r="BM97" s="61" t="s">
        <v>121</v>
      </c>
      <c r="BN97" s="61" t="s">
        <v>121</v>
      </c>
      <c r="BO97" s="61" t="s">
        <v>121</v>
      </c>
      <c r="BP97" s="61" t="s">
        <v>121</v>
      </c>
      <c r="BQ97" s="61">
        <v>199.62700000000001</v>
      </c>
      <c r="BR97" s="61">
        <v>5.0019999999999998</v>
      </c>
      <c r="BS97" s="61" t="s">
        <v>121</v>
      </c>
      <c r="BT97" s="61" t="s">
        <v>121</v>
      </c>
      <c r="BU97" s="61">
        <v>0.28999999999999998</v>
      </c>
      <c r="BV97" s="61">
        <v>0.114</v>
      </c>
      <c r="BW97" s="61">
        <v>0.40400000000000003</v>
      </c>
      <c r="BX97" s="67">
        <v>205.03399999999999</v>
      </c>
      <c r="BY97" s="68">
        <v>81083</v>
      </c>
      <c r="BZ97" s="68">
        <v>88471</v>
      </c>
      <c r="CA97" s="69">
        <v>3994</v>
      </c>
      <c r="CB97" s="68">
        <v>222350</v>
      </c>
      <c r="CC97" s="68">
        <v>2</v>
      </c>
      <c r="CD97" s="61"/>
      <c r="CE97" s="64"/>
      <c r="CF97" s="64"/>
      <c r="CG97" s="70">
        <f t="shared" si="6"/>
        <v>9338.7000000000007</v>
      </c>
      <c r="CH97" s="70">
        <f t="shared" si="7"/>
        <v>167.74799999999999</v>
      </c>
      <c r="CI97" s="70">
        <f t="shared" si="8"/>
        <v>8.4000000000000005E-2</v>
      </c>
      <c r="CJ97" s="70">
        <f t="shared" si="10"/>
        <v>3405.4859999999999</v>
      </c>
      <c r="CK97" s="70">
        <f t="shared" si="10"/>
        <v>3715.7820000000002</v>
      </c>
      <c r="CL97" s="70">
        <f t="shared" si="9"/>
        <v>8.4000000000000005E-2</v>
      </c>
      <c r="CM97" s="61"/>
      <c r="CN97" s="61"/>
      <c r="CO97" s="61"/>
      <c r="CP97" s="61"/>
      <c r="CQ97" s="61"/>
      <c r="CR97" s="61"/>
      <c r="CS97" s="61"/>
      <c r="CT97" s="61"/>
      <c r="CU97" s="61"/>
      <c r="CV97" s="61"/>
      <c r="CW97" s="61"/>
      <c r="CX97" s="61"/>
      <c r="CY97" s="61"/>
      <c r="CZ97" s="61"/>
      <c r="DA97" s="61"/>
      <c r="DB97" s="61"/>
      <c r="DC97" s="61"/>
      <c r="DD97" s="61"/>
      <c r="DE97" s="61"/>
      <c r="DF97" s="61"/>
      <c r="DG97" s="61"/>
      <c r="DH97" s="61"/>
      <c r="DI97" s="61"/>
      <c r="DJ97" s="61"/>
      <c r="DK97" s="61"/>
      <c r="DL97" s="61"/>
      <c r="DM97" s="61"/>
      <c r="DN97" s="61"/>
      <c r="DO97" s="61"/>
      <c r="DP97" s="61"/>
      <c r="DQ97" s="61"/>
      <c r="DR97" s="61"/>
      <c r="DS97" s="61"/>
      <c r="DT97" s="61"/>
      <c r="DU97" s="61"/>
      <c r="DV97" s="61"/>
      <c r="DW97" s="61"/>
      <c r="DX97" s="61"/>
      <c r="DY97" s="61"/>
      <c r="DZ97" s="61"/>
      <c r="EA97" s="61"/>
      <c r="EB97" s="61"/>
      <c r="EC97" s="61"/>
      <c r="ED97" s="61"/>
      <c r="EE97" s="61"/>
      <c r="EF97" s="61"/>
      <c r="EG97" s="61"/>
      <c r="EH97" s="61"/>
      <c r="EI97" s="61"/>
      <c r="EJ97" s="61"/>
      <c r="EK97" s="61"/>
      <c r="EL97" s="61"/>
      <c r="EM97" s="61"/>
      <c r="EN97" s="61"/>
      <c r="EO97" s="61"/>
      <c r="EP97" s="61"/>
      <c r="EQ97" s="61"/>
      <c r="ER97" s="61"/>
      <c r="ES97" s="61"/>
      <c r="ET97" s="61"/>
      <c r="EU97" s="61"/>
      <c r="EV97" s="61"/>
      <c r="EW97" s="61"/>
    </row>
    <row r="98" spans="1:153">
      <c r="A98" s="56">
        <v>29556</v>
      </c>
      <c r="B98" s="57"/>
      <c r="C98" s="58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8"/>
      <c r="P98" s="60">
        <v>209.54599999999999</v>
      </c>
      <c r="Q98" s="61" t="s">
        <v>121</v>
      </c>
      <c r="R98" s="61">
        <v>209.67099999999999</v>
      </c>
      <c r="S98" s="61">
        <v>448.54599999999999</v>
      </c>
      <c r="T98" s="61">
        <v>233.99799999999999</v>
      </c>
      <c r="U98" s="61">
        <v>4.8769999999999998</v>
      </c>
      <c r="V98" s="61" t="s">
        <v>121</v>
      </c>
      <c r="W98" s="61" t="s">
        <v>121</v>
      </c>
      <c r="X98" s="61">
        <v>209.54599999999999</v>
      </c>
      <c r="Y98" s="61">
        <v>0.125</v>
      </c>
      <c r="Z98" s="61" t="s">
        <v>121</v>
      </c>
      <c r="AA98" s="61">
        <v>209.67099999999999</v>
      </c>
      <c r="AB98" s="60">
        <v>448.54599999999999</v>
      </c>
      <c r="AC98" s="62"/>
      <c r="AD98" s="61"/>
      <c r="AE98" s="61"/>
      <c r="AF98" s="61"/>
      <c r="AG98" s="61"/>
      <c r="AH98" s="61"/>
      <c r="AI98" s="61"/>
      <c r="AJ98" s="61"/>
      <c r="AK98" s="62"/>
      <c r="AL98" s="63"/>
      <c r="AM98" s="64"/>
      <c r="AN98" s="65" t="e">
        <v>#N/A</v>
      </c>
      <c r="AO98" s="61" t="e">
        <v>#N/A</v>
      </c>
      <c r="AP98" s="61" t="e">
        <v>#N/A</v>
      </c>
      <c r="AQ98" s="61" t="e">
        <v>#N/A</v>
      </c>
      <c r="AR98" s="61" t="e">
        <v>#N/A</v>
      </c>
      <c r="AS98" s="61" t="e">
        <v>#N/A</v>
      </c>
      <c r="AT98" s="61" t="e">
        <v>#N/A</v>
      </c>
      <c r="AU98" s="61" t="e">
        <v>#N/A</v>
      </c>
      <c r="AV98" s="61" t="e">
        <v>#N/A</v>
      </c>
      <c r="AW98" s="61" t="e">
        <v>#N/A</v>
      </c>
      <c r="AX98" s="65" t="e">
        <v>#N/A</v>
      </c>
      <c r="AY98" s="66" t="s">
        <v>121</v>
      </c>
      <c r="AZ98" s="61" t="s">
        <v>121</v>
      </c>
      <c r="BA98" s="61">
        <v>71.995000000000005</v>
      </c>
      <c r="BB98" s="61">
        <v>71.995000000000005</v>
      </c>
      <c r="BC98" s="61" t="s">
        <v>121</v>
      </c>
      <c r="BD98" s="61" t="s">
        <v>121</v>
      </c>
      <c r="BE98" s="61" t="s">
        <v>121</v>
      </c>
      <c r="BF98" s="61" t="s">
        <v>121</v>
      </c>
      <c r="BG98" s="61">
        <v>1.7789999999999999</v>
      </c>
      <c r="BH98" s="61" t="s">
        <v>121</v>
      </c>
      <c r="BI98" s="61" t="s">
        <v>121</v>
      </c>
      <c r="BJ98" s="61">
        <v>1.7789999999999999</v>
      </c>
      <c r="BK98" s="66">
        <v>1.7789999999999999</v>
      </c>
      <c r="BL98" s="67" t="s">
        <v>121</v>
      </c>
      <c r="BM98" s="61" t="s">
        <v>121</v>
      </c>
      <c r="BN98" s="61" t="s">
        <v>121</v>
      </c>
      <c r="BO98" s="61" t="s">
        <v>121</v>
      </c>
      <c r="BP98" s="61" t="s">
        <v>121</v>
      </c>
      <c r="BQ98" s="61">
        <v>231.548</v>
      </c>
      <c r="BR98" s="61">
        <v>4.8769999999999998</v>
      </c>
      <c r="BS98" s="61" t="s">
        <v>121</v>
      </c>
      <c r="BT98" s="61" t="s">
        <v>121</v>
      </c>
      <c r="BU98" s="61">
        <v>0.254</v>
      </c>
      <c r="BV98" s="61">
        <v>0.125</v>
      </c>
      <c r="BW98" s="61">
        <v>0.379</v>
      </c>
      <c r="BX98" s="67">
        <v>236.803</v>
      </c>
      <c r="BY98" s="68">
        <v>89615</v>
      </c>
      <c r="BZ98" s="68">
        <v>112067</v>
      </c>
      <c r="CA98" s="69">
        <v>5159</v>
      </c>
      <c r="CB98" s="68">
        <v>205113</v>
      </c>
      <c r="CC98" s="68">
        <v>2</v>
      </c>
      <c r="CD98" s="61"/>
      <c r="CE98" s="64"/>
      <c r="CF98" s="64"/>
      <c r="CG98" s="70">
        <f t="shared" si="6"/>
        <v>8614.7459999999992</v>
      </c>
      <c r="CH98" s="70">
        <f t="shared" si="7"/>
        <v>216.678</v>
      </c>
      <c r="CI98" s="70">
        <f t="shared" si="8"/>
        <v>8.4000000000000005E-2</v>
      </c>
      <c r="CJ98" s="70">
        <f t="shared" si="10"/>
        <v>3763.83</v>
      </c>
      <c r="CK98" s="70">
        <f t="shared" si="10"/>
        <v>4706.8140000000003</v>
      </c>
      <c r="CL98" s="70">
        <f t="shared" si="9"/>
        <v>8.4000000000000005E-2</v>
      </c>
      <c r="CM98" s="61"/>
      <c r="CN98" s="61"/>
      <c r="CO98" s="61"/>
      <c r="CP98" s="61"/>
      <c r="CQ98" s="61"/>
      <c r="CR98" s="61"/>
      <c r="CS98" s="61"/>
      <c r="CT98" s="61"/>
      <c r="CU98" s="61"/>
      <c r="CV98" s="61"/>
      <c r="CW98" s="61"/>
      <c r="CX98" s="61"/>
      <c r="CY98" s="61"/>
      <c r="CZ98" s="61"/>
      <c r="DA98" s="61"/>
      <c r="DB98" s="61"/>
      <c r="DC98" s="61"/>
      <c r="DD98" s="61"/>
      <c r="DE98" s="61"/>
      <c r="DF98" s="61"/>
      <c r="DG98" s="61"/>
      <c r="DH98" s="61"/>
      <c r="DI98" s="61"/>
      <c r="DJ98" s="61"/>
      <c r="DK98" s="61"/>
      <c r="DL98" s="61"/>
      <c r="DM98" s="61"/>
      <c r="DN98" s="61"/>
      <c r="DO98" s="61"/>
      <c r="DP98" s="61"/>
      <c r="DQ98" s="61"/>
      <c r="DR98" s="61"/>
      <c r="DS98" s="61"/>
      <c r="DT98" s="61"/>
      <c r="DU98" s="61"/>
      <c r="DV98" s="61"/>
      <c r="DW98" s="61"/>
      <c r="DX98" s="61"/>
      <c r="DY98" s="61"/>
      <c r="DZ98" s="61"/>
      <c r="EA98" s="61"/>
      <c r="EB98" s="61"/>
      <c r="EC98" s="61"/>
      <c r="ED98" s="61"/>
      <c r="EE98" s="61"/>
      <c r="EF98" s="61"/>
      <c r="EG98" s="61"/>
      <c r="EH98" s="61"/>
      <c r="EI98" s="61"/>
      <c r="EJ98" s="61"/>
      <c r="EK98" s="61"/>
      <c r="EL98" s="61"/>
      <c r="EM98" s="61"/>
      <c r="EN98" s="61"/>
      <c r="EO98" s="61"/>
      <c r="EP98" s="61"/>
      <c r="EQ98" s="61"/>
      <c r="ER98" s="61"/>
      <c r="ES98" s="61"/>
      <c r="ET98" s="61"/>
      <c r="EU98" s="61"/>
      <c r="EV98" s="61"/>
      <c r="EW98" s="61"/>
    </row>
    <row r="99" spans="1:153">
      <c r="A99" s="56">
        <v>29587</v>
      </c>
      <c r="B99" s="57"/>
      <c r="C99" s="7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71"/>
      <c r="P99" s="60">
        <v>211.988</v>
      </c>
      <c r="Q99" s="61">
        <v>1.08</v>
      </c>
      <c r="R99" s="61">
        <v>220.54400000000001</v>
      </c>
      <c r="S99" s="61">
        <v>462.38099999999997</v>
      </c>
      <c r="T99" s="61">
        <v>236.553</v>
      </c>
      <c r="U99" s="61">
        <v>5.2839999999999998</v>
      </c>
      <c r="V99" s="61" t="s">
        <v>121</v>
      </c>
      <c r="W99" s="61" t="s">
        <v>121</v>
      </c>
      <c r="X99" s="61">
        <v>211.988</v>
      </c>
      <c r="Y99" s="61">
        <v>7.476</v>
      </c>
      <c r="Z99" s="61">
        <v>1.08</v>
      </c>
      <c r="AA99" s="61">
        <v>220.54400000000001</v>
      </c>
      <c r="AB99" s="60">
        <v>462.38099999999997</v>
      </c>
      <c r="AC99" s="62"/>
      <c r="AD99" s="61"/>
      <c r="AE99" s="61"/>
      <c r="AF99" s="61"/>
      <c r="AG99" s="61"/>
      <c r="AH99" s="61"/>
      <c r="AI99" s="61"/>
      <c r="AJ99" s="61"/>
      <c r="AK99" s="62"/>
      <c r="AL99" s="63"/>
      <c r="AM99" s="64"/>
      <c r="AN99" s="65" t="e">
        <v>#N/A</v>
      </c>
      <c r="AO99" s="61" t="e">
        <v>#N/A</v>
      </c>
      <c r="AP99" s="61" t="e">
        <v>#N/A</v>
      </c>
      <c r="AQ99" s="61" t="e">
        <v>#N/A</v>
      </c>
      <c r="AR99" s="61" t="e">
        <v>#N/A</v>
      </c>
      <c r="AS99" s="61" t="e">
        <v>#N/A</v>
      </c>
      <c r="AT99" s="61" t="e">
        <v>#N/A</v>
      </c>
      <c r="AU99" s="61" t="e">
        <v>#N/A</v>
      </c>
      <c r="AV99" s="61" t="e">
        <v>#N/A</v>
      </c>
      <c r="AW99" s="61" t="e">
        <v>#N/A</v>
      </c>
      <c r="AX99" s="65" t="e">
        <v>#N/A</v>
      </c>
      <c r="AY99" s="66" t="s">
        <v>121</v>
      </c>
      <c r="AZ99" s="61" t="s">
        <v>121</v>
      </c>
      <c r="BA99" s="61">
        <v>73.89</v>
      </c>
      <c r="BB99" s="61">
        <v>73.89</v>
      </c>
      <c r="BC99" s="61" t="s">
        <v>121</v>
      </c>
      <c r="BD99" s="61" t="s">
        <v>121</v>
      </c>
      <c r="BE99" s="61" t="s">
        <v>121</v>
      </c>
      <c r="BF99" s="61" t="s">
        <v>121</v>
      </c>
      <c r="BG99" s="61">
        <v>1.784</v>
      </c>
      <c r="BH99" s="61" t="s">
        <v>121</v>
      </c>
      <c r="BI99" s="61">
        <v>4.0000000000000001E-3</v>
      </c>
      <c r="BJ99" s="61">
        <v>1.788</v>
      </c>
      <c r="BK99" s="66">
        <v>1.788</v>
      </c>
      <c r="BL99" s="67">
        <v>0.57099999999999995</v>
      </c>
      <c r="BM99" s="61" t="s">
        <v>121</v>
      </c>
      <c r="BN99" s="61" t="s">
        <v>121</v>
      </c>
      <c r="BO99" s="61" t="s">
        <v>121</v>
      </c>
      <c r="BP99" s="61">
        <v>0.57099999999999995</v>
      </c>
      <c r="BQ99" s="61">
        <v>233.50399999999999</v>
      </c>
      <c r="BR99" s="61">
        <v>5.2839999999999998</v>
      </c>
      <c r="BS99" s="61" t="s">
        <v>121</v>
      </c>
      <c r="BT99" s="61" t="s">
        <v>121</v>
      </c>
      <c r="BU99" s="61">
        <v>0.254</v>
      </c>
      <c r="BV99" s="61">
        <v>0.11</v>
      </c>
      <c r="BW99" s="61">
        <v>0.36499999999999999</v>
      </c>
      <c r="BX99" s="67">
        <v>239.15299999999999</v>
      </c>
      <c r="BY99" s="68">
        <v>92634</v>
      </c>
      <c r="BZ99" s="68">
        <v>127383</v>
      </c>
      <c r="CA99" s="69">
        <v>8475</v>
      </c>
      <c r="CB99" s="68">
        <v>179439</v>
      </c>
      <c r="CC99" s="68">
        <v>5</v>
      </c>
      <c r="CD99" s="61"/>
      <c r="CE99" s="64"/>
      <c r="CF99" s="64"/>
      <c r="CG99" s="70">
        <f t="shared" si="6"/>
        <v>7536.4380000000001</v>
      </c>
      <c r="CH99" s="70">
        <f t="shared" si="7"/>
        <v>355.95</v>
      </c>
      <c r="CI99" s="70">
        <f t="shared" si="8"/>
        <v>0.21</v>
      </c>
      <c r="CJ99" s="70">
        <f t="shared" si="10"/>
        <v>3890.6280000000002</v>
      </c>
      <c r="CK99" s="70">
        <f t="shared" si="10"/>
        <v>5350.0860000000002</v>
      </c>
      <c r="CL99" s="70">
        <f t="shared" si="9"/>
        <v>0.21</v>
      </c>
      <c r="CM99" s="61"/>
      <c r="CN99" s="61"/>
      <c r="CO99" s="61"/>
      <c r="CP99" s="61"/>
      <c r="CQ99" s="61"/>
      <c r="CR99" s="61"/>
      <c r="CS99" s="61"/>
      <c r="CT99" s="61"/>
      <c r="CU99" s="61"/>
      <c r="CV99" s="61"/>
      <c r="CW99" s="61"/>
      <c r="CX99" s="61"/>
      <c r="CY99" s="61"/>
      <c r="CZ99" s="61"/>
      <c r="DA99" s="61"/>
      <c r="DB99" s="61"/>
      <c r="DC99" s="61"/>
      <c r="DD99" s="61"/>
      <c r="DE99" s="61"/>
      <c r="DF99" s="61"/>
      <c r="DG99" s="61"/>
      <c r="DH99" s="61"/>
      <c r="DI99" s="61"/>
      <c r="DJ99" s="61"/>
      <c r="DK99" s="61"/>
      <c r="DL99" s="61"/>
      <c r="DM99" s="61"/>
      <c r="DN99" s="61"/>
      <c r="DO99" s="61"/>
      <c r="DP99" s="61"/>
      <c r="DQ99" s="61"/>
      <c r="DR99" s="61"/>
      <c r="DS99" s="61"/>
      <c r="DT99" s="61"/>
      <c r="DU99" s="61"/>
      <c r="DV99" s="61"/>
      <c r="DW99" s="61"/>
      <c r="DX99" s="61"/>
      <c r="DY99" s="61"/>
      <c r="DZ99" s="61"/>
      <c r="EA99" s="61"/>
      <c r="EB99" s="61"/>
      <c r="EC99" s="61"/>
      <c r="ED99" s="61"/>
      <c r="EE99" s="61"/>
      <c r="EF99" s="61"/>
      <c r="EG99" s="61"/>
      <c r="EH99" s="61"/>
      <c r="EI99" s="61"/>
      <c r="EJ99" s="61"/>
      <c r="EK99" s="61"/>
      <c r="EL99" s="61"/>
      <c r="EM99" s="61"/>
      <c r="EN99" s="61"/>
      <c r="EO99" s="61"/>
      <c r="EP99" s="61"/>
      <c r="EQ99" s="61"/>
      <c r="ER99" s="61"/>
      <c r="ES99" s="61"/>
      <c r="ET99" s="61"/>
      <c r="EU99" s="61"/>
      <c r="EV99" s="61"/>
      <c r="EW99" s="61"/>
    </row>
    <row r="100" spans="1:153">
      <c r="A100" s="56">
        <v>29618</v>
      </c>
      <c r="B100" s="57"/>
      <c r="C100" s="7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71"/>
      <c r="P100" s="60">
        <v>191.52799999999999</v>
      </c>
      <c r="Q100" s="61">
        <v>0.97599999999999998</v>
      </c>
      <c r="R100" s="61">
        <v>199.24799999999999</v>
      </c>
      <c r="S100" s="61">
        <v>427.04300000000001</v>
      </c>
      <c r="T100" s="61">
        <v>223.12299999999999</v>
      </c>
      <c r="U100" s="61">
        <v>4.6710000000000003</v>
      </c>
      <c r="V100" s="61" t="s">
        <v>121</v>
      </c>
      <c r="W100" s="61" t="s">
        <v>121</v>
      </c>
      <c r="X100" s="61">
        <v>191.52799999999999</v>
      </c>
      <c r="Y100" s="61">
        <v>6.7439999999999998</v>
      </c>
      <c r="Z100" s="61">
        <v>0.97599999999999998</v>
      </c>
      <c r="AA100" s="61">
        <v>199.24799999999999</v>
      </c>
      <c r="AB100" s="60">
        <v>427.04300000000001</v>
      </c>
      <c r="AC100" s="62"/>
      <c r="AD100" s="61"/>
      <c r="AE100" s="61"/>
      <c r="AF100" s="61"/>
      <c r="AG100" s="61"/>
      <c r="AH100" s="61"/>
      <c r="AI100" s="61"/>
      <c r="AJ100" s="61"/>
      <c r="AK100" s="62"/>
      <c r="AL100" s="63"/>
      <c r="AM100" s="64"/>
      <c r="AN100" s="65" t="e">
        <v>#N/A</v>
      </c>
      <c r="AO100" s="61" t="e">
        <v>#N/A</v>
      </c>
      <c r="AP100" s="61" t="e">
        <v>#N/A</v>
      </c>
      <c r="AQ100" s="61" t="e">
        <v>#N/A</v>
      </c>
      <c r="AR100" s="61" t="e">
        <v>#N/A</v>
      </c>
      <c r="AS100" s="61" t="e">
        <v>#N/A</v>
      </c>
      <c r="AT100" s="61" t="e">
        <v>#N/A</v>
      </c>
      <c r="AU100" s="61" t="e">
        <v>#N/A</v>
      </c>
      <c r="AV100" s="61" t="e">
        <v>#N/A</v>
      </c>
      <c r="AW100" s="61" t="e">
        <v>#N/A</v>
      </c>
      <c r="AX100" s="65" t="e">
        <v>#N/A</v>
      </c>
      <c r="AY100" s="66" t="s">
        <v>121</v>
      </c>
      <c r="AZ100" s="61" t="s">
        <v>121</v>
      </c>
      <c r="BA100" s="61">
        <v>66.739999999999995</v>
      </c>
      <c r="BB100" s="61">
        <v>66.739999999999995</v>
      </c>
      <c r="BC100" s="61" t="s">
        <v>121</v>
      </c>
      <c r="BD100" s="61" t="s">
        <v>121</v>
      </c>
      <c r="BE100" s="61" t="s">
        <v>121</v>
      </c>
      <c r="BF100" s="61" t="s">
        <v>121</v>
      </c>
      <c r="BG100" s="61">
        <v>1.611</v>
      </c>
      <c r="BH100" s="61" t="s">
        <v>121</v>
      </c>
      <c r="BI100" s="61">
        <v>4.0000000000000001E-3</v>
      </c>
      <c r="BJ100" s="61">
        <v>1.615</v>
      </c>
      <c r="BK100" s="66">
        <v>1.615</v>
      </c>
      <c r="BL100" s="67">
        <v>0.51600000000000001</v>
      </c>
      <c r="BM100" s="61" t="s">
        <v>121</v>
      </c>
      <c r="BN100" s="61" t="s">
        <v>121</v>
      </c>
      <c r="BO100" s="61" t="s">
        <v>121</v>
      </c>
      <c r="BP100" s="61">
        <v>0.51600000000000001</v>
      </c>
      <c r="BQ100" s="61">
        <v>220.547</v>
      </c>
      <c r="BR100" s="61">
        <v>4.6710000000000003</v>
      </c>
      <c r="BS100" s="61" t="s">
        <v>121</v>
      </c>
      <c r="BT100" s="61" t="s">
        <v>121</v>
      </c>
      <c r="BU100" s="61">
        <v>0.28399999999999997</v>
      </c>
      <c r="BV100" s="61">
        <v>9.1999999999999998E-2</v>
      </c>
      <c r="BW100" s="61">
        <v>0.376</v>
      </c>
      <c r="BX100" s="67">
        <v>225.595</v>
      </c>
      <c r="BY100" s="68">
        <v>78635</v>
      </c>
      <c r="BZ100" s="68">
        <v>94456</v>
      </c>
      <c r="CA100" s="69">
        <v>9090</v>
      </c>
      <c r="CB100" s="68">
        <v>172562</v>
      </c>
      <c r="CC100" s="68">
        <v>465</v>
      </c>
      <c r="CD100" s="61"/>
      <c r="CE100" s="64"/>
      <c r="CF100" s="64"/>
      <c r="CG100" s="70">
        <f t="shared" si="6"/>
        <v>7247.6040000000003</v>
      </c>
      <c r="CH100" s="70">
        <f t="shared" si="7"/>
        <v>381.78</v>
      </c>
      <c r="CI100" s="70">
        <f t="shared" si="8"/>
        <v>19.53</v>
      </c>
      <c r="CJ100" s="70">
        <f t="shared" si="10"/>
        <v>3302.67</v>
      </c>
      <c r="CK100" s="70">
        <f t="shared" si="10"/>
        <v>3967.152</v>
      </c>
      <c r="CL100" s="70">
        <f t="shared" si="9"/>
        <v>19.53</v>
      </c>
      <c r="CM100" s="61"/>
      <c r="CN100" s="61"/>
      <c r="CO100" s="61"/>
      <c r="CP100" s="61"/>
      <c r="CQ100" s="61"/>
      <c r="CR100" s="61"/>
      <c r="CS100" s="61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  <c r="DF100" s="61"/>
      <c r="DG100" s="61"/>
      <c r="DH100" s="61"/>
      <c r="DI100" s="61"/>
      <c r="DJ100" s="61"/>
      <c r="DK100" s="61"/>
      <c r="DL100" s="61"/>
      <c r="DM100" s="61"/>
      <c r="DN100" s="61"/>
      <c r="DO100" s="61"/>
      <c r="DP100" s="61"/>
      <c r="DQ100" s="61"/>
      <c r="DR100" s="61"/>
      <c r="DS100" s="61"/>
      <c r="DT100" s="61"/>
      <c r="DU100" s="61"/>
      <c r="DV100" s="61"/>
      <c r="DW100" s="61"/>
      <c r="DX100" s="61"/>
      <c r="DY100" s="61"/>
      <c r="DZ100" s="61"/>
      <c r="EA100" s="61"/>
      <c r="EB100" s="61"/>
      <c r="EC100" s="61"/>
      <c r="ED100" s="61"/>
      <c r="EE100" s="61"/>
      <c r="EF100" s="61"/>
      <c r="EG100" s="61"/>
      <c r="EH100" s="61"/>
      <c r="EI100" s="61"/>
      <c r="EJ100" s="61"/>
      <c r="EK100" s="61"/>
      <c r="EL100" s="61"/>
      <c r="EM100" s="61"/>
      <c r="EN100" s="61"/>
      <c r="EO100" s="61"/>
      <c r="EP100" s="61"/>
      <c r="EQ100" s="61"/>
      <c r="ER100" s="61"/>
      <c r="ES100" s="61"/>
      <c r="ET100" s="61"/>
      <c r="EU100" s="61"/>
      <c r="EV100" s="61"/>
      <c r="EW100" s="61"/>
    </row>
    <row r="101" spans="1:153">
      <c r="A101" s="56">
        <v>29646</v>
      </c>
      <c r="B101" s="57"/>
      <c r="C101" s="7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71"/>
      <c r="P101" s="60">
        <v>212.042</v>
      </c>
      <c r="Q101" s="61">
        <v>1.08</v>
      </c>
      <c r="R101" s="61">
        <v>220.595</v>
      </c>
      <c r="S101" s="61">
        <v>443.80799999999999</v>
      </c>
      <c r="T101" s="61">
        <v>217.976</v>
      </c>
      <c r="U101" s="61">
        <v>5.2370000000000001</v>
      </c>
      <c r="V101" s="61" t="s">
        <v>121</v>
      </c>
      <c r="W101" s="61" t="s">
        <v>121</v>
      </c>
      <c r="X101" s="61">
        <v>212.042</v>
      </c>
      <c r="Y101" s="61">
        <v>7.4720000000000004</v>
      </c>
      <c r="Z101" s="61">
        <v>1.08</v>
      </c>
      <c r="AA101" s="61">
        <v>220.595</v>
      </c>
      <c r="AB101" s="60">
        <v>443.80799999999999</v>
      </c>
      <c r="AC101" s="62"/>
      <c r="AD101" s="61"/>
      <c r="AE101" s="61"/>
      <c r="AF101" s="61"/>
      <c r="AG101" s="61"/>
      <c r="AH101" s="61"/>
      <c r="AI101" s="61"/>
      <c r="AJ101" s="61"/>
      <c r="AK101" s="62"/>
      <c r="AL101" s="63"/>
      <c r="AM101" s="64"/>
      <c r="AN101" s="65" t="e">
        <v>#N/A</v>
      </c>
      <c r="AO101" s="61" t="e">
        <v>#N/A</v>
      </c>
      <c r="AP101" s="61" t="e">
        <v>#N/A</v>
      </c>
      <c r="AQ101" s="61" t="e">
        <v>#N/A</v>
      </c>
      <c r="AR101" s="61" t="e">
        <v>#N/A</v>
      </c>
      <c r="AS101" s="61" t="e">
        <v>#N/A</v>
      </c>
      <c r="AT101" s="61" t="e">
        <v>#N/A</v>
      </c>
      <c r="AU101" s="61" t="e">
        <v>#N/A</v>
      </c>
      <c r="AV101" s="61" t="e">
        <v>#N/A</v>
      </c>
      <c r="AW101" s="61" t="e">
        <v>#N/A</v>
      </c>
      <c r="AX101" s="65" t="e">
        <v>#N/A</v>
      </c>
      <c r="AY101" s="66" t="s">
        <v>121</v>
      </c>
      <c r="AZ101" s="61" t="s">
        <v>121</v>
      </c>
      <c r="BA101" s="61">
        <v>73.89</v>
      </c>
      <c r="BB101" s="61">
        <v>73.89</v>
      </c>
      <c r="BC101" s="61" t="s">
        <v>121</v>
      </c>
      <c r="BD101" s="61" t="s">
        <v>121</v>
      </c>
      <c r="BE101" s="61" t="s">
        <v>121</v>
      </c>
      <c r="BF101" s="61" t="s">
        <v>121</v>
      </c>
      <c r="BG101" s="61">
        <v>1.784</v>
      </c>
      <c r="BH101" s="61" t="s">
        <v>121</v>
      </c>
      <c r="BI101" s="61">
        <v>4.0000000000000001E-3</v>
      </c>
      <c r="BJ101" s="61">
        <v>1.788</v>
      </c>
      <c r="BK101" s="66">
        <v>1.788</v>
      </c>
      <c r="BL101" s="67">
        <v>0.57099999999999995</v>
      </c>
      <c r="BM101" s="61" t="s">
        <v>121</v>
      </c>
      <c r="BN101" s="61" t="s">
        <v>121</v>
      </c>
      <c r="BO101" s="61" t="s">
        <v>121</v>
      </c>
      <c r="BP101" s="61">
        <v>0.57099999999999995</v>
      </c>
      <c r="BQ101" s="61">
        <v>215.04400000000001</v>
      </c>
      <c r="BR101" s="61">
        <v>5.2370000000000001</v>
      </c>
      <c r="BS101" s="61" t="s">
        <v>121</v>
      </c>
      <c r="BT101" s="61" t="s">
        <v>121</v>
      </c>
      <c r="BU101" s="61">
        <v>0.308</v>
      </c>
      <c r="BV101" s="61">
        <v>0.107</v>
      </c>
      <c r="BW101" s="61">
        <v>0.41499999999999998</v>
      </c>
      <c r="BX101" s="67">
        <v>220.696</v>
      </c>
      <c r="BY101" s="68">
        <v>76981</v>
      </c>
      <c r="BZ101" s="68">
        <v>90027</v>
      </c>
      <c r="CA101" s="69">
        <v>4567</v>
      </c>
      <c r="CB101" s="68">
        <v>164372</v>
      </c>
      <c r="CC101" s="68">
        <v>6</v>
      </c>
      <c r="CD101" s="61"/>
      <c r="CE101" s="64"/>
      <c r="CF101" s="64"/>
      <c r="CG101" s="70">
        <f t="shared" si="6"/>
        <v>6903.6239999999998</v>
      </c>
      <c r="CH101" s="70">
        <f t="shared" si="7"/>
        <v>191.81399999999999</v>
      </c>
      <c r="CI101" s="70">
        <f t="shared" si="8"/>
        <v>0.252</v>
      </c>
      <c r="CJ101" s="70">
        <f t="shared" si="10"/>
        <v>3233.2020000000002</v>
      </c>
      <c r="CK101" s="70">
        <f t="shared" si="10"/>
        <v>3781.134</v>
      </c>
      <c r="CL101" s="70">
        <f t="shared" si="9"/>
        <v>0.252</v>
      </c>
      <c r="CM101" s="61"/>
      <c r="CN101" s="61"/>
      <c r="CO101" s="61"/>
      <c r="CP101" s="61"/>
      <c r="CQ101" s="61"/>
      <c r="CR101" s="61"/>
      <c r="CS101" s="61"/>
      <c r="CT101" s="61"/>
      <c r="CU101" s="61"/>
      <c r="CV101" s="61"/>
      <c r="CW101" s="61"/>
      <c r="CX101" s="61"/>
      <c r="CY101" s="61"/>
      <c r="CZ101" s="61"/>
      <c r="DA101" s="61"/>
      <c r="DB101" s="61"/>
      <c r="DC101" s="61"/>
      <c r="DD101" s="61"/>
      <c r="DE101" s="61"/>
      <c r="DF101" s="61"/>
      <c r="DG101" s="61"/>
      <c r="DH101" s="61"/>
      <c r="DI101" s="61"/>
      <c r="DJ101" s="61"/>
      <c r="DK101" s="61"/>
      <c r="DL101" s="61"/>
      <c r="DM101" s="61"/>
      <c r="DN101" s="61"/>
      <c r="DO101" s="61"/>
      <c r="DP101" s="61"/>
      <c r="DQ101" s="61"/>
      <c r="DR101" s="61"/>
      <c r="DS101" s="61"/>
      <c r="DT101" s="61"/>
      <c r="DU101" s="61"/>
      <c r="DV101" s="61"/>
      <c r="DW101" s="61"/>
      <c r="DX101" s="61"/>
      <c r="DY101" s="61"/>
      <c r="DZ101" s="61"/>
      <c r="EA101" s="61"/>
      <c r="EB101" s="61"/>
      <c r="EC101" s="61"/>
      <c r="ED101" s="61"/>
      <c r="EE101" s="61"/>
      <c r="EF101" s="61"/>
      <c r="EG101" s="61"/>
      <c r="EH101" s="61"/>
      <c r="EI101" s="61"/>
      <c r="EJ101" s="61"/>
      <c r="EK101" s="61"/>
      <c r="EL101" s="61"/>
      <c r="EM101" s="61"/>
      <c r="EN101" s="61"/>
      <c r="EO101" s="61"/>
      <c r="EP101" s="61"/>
      <c r="EQ101" s="61"/>
      <c r="ER101" s="61"/>
      <c r="ES101" s="61"/>
      <c r="ET101" s="61"/>
      <c r="EU101" s="61"/>
      <c r="EV101" s="61"/>
      <c r="EW101" s="61"/>
    </row>
    <row r="102" spans="1:153">
      <c r="A102" s="56">
        <v>29677</v>
      </c>
      <c r="B102" s="57"/>
      <c r="C102" s="7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71"/>
      <c r="P102" s="60">
        <v>205.19499999999999</v>
      </c>
      <c r="Q102" s="61">
        <v>1.0449999999999999</v>
      </c>
      <c r="R102" s="61">
        <v>213.46700000000001</v>
      </c>
      <c r="S102" s="61">
        <v>438.02</v>
      </c>
      <c r="T102" s="61">
        <v>219.71700000000001</v>
      </c>
      <c r="U102" s="61">
        <v>4.8360000000000003</v>
      </c>
      <c r="V102" s="61" t="s">
        <v>121</v>
      </c>
      <c r="W102" s="61" t="s">
        <v>121</v>
      </c>
      <c r="X102" s="61">
        <v>205.19499999999999</v>
      </c>
      <c r="Y102" s="61">
        <v>7.226</v>
      </c>
      <c r="Z102" s="61">
        <v>1.0449999999999999</v>
      </c>
      <c r="AA102" s="61">
        <v>213.46700000000001</v>
      </c>
      <c r="AB102" s="60">
        <v>438.02</v>
      </c>
      <c r="AC102" s="62"/>
      <c r="AD102" s="61"/>
      <c r="AE102" s="61"/>
      <c r="AF102" s="61"/>
      <c r="AG102" s="61"/>
      <c r="AH102" s="61"/>
      <c r="AI102" s="61"/>
      <c r="AJ102" s="61"/>
      <c r="AK102" s="62"/>
      <c r="AL102" s="63"/>
      <c r="AM102" s="64"/>
      <c r="AN102" s="65" t="e">
        <v>#N/A</v>
      </c>
      <c r="AO102" s="61" t="e">
        <v>#N/A</v>
      </c>
      <c r="AP102" s="61" t="e">
        <v>#N/A</v>
      </c>
      <c r="AQ102" s="61" t="e">
        <v>#N/A</v>
      </c>
      <c r="AR102" s="61" t="e">
        <v>#N/A</v>
      </c>
      <c r="AS102" s="61" t="e">
        <v>#N/A</v>
      </c>
      <c r="AT102" s="61" t="e">
        <v>#N/A</v>
      </c>
      <c r="AU102" s="61" t="e">
        <v>#N/A</v>
      </c>
      <c r="AV102" s="61" t="e">
        <v>#N/A</v>
      </c>
      <c r="AW102" s="61" t="e">
        <v>#N/A</v>
      </c>
      <c r="AX102" s="65" t="e">
        <v>#N/A</v>
      </c>
      <c r="AY102" s="66" t="s">
        <v>121</v>
      </c>
      <c r="AZ102" s="61" t="s">
        <v>121</v>
      </c>
      <c r="BA102" s="61">
        <v>71.507000000000005</v>
      </c>
      <c r="BB102" s="61">
        <v>71.507000000000005</v>
      </c>
      <c r="BC102" s="61" t="s">
        <v>121</v>
      </c>
      <c r="BD102" s="61" t="s">
        <v>121</v>
      </c>
      <c r="BE102" s="61" t="s">
        <v>121</v>
      </c>
      <c r="BF102" s="61" t="s">
        <v>121</v>
      </c>
      <c r="BG102" s="61">
        <v>1.726</v>
      </c>
      <c r="BH102" s="61" t="s">
        <v>121</v>
      </c>
      <c r="BI102" s="61">
        <v>4.0000000000000001E-3</v>
      </c>
      <c r="BJ102" s="61">
        <v>1.73</v>
      </c>
      <c r="BK102" s="66">
        <v>1.73</v>
      </c>
      <c r="BL102" s="67">
        <v>0.55300000000000005</v>
      </c>
      <c r="BM102" s="61" t="s">
        <v>121</v>
      </c>
      <c r="BN102" s="61" t="s">
        <v>121</v>
      </c>
      <c r="BO102" s="61" t="s">
        <v>121</v>
      </c>
      <c r="BP102" s="61">
        <v>0.55300000000000005</v>
      </c>
      <c r="BQ102" s="61">
        <v>216.614</v>
      </c>
      <c r="BR102" s="61">
        <v>4.8360000000000003</v>
      </c>
      <c r="BS102" s="61" t="s">
        <v>121</v>
      </c>
      <c r="BT102" s="61" t="s">
        <v>121</v>
      </c>
      <c r="BU102" s="61">
        <v>0.29099999999999998</v>
      </c>
      <c r="BV102" s="61">
        <v>9.9000000000000005E-2</v>
      </c>
      <c r="BW102" s="61">
        <v>0.39</v>
      </c>
      <c r="BX102" s="67">
        <v>221.84</v>
      </c>
      <c r="BY102" s="68">
        <v>72535</v>
      </c>
      <c r="BZ102" s="68">
        <v>75951</v>
      </c>
      <c r="CA102" s="69">
        <v>3483</v>
      </c>
      <c r="CB102" s="68">
        <v>164647</v>
      </c>
      <c r="CC102" s="68">
        <v>101</v>
      </c>
      <c r="CD102" s="61"/>
      <c r="CE102" s="64"/>
      <c r="CF102" s="64"/>
      <c r="CG102" s="70">
        <f t="shared" si="6"/>
        <v>6915.174</v>
      </c>
      <c r="CH102" s="70">
        <f t="shared" si="7"/>
        <v>146.286</v>
      </c>
      <c r="CI102" s="70">
        <f t="shared" si="8"/>
        <v>4.242</v>
      </c>
      <c r="CJ102" s="70">
        <f t="shared" si="10"/>
        <v>3046.47</v>
      </c>
      <c r="CK102" s="70">
        <f t="shared" si="10"/>
        <v>3189.942</v>
      </c>
      <c r="CL102" s="70">
        <f t="shared" si="9"/>
        <v>4.242</v>
      </c>
      <c r="CM102" s="61"/>
      <c r="CN102" s="61"/>
      <c r="CO102" s="61"/>
      <c r="CP102" s="61"/>
      <c r="CQ102" s="61"/>
      <c r="CR102" s="61"/>
      <c r="CS102" s="61"/>
      <c r="CT102" s="61"/>
      <c r="CU102" s="61"/>
      <c r="CV102" s="61"/>
      <c r="CW102" s="61"/>
      <c r="CX102" s="61"/>
      <c r="CY102" s="61"/>
      <c r="CZ102" s="61"/>
      <c r="DA102" s="61"/>
      <c r="DB102" s="61"/>
      <c r="DC102" s="61"/>
      <c r="DD102" s="61"/>
      <c r="DE102" s="61"/>
      <c r="DF102" s="61"/>
      <c r="DG102" s="61"/>
      <c r="DH102" s="61"/>
      <c r="DI102" s="61"/>
      <c r="DJ102" s="61"/>
      <c r="DK102" s="61"/>
      <c r="DL102" s="61"/>
      <c r="DM102" s="61"/>
      <c r="DN102" s="61"/>
      <c r="DO102" s="61"/>
      <c r="DP102" s="61"/>
      <c r="DQ102" s="61"/>
      <c r="DR102" s="61"/>
      <c r="DS102" s="61"/>
      <c r="DT102" s="61"/>
      <c r="DU102" s="61"/>
      <c r="DV102" s="61"/>
      <c r="DW102" s="61"/>
      <c r="DX102" s="61"/>
      <c r="DY102" s="61"/>
      <c r="DZ102" s="61"/>
      <c r="EA102" s="61"/>
      <c r="EB102" s="61"/>
      <c r="EC102" s="61"/>
      <c r="ED102" s="61"/>
      <c r="EE102" s="61"/>
      <c r="EF102" s="61"/>
      <c r="EG102" s="61"/>
      <c r="EH102" s="61"/>
      <c r="EI102" s="61"/>
      <c r="EJ102" s="61"/>
      <c r="EK102" s="61"/>
      <c r="EL102" s="61"/>
      <c r="EM102" s="61"/>
      <c r="EN102" s="61"/>
      <c r="EO102" s="61"/>
      <c r="EP102" s="61"/>
      <c r="EQ102" s="61"/>
      <c r="ER102" s="61"/>
      <c r="ES102" s="61"/>
      <c r="ET102" s="61"/>
      <c r="EU102" s="61"/>
      <c r="EV102" s="61"/>
      <c r="EW102" s="61"/>
    </row>
    <row r="103" spans="1:153">
      <c r="A103" s="56">
        <v>29707</v>
      </c>
      <c r="B103" s="57"/>
      <c r="C103" s="7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71"/>
      <c r="P103" s="60">
        <v>211.88300000000001</v>
      </c>
      <c r="Q103" s="61">
        <v>1.08</v>
      </c>
      <c r="R103" s="61">
        <v>220.43299999999999</v>
      </c>
      <c r="S103" s="61">
        <v>480.423</v>
      </c>
      <c r="T103" s="61">
        <v>255.2</v>
      </c>
      <c r="U103" s="61">
        <v>4.7910000000000004</v>
      </c>
      <c r="V103" s="61" t="s">
        <v>121</v>
      </c>
      <c r="W103" s="61" t="s">
        <v>121</v>
      </c>
      <c r="X103" s="61">
        <v>211.88300000000001</v>
      </c>
      <c r="Y103" s="61">
        <v>7.4690000000000003</v>
      </c>
      <c r="Z103" s="61">
        <v>1.08</v>
      </c>
      <c r="AA103" s="61">
        <v>220.43299999999999</v>
      </c>
      <c r="AB103" s="60">
        <v>480.423</v>
      </c>
      <c r="AC103" s="62"/>
      <c r="AD103" s="61"/>
      <c r="AE103" s="61"/>
      <c r="AF103" s="61"/>
      <c r="AG103" s="61"/>
      <c r="AH103" s="61"/>
      <c r="AI103" s="61"/>
      <c r="AJ103" s="61"/>
      <c r="AK103" s="62"/>
      <c r="AL103" s="63"/>
      <c r="AM103" s="64"/>
      <c r="AN103" s="65" t="e">
        <v>#N/A</v>
      </c>
      <c r="AO103" s="61" t="e">
        <v>#N/A</v>
      </c>
      <c r="AP103" s="61" t="e">
        <v>#N/A</v>
      </c>
      <c r="AQ103" s="61" t="e">
        <v>#N/A</v>
      </c>
      <c r="AR103" s="61" t="e">
        <v>#N/A</v>
      </c>
      <c r="AS103" s="61" t="e">
        <v>#N/A</v>
      </c>
      <c r="AT103" s="61" t="e">
        <v>#N/A</v>
      </c>
      <c r="AU103" s="61" t="e">
        <v>#N/A</v>
      </c>
      <c r="AV103" s="61" t="e">
        <v>#N/A</v>
      </c>
      <c r="AW103" s="61" t="e">
        <v>#N/A</v>
      </c>
      <c r="AX103" s="65" t="e">
        <v>#N/A</v>
      </c>
      <c r="AY103" s="66" t="s">
        <v>121</v>
      </c>
      <c r="AZ103" s="61" t="s">
        <v>121</v>
      </c>
      <c r="BA103" s="61">
        <v>73.89</v>
      </c>
      <c r="BB103" s="61">
        <v>73.89</v>
      </c>
      <c r="BC103" s="61" t="s">
        <v>121</v>
      </c>
      <c r="BD103" s="61" t="s">
        <v>121</v>
      </c>
      <c r="BE103" s="61" t="s">
        <v>121</v>
      </c>
      <c r="BF103" s="61" t="s">
        <v>121</v>
      </c>
      <c r="BG103" s="61">
        <v>1.784</v>
      </c>
      <c r="BH103" s="61" t="s">
        <v>121</v>
      </c>
      <c r="BI103" s="61">
        <v>4.0000000000000001E-3</v>
      </c>
      <c r="BJ103" s="61">
        <v>1.788</v>
      </c>
      <c r="BK103" s="66">
        <v>1.788</v>
      </c>
      <c r="BL103" s="67">
        <v>0.57099999999999995</v>
      </c>
      <c r="BM103" s="61" t="s">
        <v>121</v>
      </c>
      <c r="BN103" s="61" t="s">
        <v>121</v>
      </c>
      <c r="BO103" s="61" t="s">
        <v>121</v>
      </c>
      <c r="BP103" s="61">
        <v>0.57099999999999995</v>
      </c>
      <c r="BQ103" s="61">
        <v>251.721</v>
      </c>
      <c r="BR103" s="61">
        <v>4.7910000000000004</v>
      </c>
      <c r="BS103" s="61" t="s">
        <v>121</v>
      </c>
      <c r="BT103" s="61" t="s">
        <v>121</v>
      </c>
      <c r="BU103" s="61">
        <v>0.14899999999999999</v>
      </c>
      <c r="BV103" s="61">
        <v>0.104</v>
      </c>
      <c r="BW103" s="61">
        <v>0.253</v>
      </c>
      <c r="BX103" s="67">
        <v>256.76499999999999</v>
      </c>
      <c r="BY103" s="68">
        <v>76053</v>
      </c>
      <c r="BZ103" s="68">
        <v>74733</v>
      </c>
      <c r="CA103" s="69">
        <v>5542</v>
      </c>
      <c r="CB103" s="68">
        <v>171837</v>
      </c>
      <c r="CC103" s="68">
        <v>3</v>
      </c>
      <c r="CD103" s="61"/>
      <c r="CE103" s="64"/>
      <c r="CF103" s="64"/>
      <c r="CG103" s="70">
        <f t="shared" si="6"/>
        <v>7217.1540000000005</v>
      </c>
      <c r="CH103" s="70">
        <f t="shared" si="7"/>
        <v>232.76400000000001</v>
      </c>
      <c r="CI103" s="70">
        <f t="shared" si="8"/>
        <v>0.126</v>
      </c>
      <c r="CJ103" s="70">
        <f t="shared" si="10"/>
        <v>3194.2260000000001</v>
      </c>
      <c r="CK103" s="70">
        <f t="shared" si="10"/>
        <v>3138.7860000000001</v>
      </c>
      <c r="CL103" s="70">
        <f t="shared" si="9"/>
        <v>0.126</v>
      </c>
      <c r="CM103" s="61"/>
      <c r="CN103" s="61"/>
      <c r="CO103" s="61"/>
      <c r="CP103" s="61"/>
      <c r="CQ103" s="61"/>
      <c r="CR103" s="61"/>
      <c r="CS103" s="61"/>
      <c r="CT103" s="61"/>
      <c r="CU103" s="61"/>
      <c r="CV103" s="61"/>
      <c r="CW103" s="61"/>
      <c r="CX103" s="61"/>
      <c r="CY103" s="61"/>
      <c r="CZ103" s="61"/>
      <c r="DA103" s="61"/>
      <c r="DB103" s="61"/>
      <c r="DC103" s="61"/>
      <c r="DD103" s="61"/>
      <c r="DE103" s="61"/>
      <c r="DF103" s="61"/>
      <c r="DG103" s="61"/>
      <c r="DH103" s="61"/>
      <c r="DI103" s="61"/>
      <c r="DJ103" s="61"/>
      <c r="DK103" s="61"/>
      <c r="DL103" s="61"/>
      <c r="DM103" s="61"/>
      <c r="DN103" s="61"/>
      <c r="DO103" s="61"/>
      <c r="DP103" s="61"/>
      <c r="DQ103" s="61"/>
      <c r="DR103" s="61"/>
      <c r="DS103" s="61"/>
      <c r="DT103" s="61"/>
      <c r="DU103" s="61"/>
      <c r="DV103" s="61"/>
      <c r="DW103" s="61"/>
      <c r="DX103" s="61"/>
      <c r="DY103" s="61"/>
      <c r="DZ103" s="61"/>
      <c r="EA103" s="61"/>
      <c r="EB103" s="61"/>
      <c r="EC103" s="61"/>
      <c r="ED103" s="61"/>
      <c r="EE103" s="61"/>
      <c r="EF103" s="61"/>
      <c r="EG103" s="61"/>
      <c r="EH103" s="61"/>
      <c r="EI103" s="61"/>
      <c r="EJ103" s="61"/>
      <c r="EK103" s="61"/>
      <c r="EL103" s="61"/>
      <c r="EM103" s="61"/>
      <c r="EN103" s="61"/>
      <c r="EO103" s="61"/>
      <c r="EP103" s="61"/>
      <c r="EQ103" s="61"/>
      <c r="ER103" s="61"/>
      <c r="ES103" s="61"/>
      <c r="ET103" s="61"/>
      <c r="EU103" s="61"/>
      <c r="EV103" s="61"/>
      <c r="EW103" s="61"/>
    </row>
    <row r="104" spans="1:153">
      <c r="A104" s="56">
        <v>29738</v>
      </c>
      <c r="B104" s="57"/>
      <c r="C104" s="7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71"/>
      <c r="P104" s="60">
        <v>204.976</v>
      </c>
      <c r="Q104" s="61">
        <v>1.0449999999999999</v>
      </c>
      <c r="R104" s="61">
        <v>213.23699999999999</v>
      </c>
      <c r="S104" s="61">
        <v>496.995</v>
      </c>
      <c r="T104" s="61">
        <v>278.976</v>
      </c>
      <c r="U104" s="61">
        <v>4.782</v>
      </c>
      <c r="V104" s="61" t="s">
        <v>121</v>
      </c>
      <c r="W104" s="61" t="s">
        <v>121</v>
      </c>
      <c r="X104" s="61">
        <v>204.976</v>
      </c>
      <c r="Y104" s="61">
        <v>7.2160000000000002</v>
      </c>
      <c r="Z104" s="61">
        <v>1.0449999999999999</v>
      </c>
      <c r="AA104" s="61">
        <v>213.23699999999999</v>
      </c>
      <c r="AB104" s="60">
        <v>496.995</v>
      </c>
      <c r="AC104" s="62"/>
      <c r="AD104" s="61"/>
      <c r="AE104" s="61"/>
      <c r="AF104" s="61"/>
      <c r="AG104" s="61"/>
      <c r="AH104" s="61"/>
      <c r="AI104" s="61"/>
      <c r="AJ104" s="61"/>
      <c r="AK104" s="62"/>
      <c r="AL104" s="63"/>
      <c r="AM104" s="64"/>
      <c r="AN104" s="65" t="e">
        <v>#N/A</v>
      </c>
      <c r="AO104" s="61" t="e">
        <v>#N/A</v>
      </c>
      <c r="AP104" s="61" t="e">
        <v>#N/A</v>
      </c>
      <c r="AQ104" s="61" t="e">
        <v>#N/A</v>
      </c>
      <c r="AR104" s="61" t="e">
        <v>#N/A</v>
      </c>
      <c r="AS104" s="61" t="e">
        <v>#N/A</v>
      </c>
      <c r="AT104" s="61" t="e">
        <v>#N/A</v>
      </c>
      <c r="AU104" s="61" t="e">
        <v>#N/A</v>
      </c>
      <c r="AV104" s="61" t="e">
        <v>#N/A</v>
      </c>
      <c r="AW104" s="61" t="e">
        <v>#N/A</v>
      </c>
      <c r="AX104" s="65" t="e">
        <v>#N/A</v>
      </c>
      <c r="AY104" s="66" t="s">
        <v>121</v>
      </c>
      <c r="AZ104" s="61" t="s">
        <v>121</v>
      </c>
      <c r="BA104" s="61">
        <v>71.507000000000005</v>
      </c>
      <c r="BB104" s="61">
        <v>71.507000000000005</v>
      </c>
      <c r="BC104" s="61" t="s">
        <v>121</v>
      </c>
      <c r="BD104" s="61" t="s">
        <v>121</v>
      </c>
      <c r="BE104" s="61" t="s">
        <v>121</v>
      </c>
      <c r="BF104" s="61" t="s">
        <v>121</v>
      </c>
      <c r="BG104" s="61">
        <v>1.726</v>
      </c>
      <c r="BH104" s="61" t="s">
        <v>121</v>
      </c>
      <c r="BI104" s="61">
        <v>4.0000000000000001E-3</v>
      </c>
      <c r="BJ104" s="61">
        <v>1.73</v>
      </c>
      <c r="BK104" s="66">
        <v>1.73</v>
      </c>
      <c r="BL104" s="67">
        <v>0.55300000000000005</v>
      </c>
      <c r="BM104" s="61" t="s">
        <v>121</v>
      </c>
      <c r="BN104" s="61" t="s">
        <v>121</v>
      </c>
      <c r="BO104" s="61" t="s">
        <v>121</v>
      </c>
      <c r="BP104" s="61">
        <v>0.55300000000000005</v>
      </c>
      <c r="BQ104" s="61">
        <v>275.64299999999997</v>
      </c>
      <c r="BR104" s="61">
        <v>4.782</v>
      </c>
      <c r="BS104" s="61" t="s">
        <v>121</v>
      </c>
      <c r="BT104" s="61" t="s">
        <v>121</v>
      </c>
      <c r="BU104" s="61">
        <v>7.1999999999999995E-2</v>
      </c>
      <c r="BV104" s="61">
        <v>8.8999999999999996E-2</v>
      </c>
      <c r="BW104" s="61">
        <v>0.16</v>
      </c>
      <c r="BX104" s="67">
        <v>280.58499999999998</v>
      </c>
      <c r="BY104" s="68">
        <v>75014</v>
      </c>
      <c r="BZ104" s="68">
        <v>73930</v>
      </c>
      <c r="CA104" s="69">
        <v>6746</v>
      </c>
      <c r="CB104" s="68">
        <v>179945</v>
      </c>
      <c r="CC104" s="68">
        <v>15</v>
      </c>
      <c r="CD104" s="61"/>
      <c r="CE104" s="64"/>
      <c r="CF104" s="64"/>
      <c r="CG104" s="70">
        <f t="shared" si="6"/>
        <v>7557.69</v>
      </c>
      <c r="CH104" s="70">
        <f t="shared" si="7"/>
        <v>283.33199999999999</v>
      </c>
      <c r="CI104" s="70">
        <f t="shared" si="8"/>
        <v>0.63</v>
      </c>
      <c r="CJ104" s="70">
        <f t="shared" si="10"/>
        <v>3150.5880000000002</v>
      </c>
      <c r="CK104" s="70">
        <f t="shared" si="10"/>
        <v>3105.06</v>
      </c>
      <c r="CL104" s="70">
        <f t="shared" si="9"/>
        <v>0.63</v>
      </c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  <c r="CW104" s="61"/>
      <c r="CX104" s="61"/>
      <c r="CY104" s="61"/>
      <c r="CZ104" s="61"/>
      <c r="DA104" s="61"/>
      <c r="DB104" s="61"/>
      <c r="DC104" s="61"/>
      <c r="DD104" s="61"/>
      <c r="DE104" s="61"/>
      <c r="DF104" s="61"/>
      <c r="DG104" s="61"/>
      <c r="DH104" s="61"/>
      <c r="DI104" s="61"/>
      <c r="DJ104" s="61"/>
      <c r="DK104" s="61"/>
      <c r="DL104" s="61"/>
      <c r="DM104" s="61"/>
      <c r="DN104" s="61"/>
      <c r="DO104" s="61"/>
      <c r="DP104" s="61"/>
      <c r="DQ104" s="61"/>
      <c r="DR104" s="61"/>
      <c r="DS104" s="61"/>
      <c r="DT104" s="61"/>
      <c r="DU104" s="61"/>
      <c r="DV104" s="61"/>
      <c r="DW104" s="61"/>
      <c r="DX104" s="61"/>
      <c r="DY104" s="61"/>
      <c r="DZ104" s="61"/>
      <c r="EA104" s="61"/>
      <c r="EB104" s="61"/>
      <c r="EC104" s="61"/>
      <c r="ED104" s="61"/>
      <c r="EE104" s="61"/>
      <c r="EF104" s="61"/>
      <c r="EG104" s="61"/>
      <c r="EH104" s="61"/>
      <c r="EI104" s="61"/>
      <c r="EJ104" s="61"/>
      <c r="EK104" s="61"/>
      <c r="EL104" s="61"/>
      <c r="EM104" s="61"/>
      <c r="EN104" s="61"/>
      <c r="EO104" s="61"/>
      <c r="EP104" s="61"/>
      <c r="EQ104" s="61"/>
      <c r="ER104" s="61"/>
      <c r="ES104" s="61"/>
      <c r="ET104" s="61"/>
      <c r="EU104" s="61"/>
      <c r="EV104" s="61"/>
      <c r="EW104" s="61"/>
    </row>
    <row r="105" spans="1:153">
      <c r="A105" s="56">
        <v>29768</v>
      </c>
      <c r="B105" s="57"/>
      <c r="C105" s="7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71"/>
      <c r="P105" s="60">
        <v>211.83799999999999</v>
      </c>
      <c r="Q105" s="61">
        <v>1.08</v>
      </c>
      <c r="R105" s="61">
        <v>220.392</v>
      </c>
      <c r="S105" s="61">
        <v>491.30399999999997</v>
      </c>
      <c r="T105" s="61">
        <v>265.65600000000001</v>
      </c>
      <c r="U105" s="61">
        <v>5.2560000000000002</v>
      </c>
      <c r="V105" s="61" t="s">
        <v>121</v>
      </c>
      <c r="W105" s="61" t="s">
        <v>121</v>
      </c>
      <c r="X105" s="61">
        <v>211.83799999999999</v>
      </c>
      <c r="Y105" s="61">
        <v>7.4729999999999999</v>
      </c>
      <c r="Z105" s="61">
        <v>1.08</v>
      </c>
      <c r="AA105" s="61">
        <v>220.392</v>
      </c>
      <c r="AB105" s="60">
        <v>491.30399999999997</v>
      </c>
      <c r="AC105" s="62"/>
      <c r="AD105" s="61"/>
      <c r="AE105" s="61"/>
      <c r="AF105" s="61"/>
      <c r="AG105" s="61"/>
      <c r="AH105" s="61"/>
      <c r="AI105" s="61"/>
      <c r="AJ105" s="61"/>
      <c r="AK105" s="62"/>
      <c r="AL105" s="63"/>
      <c r="AM105" s="64"/>
      <c r="AN105" s="65" t="e">
        <v>#N/A</v>
      </c>
      <c r="AO105" s="61" t="e">
        <v>#N/A</v>
      </c>
      <c r="AP105" s="61" t="e">
        <v>#N/A</v>
      </c>
      <c r="AQ105" s="61" t="e">
        <v>#N/A</v>
      </c>
      <c r="AR105" s="61" t="e">
        <v>#N/A</v>
      </c>
      <c r="AS105" s="61" t="e">
        <v>#N/A</v>
      </c>
      <c r="AT105" s="61" t="e">
        <v>#N/A</v>
      </c>
      <c r="AU105" s="61" t="e">
        <v>#N/A</v>
      </c>
      <c r="AV105" s="61" t="e">
        <v>#N/A</v>
      </c>
      <c r="AW105" s="61" t="e">
        <v>#N/A</v>
      </c>
      <c r="AX105" s="65" t="e">
        <v>#N/A</v>
      </c>
      <c r="AY105" s="66" t="s">
        <v>121</v>
      </c>
      <c r="AZ105" s="61" t="s">
        <v>121</v>
      </c>
      <c r="BA105" s="61">
        <v>73.89</v>
      </c>
      <c r="BB105" s="61">
        <v>73.89</v>
      </c>
      <c r="BC105" s="61" t="s">
        <v>121</v>
      </c>
      <c r="BD105" s="61" t="s">
        <v>121</v>
      </c>
      <c r="BE105" s="61" t="s">
        <v>121</v>
      </c>
      <c r="BF105" s="61" t="s">
        <v>121</v>
      </c>
      <c r="BG105" s="61">
        <v>1.784</v>
      </c>
      <c r="BH105" s="61" t="s">
        <v>121</v>
      </c>
      <c r="BI105" s="61">
        <v>4.0000000000000001E-3</v>
      </c>
      <c r="BJ105" s="61">
        <v>1.788</v>
      </c>
      <c r="BK105" s="66">
        <v>1.788</v>
      </c>
      <c r="BL105" s="67">
        <v>0.57099999999999995</v>
      </c>
      <c r="BM105" s="61" t="s">
        <v>121</v>
      </c>
      <c r="BN105" s="61" t="s">
        <v>121</v>
      </c>
      <c r="BO105" s="61" t="s">
        <v>121</v>
      </c>
      <c r="BP105" s="61">
        <v>0.57099999999999995</v>
      </c>
      <c r="BQ105" s="61">
        <v>262.714</v>
      </c>
      <c r="BR105" s="61">
        <v>5.2560000000000002</v>
      </c>
      <c r="BS105" s="61" t="s">
        <v>121</v>
      </c>
      <c r="BT105" s="61" t="s">
        <v>121</v>
      </c>
      <c r="BU105" s="61">
        <v>0.104</v>
      </c>
      <c r="BV105" s="61">
        <v>0.108</v>
      </c>
      <c r="BW105" s="61">
        <v>0.21199999999999999</v>
      </c>
      <c r="BX105" s="67">
        <v>268.18200000000002</v>
      </c>
      <c r="BY105" s="68">
        <v>74227</v>
      </c>
      <c r="BZ105" s="68">
        <v>73708</v>
      </c>
      <c r="CA105" s="69">
        <v>5539</v>
      </c>
      <c r="CB105" s="68">
        <v>186264</v>
      </c>
      <c r="CC105" s="68">
        <v>72</v>
      </c>
      <c r="CD105" s="61"/>
      <c r="CE105" s="64"/>
      <c r="CF105" s="64"/>
      <c r="CG105" s="70">
        <f t="shared" si="6"/>
        <v>7823.0879999999997</v>
      </c>
      <c r="CH105" s="70">
        <f t="shared" si="7"/>
        <v>232.63800000000001</v>
      </c>
      <c r="CI105" s="70">
        <f t="shared" si="8"/>
        <v>3.024</v>
      </c>
      <c r="CJ105" s="70">
        <f t="shared" si="10"/>
        <v>3117.5340000000001</v>
      </c>
      <c r="CK105" s="70">
        <f t="shared" si="10"/>
        <v>3095.7359999999999</v>
      </c>
      <c r="CL105" s="70">
        <f t="shared" si="9"/>
        <v>3.024</v>
      </c>
      <c r="CM105" s="61"/>
      <c r="CN105" s="61"/>
      <c r="CO105" s="61"/>
      <c r="CP105" s="61"/>
      <c r="CQ105" s="61"/>
      <c r="CR105" s="61"/>
      <c r="CS105" s="61"/>
      <c r="CT105" s="61"/>
      <c r="CU105" s="61"/>
      <c r="CV105" s="61"/>
      <c r="CW105" s="61"/>
      <c r="CX105" s="61"/>
      <c r="CY105" s="61"/>
      <c r="CZ105" s="61"/>
      <c r="DA105" s="61"/>
      <c r="DB105" s="61"/>
      <c r="DC105" s="61"/>
      <c r="DD105" s="61"/>
      <c r="DE105" s="61"/>
      <c r="DF105" s="61"/>
      <c r="DG105" s="61"/>
      <c r="DH105" s="61"/>
      <c r="DI105" s="61"/>
      <c r="DJ105" s="61"/>
      <c r="DK105" s="61"/>
      <c r="DL105" s="61"/>
      <c r="DM105" s="61"/>
      <c r="DN105" s="61"/>
      <c r="DO105" s="61"/>
      <c r="DP105" s="61"/>
      <c r="DQ105" s="61"/>
      <c r="DR105" s="61"/>
      <c r="DS105" s="61"/>
      <c r="DT105" s="61"/>
      <c r="DU105" s="61"/>
      <c r="DV105" s="61"/>
      <c r="DW105" s="61"/>
      <c r="DX105" s="61"/>
      <c r="DY105" s="61"/>
      <c r="DZ105" s="61"/>
      <c r="EA105" s="61"/>
      <c r="EB105" s="61"/>
      <c r="EC105" s="61"/>
      <c r="ED105" s="61"/>
      <c r="EE105" s="61"/>
      <c r="EF105" s="61"/>
      <c r="EG105" s="61"/>
      <c r="EH105" s="61"/>
      <c r="EI105" s="61"/>
      <c r="EJ105" s="61"/>
      <c r="EK105" s="61"/>
      <c r="EL105" s="61"/>
      <c r="EM105" s="61"/>
      <c r="EN105" s="61"/>
      <c r="EO105" s="61"/>
      <c r="EP105" s="61"/>
      <c r="EQ105" s="61"/>
      <c r="ER105" s="61"/>
      <c r="ES105" s="61"/>
      <c r="ET105" s="61"/>
      <c r="EU105" s="61"/>
      <c r="EV105" s="61"/>
      <c r="EW105" s="61"/>
    </row>
    <row r="106" spans="1:153">
      <c r="A106" s="56">
        <v>29799</v>
      </c>
      <c r="B106" s="57"/>
      <c r="C106" s="7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71"/>
      <c r="P106" s="60">
        <v>211.846</v>
      </c>
      <c r="Q106" s="61">
        <v>1.08</v>
      </c>
      <c r="R106" s="61">
        <v>220.428</v>
      </c>
      <c r="S106" s="61">
        <v>454.02800000000002</v>
      </c>
      <c r="T106" s="61">
        <v>228.40899999999999</v>
      </c>
      <c r="U106" s="61">
        <v>5.1909999999999998</v>
      </c>
      <c r="V106" s="61" t="s">
        <v>121</v>
      </c>
      <c r="W106" s="61" t="s">
        <v>121</v>
      </c>
      <c r="X106" s="61">
        <v>211.846</v>
      </c>
      <c r="Y106" s="61">
        <v>7.5010000000000003</v>
      </c>
      <c r="Z106" s="61">
        <v>1.08</v>
      </c>
      <c r="AA106" s="61">
        <v>220.428</v>
      </c>
      <c r="AB106" s="60">
        <v>454.02800000000002</v>
      </c>
      <c r="AC106" s="62"/>
      <c r="AD106" s="61"/>
      <c r="AE106" s="61"/>
      <c r="AF106" s="61"/>
      <c r="AG106" s="61"/>
      <c r="AH106" s="61"/>
      <c r="AI106" s="61"/>
      <c r="AJ106" s="61"/>
      <c r="AK106" s="62"/>
      <c r="AL106" s="63"/>
      <c r="AM106" s="64"/>
      <c r="AN106" s="65" t="e">
        <v>#N/A</v>
      </c>
      <c r="AO106" s="61" t="e">
        <v>#N/A</v>
      </c>
      <c r="AP106" s="61" t="e">
        <v>#N/A</v>
      </c>
      <c r="AQ106" s="61" t="e">
        <v>#N/A</v>
      </c>
      <c r="AR106" s="61" t="e">
        <v>#N/A</v>
      </c>
      <c r="AS106" s="61" t="e">
        <v>#N/A</v>
      </c>
      <c r="AT106" s="61" t="e">
        <v>#N/A</v>
      </c>
      <c r="AU106" s="61" t="e">
        <v>#N/A</v>
      </c>
      <c r="AV106" s="61" t="e">
        <v>#N/A</v>
      </c>
      <c r="AW106" s="61" t="e">
        <v>#N/A</v>
      </c>
      <c r="AX106" s="65" t="e">
        <v>#N/A</v>
      </c>
      <c r="AY106" s="66" t="s">
        <v>121</v>
      </c>
      <c r="AZ106" s="61" t="s">
        <v>121</v>
      </c>
      <c r="BA106" s="61">
        <v>73.89</v>
      </c>
      <c r="BB106" s="61">
        <v>73.89</v>
      </c>
      <c r="BC106" s="61" t="s">
        <v>121</v>
      </c>
      <c r="BD106" s="61" t="s">
        <v>121</v>
      </c>
      <c r="BE106" s="61" t="s">
        <v>121</v>
      </c>
      <c r="BF106" s="61" t="s">
        <v>121</v>
      </c>
      <c r="BG106" s="61">
        <v>1.784</v>
      </c>
      <c r="BH106" s="61" t="s">
        <v>121</v>
      </c>
      <c r="BI106" s="61">
        <v>4.0000000000000001E-3</v>
      </c>
      <c r="BJ106" s="61">
        <v>1.788</v>
      </c>
      <c r="BK106" s="66">
        <v>1.788</v>
      </c>
      <c r="BL106" s="67">
        <v>0.57099999999999995</v>
      </c>
      <c r="BM106" s="61" t="s">
        <v>121</v>
      </c>
      <c r="BN106" s="61" t="s">
        <v>121</v>
      </c>
      <c r="BO106" s="61" t="s">
        <v>121</v>
      </c>
      <c r="BP106" s="61">
        <v>0.57099999999999995</v>
      </c>
      <c r="BQ106" s="61">
        <v>225.941</v>
      </c>
      <c r="BR106" s="61">
        <v>5.1909999999999998</v>
      </c>
      <c r="BS106" s="61" t="s">
        <v>121</v>
      </c>
      <c r="BT106" s="61" t="s">
        <v>121</v>
      </c>
      <c r="BU106" s="61">
        <v>0.112</v>
      </c>
      <c r="BV106" s="61">
        <v>0.13600000000000001</v>
      </c>
      <c r="BW106" s="61">
        <v>0.248</v>
      </c>
      <c r="BX106" s="67">
        <v>231.381</v>
      </c>
      <c r="BY106" s="68">
        <v>82316</v>
      </c>
      <c r="BZ106" s="68">
        <v>74019</v>
      </c>
      <c r="CA106" s="69">
        <v>5400</v>
      </c>
      <c r="CB106" s="68">
        <v>200224</v>
      </c>
      <c r="CC106" s="68">
        <v>7</v>
      </c>
      <c r="CD106" s="61"/>
      <c r="CE106" s="64"/>
      <c r="CF106" s="64"/>
      <c r="CG106" s="70">
        <f t="shared" si="6"/>
        <v>8409.4079999999994</v>
      </c>
      <c r="CH106" s="70">
        <f t="shared" si="7"/>
        <v>226.8</v>
      </c>
      <c r="CI106" s="70">
        <f t="shared" si="8"/>
        <v>0.29399999999999998</v>
      </c>
      <c r="CJ106" s="70">
        <f t="shared" si="10"/>
        <v>3457.2719999999999</v>
      </c>
      <c r="CK106" s="70">
        <f t="shared" si="10"/>
        <v>3108.7979999999998</v>
      </c>
      <c r="CL106" s="70">
        <f t="shared" si="9"/>
        <v>0.29399999999999998</v>
      </c>
      <c r="CM106" s="61"/>
      <c r="CN106" s="61"/>
      <c r="CO106" s="61"/>
      <c r="CP106" s="61"/>
      <c r="CQ106" s="61"/>
      <c r="CR106" s="61"/>
      <c r="CS106" s="61"/>
      <c r="CT106" s="61"/>
      <c r="CU106" s="61"/>
      <c r="CV106" s="61"/>
      <c r="CW106" s="61"/>
      <c r="CX106" s="61"/>
      <c r="CY106" s="61"/>
      <c r="CZ106" s="61"/>
      <c r="DA106" s="61"/>
      <c r="DB106" s="61"/>
      <c r="DC106" s="61"/>
      <c r="DD106" s="61"/>
      <c r="DE106" s="61"/>
      <c r="DF106" s="61"/>
      <c r="DG106" s="61"/>
      <c r="DH106" s="61"/>
      <c r="DI106" s="61"/>
      <c r="DJ106" s="61"/>
      <c r="DK106" s="61"/>
      <c r="DL106" s="61"/>
      <c r="DM106" s="61"/>
      <c r="DN106" s="61"/>
      <c r="DO106" s="61"/>
      <c r="DP106" s="61"/>
      <c r="DQ106" s="61"/>
      <c r="DR106" s="61"/>
      <c r="DS106" s="61"/>
      <c r="DT106" s="61"/>
      <c r="DU106" s="61"/>
      <c r="DV106" s="61"/>
      <c r="DW106" s="61"/>
      <c r="DX106" s="61"/>
      <c r="DY106" s="61"/>
      <c r="DZ106" s="61"/>
      <c r="EA106" s="61"/>
      <c r="EB106" s="61"/>
      <c r="EC106" s="61"/>
      <c r="ED106" s="61"/>
      <c r="EE106" s="61"/>
      <c r="EF106" s="61"/>
      <c r="EG106" s="61"/>
      <c r="EH106" s="61"/>
      <c r="EI106" s="61"/>
      <c r="EJ106" s="61"/>
      <c r="EK106" s="61"/>
      <c r="EL106" s="61"/>
      <c r="EM106" s="61"/>
      <c r="EN106" s="61"/>
      <c r="EO106" s="61"/>
      <c r="EP106" s="61"/>
      <c r="EQ106" s="61"/>
      <c r="ER106" s="61"/>
      <c r="ES106" s="61"/>
      <c r="ET106" s="61"/>
      <c r="EU106" s="61"/>
      <c r="EV106" s="61"/>
      <c r="EW106" s="61"/>
    </row>
    <row r="107" spans="1:153">
      <c r="A107" s="56">
        <v>29830</v>
      </c>
      <c r="B107" s="57"/>
      <c r="C107" s="7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71"/>
      <c r="P107" s="60">
        <v>205.148</v>
      </c>
      <c r="Q107" s="61">
        <v>1.0449999999999999</v>
      </c>
      <c r="R107" s="61">
        <v>213.48</v>
      </c>
      <c r="S107" s="61">
        <v>407.22</v>
      </c>
      <c r="T107" s="61">
        <v>188.51599999999999</v>
      </c>
      <c r="U107" s="61">
        <v>5.2240000000000002</v>
      </c>
      <c r="V107" s="61" t="s">
        <v>121</v>
      </c>
      <c r="W107" s="61" t="s">
        <v>121</v>
      </c>
      <c r="X107" s="61">
        <v>205.148</v>
      </c>
      <c r="Y107" s="61">
        <v>7.2869999999999999</v>
      </c>
      <c r="Z107" s="61">
        <v>1.0449999999999999</v>
      </c>
      <c r="AA107" s="61">
        <v>213.48</v>
      </c>
      <c r="AB107" s="60">
        <v>407.22</v>
      </c>
      <c r="AC107" s="62"/>
      <c r="AD107" s="61"/>
      <c r="AE107" s="61"/>
      <c r="AF107" s="61"/>
      <c r="AG107" s="61"/>
      <c r="AH107" s="61"/>
      <c r="AI107" s="61"/>
      <c r="AJ107" s="61"/>
      <c r="AK107" s="62"/>
      <c r="AL107" s="63"/>
      <c r="AM107" s="64"/>
      <c r="AN107" s="65" t="e">
        <v>#N/A</v>
      </c>
      <c r="AO107" s="61" t="e">
        <v>#N/A</v>
      </c>
      <c r="AP107" s="61" t="e">
        <v>#N/A</v>
      </c>
      <c r="AQ107" s="61" t="e">
        <v>#N/A</v>
      </c>
      <c r="AR107" s="61" t="e">
        <v>#N/A</v>
      </c>
      <c r="AS107" s="61" t="e">
        <v>#N/A</v>
      </c>
      <c r="AT107" s="61" t="e">
        <v>#N/A</v>
      </c>
      <c r="AU107" s="61" t="e">
        <v>#N/A</v>
      </c>
      <c r="AV107" s="61" t="e">
        <v>#N/A</v>
      </c>
      <c r="AW107" s="61" t="e">
        <v>#N/A</v>
      </c>
      <c r="AX107" s="65" t="e">
        <v>#N/A</v>
      </c>
      <c r="AY107" s="66" t="s">
        <v>121</v>
      </c>
      <c r="AZ107" s="61" t="s">
        <v>121</v>
      </c>
      <c r="BA107" s="61">
        <v>71.507000000000005</v>
      </c>
      <c r="BB107" s="61">
        <v>71.507000000000005</v>
      </c>
      <c r="BC107" s="61" t="s">
        <v>121</v>
      </c>
      <c r="BD107" s="61" t="s">
        <v>121</v>
      </c>
      <c r="BE107" s="61" t="s">
        <v>121</v>
      </c>
      <c r="BF107" s="61" t="s">
        <v>121</v>
      </c>
      <c r="BG107" s="61">
        <v>1.726</v>
      </c>
      <c r="BH107" s="61" t="s">
        <v>121</v>
      </c>
      <c r="BI107" s="61">
        <v>4.0000000000000001E-3</v>
      </c>
      <c r="BJ107" s="61">
        <v>1.73</v>
      </c>
      <c r="BK107" s="66">
        <v>1.73</v>
      </c>
      <c r="BL107" s="67">
        <v>0.55300000000000005</v>
      </c>
      <c r="BM107" s="61" t="s">
        <v>121</v>
      </c>
      <c r="BN107" s="61" t="s">
        <v>121</v>
      </c>
      <c r="BO107" s="61" t="s">
        <v>121</v>
      </c>
      <c r="BP107" s="61">
        <v>0.55300000000000005</v>
      </c>
      <c r="BQ107" s="61">
        <v>186.28800000000001</v>
      </c>
      <c r="BR107" s="61">
        <v>5.2240000000000002</v>
      </c>
      <c r="BS107" s="61" t="s">
        <v>121</v>
      </c>
      <c r="BT107" s="61" t="s">
        <v>121</v>
      </c>
      <c r="BU107" s="61">
        <v>0.24399999999999999</v>
      </c>
      <c r="BV107" s="61">
        <v>0.159</v>
      </c>
      <c r="BW107" s="61">
        <v>0.40300000000000002</v>
      </c>
      <c r="BX107" s="67">
        <v>191.91499999999999</v>
      </c>
      <c r="BY107" s="68">
        <v>78306</v>
      </c>
      <c r="BZ107" s="68">
        <v>75378</v>
      </c>
      <c r="CA107" s="69">
        <v>3872</v>
      </c>
      <c r="CB107" s="68">
        <v>207287</v>
      </c>
      <c r="CC107" s="68">
        <v>32</v>
      </c>
      <c r="CD107" s="61"/>
      <c r="CE107" s="64"/>
      <c r="CF107" s="64"/>
      <c r="CG107" s="70">
        <f t="shared" si="6"/>
        <v>8706.0540000000001</v>
      </c>
      <c r="CH107" s="70">
        <f t="shared" si="7"/>
        <v>162.624</v>
      </c>
      <c r="CI107" s="70">
        <f t="shared" si="8"/>
        <v>1.3440000000000001</v>
      </c>
      <c r="CJ107" s="70">
        <f t="shared" si="10"/>
        <v>3288.8519999999999</v>
      </c>
      <c r="CK107" s="70">
        <f t="shared" si="10"/>
        <v>3165.8760000000002</v>
      </c>
      <c r="CL107" s="70">
        <f t="shared" si="9"/>
        <v>1.3440000000000001</v>
      </c>
      <c r="CM107" s="61"/>
      <c r="CN107" s="61"/>
      <c r="CO107" s="61"/>
      <c r="CP107" s="61"/>
      <c r="CQ107" s="61"/>
      <c r="CR107" s="61"/>
      <c r="CS107" s="61"/>
      <c r="CT107" s="61"/>
      <c r="CU107" s="61"/>
      <c r="CV107" s="61"/>
      <c r="CW107" s="61"/>
      <c r="CX107" s="61"/>
      <c r="CY107" s="61"/>
      <c r="CZ107" s="61"/>
      <c r="DA107" s="61"/>
      <c r="DB107" s="61"/>
      <c r="DC107" s="61"/>
      <c r="DD107" s="61"/>
      <c r="DE107" s="61"/>
      <c r="DF107" s="61"/>
      <c r="DG107" s="61"/>
      <c r="DH107" s="61"/>
      <c r="DI107" s="61"/>
      <c r="DJ107" s="61"/>
      <c r="DK107" s="61"/>
      <c r="DL107" s="61"/>
      <c r="DM107" s="61"/>
      <c r="DN107" s="61"/>
      <c r="DO107" s="61"/>
      <c r="DP107" s="61"/>
      <c r="DQ107" s="61"/>
      <c r="DR107" s="61"/>
      <c r="DS107" s="61"/>
      <c r="DT107" s="61"/>
      <c r="DU107" s="61"/>
      <c r="DV107" s="61"/>
      <c r="DW107" s="61"/>
      <c r="DX107" s="61"/>
      <c r="DY107" s="61"/>
      <c r="DZ107" s="61"/>
      <c r="EA107" s="61"/>
      <c r="EB107" s="61"/>
      <c r="EC107" s="61"/>
      <c r="ED107" s="61"/>
      <c r="EE107" s="61"/>
      <c r="EF107" s="61"/>
      <c r="EG107" s="61"/>
      <c r="EH107" s="61"/>
      <c r="EI107" s="61"/>
      <c r="EJ107" s="61"/>
      <c r="EK107" s="61"/>
      <c r="EL107" s="61"/>
      <c r="EM107" s="61"/>
      <c r="EN107" s="61"/>
      <c r="EO107" s="61"/>
      <c r="EP107" s="61"/>
      <c r="EQ107" s="61"/>
      <c r="ER107" s="61"/>
      <c r="ES107" s="61"/>
      <c r="ET107" s="61"/>
      <c r="EU107" s="61"/>
      <c r="EV107" s="61"/>
      <c r="EW107" s="61"/>
    </row>
    <row r="108" spans="1:153">
      <c r="A108" s="56">
        <v>29860</v>
      </c>
      <c r="B108" s="57"/>
      <c r="C108" s="7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71"/>
      <c r="P108" s="60">
        <v>212.00399999999999</v>
      </c>
      <c r="Q108" s="61">
        <v>1.08</v>
      </c>
      <c r="R108" s="61">
        <v>220.58099999999999</v>
      </c>
      <c r="S108" s="61">
        <v>416.96600000000001</v>
      </c>
      <c r="T108" s="61">
        <v>191.23099999999999</v>
      </c>
      <c r="U108" s="61">
        <v>5.1529999999999996</v>
      </c>
      <c r="V108" s="61" t="s">
        <v>121</v>
      </c>
      <c r="W108" s="61" t="s">
        <v>121</v>
      </c>
      <c r="X108" s="61">
        <v>212.00399999999999</v>
      </c>
      <c r="Y108" s="61">
        <v>7.4969999999999999</v>
      </c>
      <c r="Z108" s="61">
        <v>1.08</v>
      </c>
      <c r="AA108" s="61">
        <v>220.58099999999999</v>
      </c>
      <c r="AB108" s="60">
        <v>416.96600000000001</v>
      </c>
      <c r="AC108" s="62"/>
      <c r="AD108" s="61"/>
      <c r="AE108" s="61"/>
      <c r="AF108" s="61"/>
      <c r="AG108" s="61"/>
      <c r="AH108" s="61"/>
      <c r="AI108" s="61"/>
      <c r="AJ108" s="61"/>
      <c r="AK108" s="62"/>
      <c r="AL108" s="63"/>
      <c r="AM108" s="64"/>
      <c r="AN108" s="65" t="e">
        <v>#N/A</v>
      </c>
      <c r="AO108" s="61" t="e">
        <v>#N/A</v>
      </c>
      <c r="AP108" s="61" t="e">
        <v>#N/A</v>
      </c>
      <c r="AQ108" s="61" t="e">
        <v>#N/A</v>
      </c>
      <c r="AR108" s="61" t="e">
        <v>#N/A</v>
      </c>
      <c r="AS108" s="61" t="e">
        <v>#N/A</v>
      </c>
      <c r="AT108" s="61" t="e">
        <v>#N/A</v>
      </c>
      <c r="AU108" s="61" t="e">
        <v>#N/A</v>
      </c>
      <c r="AV108" s="61" t="e">
        <v>#N/A</v>
      </c>
      <c r="AW108" s="61" t="e">
        <v>#N/A</v>
      </c>
      <c r="AX108" s="65" t="e">
        <v>#N/A</v>
      </c>
      <c r="AY108" s="66" t="s">
        <v>121</v>
      </c>
      <c r="AZ108" s="61" t="s">
        <v>121</v>
      </c>
      <c r="BA108" s="61">
        <v>73.89</v>
      </c>
      <c r="BB108" s="61">
        <v>73.89</v>
      </c>
      <c r="BC108" s="61" t="s">
        <v>121</v>
      </c>
      <c r="BD108" s="61" t="s">
        <v>121</v>
      </c>
      <c r="BE108" s="61" t="s">
        <v>121</v>
      </c>
      <c r="BF108" s="61" t="s">
        <v>121</v>
      </c>
      <c r="BG108" s="61">
        <v>1.784</v>
      </c>
      <c r="BH108" s="61" t="s">
        <v>121</v>
      </c>
      <c r="BI108" s="61">
        <v>4.0000000000000001E-3</v>
      </c>
      <c r="BJ108" s="61">
        <v>1.788</v>
      </c>
      <c r="BK108" s="66">
        <v>1.788</v>
      </c>
      <c r="BL108" s="67">
        <v>0.57099999999999995</v>
      </c>
      <c r="BM108" s="61" t="s">
        <v>121</v>
      </c>
      <c r="BN108" s="61" t="s">
        <v>121</v>
      </c>
      <c r="BO108" s="61" t="s">
        <v>121</v>
      </c>
      <c r="BP108" s="61">
        <v>0.57099999999999995</v>
      </c>
      <c r="BQ108" s="61">
        <v>189.078</v>
      </c>
      <c r="BR108" s="61">
        <v>5.1529999999999996</v>
      </c>
      <c r="BS108" s="61" t="s">
        <v>121</v>
      </c>
      <c r="BT108" s="61" t="s">
        <v>121</v>
      </c>
      <c r="BU108" s="61">
        <v>0.27</v>
      </c>
      <c r="BV108" s="61">
        <v>0.13200000000000001</v>
      </c>
      <c r="BW108" s="61">
        <v>0.40200000000000002</v>
      </c>
      <c r="BX108" s="67">
        <v>194.63300000000001</v>
      </c>
      <c r="BY108" s="68">
        <v>77020</v>
      </c>
      <c r="BZ108" s="68">
        <v>86900</v>
      </c>
      <c r="CA108" s="69">
        <v>3678</v>
      </c>
      <c r="CB108" s="68">
        <v>201189</v>
      </c>
      <c r="CC108" s="68">
        <v>167</v>
      </c>
      <c r="CD108" s="61"/>
      <c r="CE108" s="64"/>
      <c r="CF108" s="64"/>
      <c r="CG108" s="70">
        <f t="shared" si="6"/>
        <v>8449.9380000000001</v>
      </c>
      <c r="CH108" s="70">
        <f t="shared" si="7"/>
        <v>154.476</v>
      </c>
      <c r="CI108" s="70">
        <f t="shared" si="8"/>
        <v>7.0140000000000002</v>
      </c>
      <c r="CJ108" s="70">
        <f t="shared" si="10"/>
        <v>3234.84</v>
      </c>
      <c r="CK108" s="70">
        <f t="shared" si="10"/>
        <v>3649.8</v>
      </c>
      <c r="CL108" s="70">
        <f t="shared" si="9"/>
        <v>7.0140000000000002</v>
      </c>
      <c r="CM108" s="61"/>
      <c r="CN108" s="61"/>
      <c r="CO108" s="61"/>
      <c r="CP108" s="61"/>
      <c r="CQ108" s="61"/>
      <c r="CR108" s="61"/>
      <c r="CS108" s="61"/>
      <c r="CT108" s="61"/>
      <c r="CU108" s="61"/>
      <c r="CV108" s="61"/>
      <c r="CW108" s="61"/>
      <c r="CX108" s="61"/>
      <c r="CY108" s="61"/>
      <c r="CZ108" s="61"/>
      <c r="DA108" s="61"/>
      <c r="DB108" s="61"/>
      <c r="DC108" s="61"/>
      <c r="DD108" s="61"/>
      <c r="DE108" s="61"/>
      <c r="DF108" s="61"/>
      <c r="DG108" s="61"/>
      <c r="DH108" s="61"/>
      <c r="DI108" s="61"/>
      <c r="DJ108" s="61"/>
      <c r="DK108" s="61"/>
      <c r="DL108" s="61"/>
      <c r="DM108" s="61"/>
      <c r="DN108" s="61"/>
      <c r="DO108" s="61"/>
      <c r="DP108" s="61"/>
      <c r="DQ108" s="61"/>
      <c r="DR108" s="61"/>
      <c r="DS108" s="61"/>
      <c r="DT108" s="61"/>
      <c r="DU108" s="61"/>
      <c r="DV108" s="61"/>
      <c r="DW108" s="61"/>
      <c r="DX108" s="61"/>
      <c r="DY108" s="61"/>
      <c r="DZ108" s="61"/>
      <c r="EA108" s="61"/>
      <c r="EB108" s="61"/>
      <c r="EC108" s="61"/>
      <c r="ED108" s="61"/>
      <c r="EE108" s="61"/>
      <c r="EF108" s="61"/>
      <c r="EG108" s="61"/>
      <c r="EH108" s="61"/>
      <c r="EI108" s="61"/>
      <c r="EJ108" s="61"/>
      <c r="EK108" s="61"/>
      <c r="EL108" s="61"/>
      <c r="EM108" s="61"/>
      <c r="EN108" s="61"/>
      <c r="EO108" s="61"/>
      <c r="EP108" s="61"/>
      <c r="EQ108" s="61"/>
      <c r="ER108" s="61"/>
      <c r="ES108" s="61"/>
      <c r="ET108" s="61"/>
      <c r="EU108" s="61"/>
      <c r="EV108" s="61"/>
      <c r="EW108" s="61"/>
    </row>
    <row r="109" spans="1:153">
      <c r="A109" s="56">
        <v>29891</v>
      </c>
      <c r="B109" s="57"/>
      <c r="C109" s="7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71"/>
      <c r="P109" s="60">
        <v>205.166</v>
      </c>
      <c r="Q109" s="61">
        <v>1.0449999999999999</v>
      </c>
      <c r="R109" s="61">
        <v>213.43700000000001</v>
      </c>
      <c r="S109" s="61">
        <v>418.476</v>
      </c>
      <c r="T109" s="61">
        <v>200.541</v>
      </c>
      <c r="U109" s="61">
        <v>4.4980000000000002</v>
      </c>
      <c r="V109" s="61" t="s">
        <v>121</v>
      </c>
      <c r="W109" s="61" t="s">
        <v>121</v>
      </c>
      <c r="X109" s="61">
        <v>205.166</v>
      </c>
      <c r="Y109" s="61">
        <v>7.226</v>
      </c>
      <c r="Z109" s="61">
        <v>1.0449999999999999</v>
      </c>
      <c r="AA109" s="61">
        <v>213.43700000000001</v>
      </c>
      <c r="AB109" s="60">
        <v>418.476</v>
      </c>
      <c r="AC109" s="62"/>
      <c r="AD109" s="61"/>
      <c r="AE109" s="61"/>
      <c r="AF109" s="61"/>
      <c r="AG109" s="61"/>
      <c r="AH109" s="61"/>
      <c r="AI109" s="61"/>
      <c r="AJ109" s="61"/>
      <c r="AK109" s="62"/>
      <c r="AL109" s="63"/>
      <c r="AM109" s="64"/>
      <c r="AN109" s="65" t="e">
        <v>#N/A</v>
      </c>
      <c r="AO109" s="61" t="e">
        <v>#N/A</v>
      </c>
      <c r="AP109" s="61" t="e">
        <v>#N/A</v>
      </c>
      <c r="AQ109" s="61" t="e">
        <v>#N/A</v>
      </c>
      <c r="AR109" s="61" t="e">
        <v>#N/A</v>
      </c>
      <c r="AS109" s="61" t="e">
        <v>#N/A</v>
      </c>
      <c r="AT109" s="61" t="e">
        <v>#N/A</v>
      </c>
      <c r="AU109" s="61" t="e">
        <v>#N/A</v>
      </c>
      <c r="AV109" s="61" t="e">
        <v>#N/A</v>
      </c>
      <c r="AW109" s="61" t="e">
        <v>#N/A</v>
      </c>
      <c r="AX109" s="65" t="e">
        <v>#N/A</v>
      </c>
      <c r="AY109" s="66" t="s">
        <v>121</v>
      </c>
      <c r="AZ109" s="61" t="s">
        <v>121</v>
      </c>
      <c r="BA109" s="61">
        <v>71.507000000000005</v>
      </c>
      <c r="BB109" s="61">
        <v>71.507000000000005</v>
      </c>
      <c r="BC109" s="61" t="s">
        <v>121</v>
      </c>
      <c r="BD109" s="61" t="s">
        <v>121</v>
      </c>
      <c r="BE109" s="61" t="s">
        <v>121</v>
      </c>
      <c r="BF109" s="61" t="s">
        <v>121</v>
      </c>
      <c r="BG109" s="61">
        <v>1.726</v>
      </c>
      <c r="BH109" s="61" t="s">
        <v>121</v>
      </c>
      <c r="BI109" s="61">
        <v>4.0000000000000001E-3</v>
      </c>
      <c r="BJ109" s="61">
        <v>1.73</v>
      </c>
      <c r="BK109" s="66">
        <v>1.73</v>
      </c>
      <c r="BL109" s="67">
        <v>0.55300000000000005</v>
      </c>
      <c r="BM109" s="61" t="s">
        <v>121</v>
      </c>
      <c r="BN109" s="61" t="s">
        <v>121</v>
      </c>
      <c r="BO109" s="61" t="s">
        <v>121</v>
      </c>
      <c r="BP109" s="61">
        <v>0.55300000000000005</v>
      </c>
      <c r="BQ109" s="61">
        <v>198.22499999999999</v>
      </c>
      <c r="BR109" s="61">
        <v>4.4980000000000002</v>
      </c>
      <c r="BS109" s="61" t="s">
        <v>121</v>
      </c>
      <c r="BT109" s="61" t="s">
        <v>121</v>
      </c>
      <c r="BU109" s="61">
        <v>0.26200000000000001</v>
      </c>
      <c r="BV109" s="61">
        <v>9.8000000000000004E-2</v>
      </c>
      <c r="BW109" s="61">
        <v>0.36</v>
      </c>
      <c r="BX109" s="67">
        <v>203.083</v>
      </c>
      <c r="BY109" s="68">
        <v>81463</v>
      </c>
      <c r="BZ109" s="68">
        <v>86413</v>
      </c>
      <c r="CA109" s="69">
        <v>3734</v>
      </c>
      <c r="CB109" s="68">
        <v>200115</v>
      </c>
      <c r="CC109" s="68">
        <v>193</v>
      </c>
      <c r="CD109" s="61"/>
      <c r="CE109" s="64"/>
      <c r="CF109" s="64"/>
      <c r="CG109" s="70">
        <f t="shared" si="6"/>
        <v>8404.83</v>
      </c>
      <c r="CH109" s="70">
        <f t="shared" si="7"/>
        <v>156.828</v>
      </c>
      <c r="CI109" s="70">
        <f t="shared" si="8"/>
        <v>8.1059999999999999</v>
      </c>
      <c r="CJ109" s="70">
        <f t="shared" si="10"/>
        <v>3421.4459999999999</v>
      </c>
      <c r="CK109" s="70">
        <f t="shared" si="10"/>
        <v>3629.346</v>
      </c>
      <c r="CL109" s="70">
        <f t="shared" si="9"/>
        <v>8.1059999999999999</v>
      </c>
      <c r="CM109" s="61"/>
      <c r="CN109" s="61"/>
      <c r="CO109" s="61"/>
      <c r="CP109" s="61"/>
      <c r="CQ109" s="61"/>
      <c r="CR109" s="61"/>
      <c r="CS109" s="61"/>
      <c r="CT109" s="61"/>
      <c r="CU109" s="61"/>
      <c r="CV109" s="61"/>
      <c r="CW109" s="61"/>
      <c r="CX109" s="61"/>
      <c r="CY109" s="61"/>
      <c r="CZ109" s="61"/>
      <c r="DA109" s="61"/>
      <c r="DB109" s="61"/>
      <c r="DC109" s="61"/>
      <c r="DD109" s="61"/>
      <c r="DE109" s="61"/>
      <c r="DF109" s="61"/>
      <c r="DG109" s="61"/>
      <c r="DH109" s="61"/>
      <c r="DI109" s="61"/>
      <c r="DJ109" s="61"/>
      <c r="DK109" s="61"/>
      <c r="DL109" s="61"/>
      <c r="DM109" s="61"/>
      <c r="DN109" s="61"/>
      <c r="DO109" s="61"/>
      <c r="DP109" s="61"/>
      <c r="DQ109" s="61"/>
      <c r="DR109" s="61"/>
      <c r="DS109" s="61"/>
      <c r="DT109" s="61"/>
      <c r="DU109" s="61"/>
      <c r="DV109" s="61"/>
      <c r="DW109" s="61"/>
      <c r="DX109" s="61"/>
      <c r="DY109" s="61"/>
      <c r="DZ109" s="61"/>
      <c r="EA109" s="61"/>
      <c r="EB109" s="61"/>
      <c r="EC109" s="61"/>
      <c r="ED109" s="61"/>
      <c r="EE109" s="61"/>
      <c r="EF109" s="61"/>
      <c r="EG109" s="61"/>
      <c r="EH109" s="61"/>
      <c r="EI109" s="61"/>
      <c r="EJ109" s="61"/>
      <c r="EK109" s="61"/>
      <c r="EL109" s="61"/>
      <c r="EM109" s="61"/>
      <c r="EN109" s="61"/>
      <c r="EO109" s="61"/>
      <c r="EP109" s="61"/>
      <c r="EQ109" s="61"/>
      <c r="ER109" s="61"/>
      <c r="ES109" s="61"/>
      <c r="ET109" s="61"/>
      <c r="EU109" s="61"/>
      <c r="EV109" s="61"/>
      <c r="EW109" s="61"/>
    </row>
    <row r="110" spans="1:153">
      <c r="A110" s="56">
        <v>29921</v>
      </c>
      <c r="B110" s="57"/>
      <c r="C110" s="7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71"/>
      <c r="P110" s="60">
        <v>211.94800000000001</v>
      </c>
      <c r="Q110" s="61">
        <v>1.08</v>
      </c>
      <c r="R110" s="61">
        <v>220.44</v>
      </c>
      <c r="S110" s="61">
        <v>477.024</v>
      </c>
      <c r="T110" s="61">
        <v>252.071</v>
      </c>
      <c r="U110" s="61">
        <v>4.5129999999999999</v>
      </c>
      <c r="V110" s="61" t="s">
        <v>121</v>
      </c>
      <c r="W110" s="61" t="s">
        <v>121</v>
      </c>
      <c r="X110" s="61">
        <v>211.94800000000001</v>
      </c>
      <c r="Y110" s="61">
        <v>7.4119999999999999</v>
      </c>
      <c r="Z110" s="61">
        <v>1.08</v>
      </c>
      <c r="AA110" s="61">
        <v>220.44</v>
      </c>
      <c r="AB110" s="60">
        <v>477.024</v>
      </c>
      <c r="AC110" s="62"/>
      <c r="AD110" s="61"/>
      <c r="AE110" s="61"/>
      <c r="AF110" s="61"/>
      <c r="AG110" s="61"/>
      <c r="AH110" s="61"/>
      <c r="AI110" s="61"/>
      <c r="AJ110" s="61"/>
      <c r="AK110" s="62"/>
      <c r="AL110" s="63"/>
      <c r="AM110" s="64"/>
      <c r="AN110" s="65" t="e">
        <v>#N/A</v>
      </c>
      <c r="AO110" s="61" t="e">
        <v>#N/A</v>
      </c>
      <c r="AP110" s="61" t="e">
        <v>#N/A</v>
      </c>
      <c r="AQ110" s="61" t="e">
        <v>#N/A</v>
      </c>
      <c r="AR110" s="61" t="e">
        <v>#N/A</v>
      </c>
      <c r="AS110" s="61" t="e">
        <v>#N/A</v>
      </c>
      <c r="AT110" s="61" t="e">
        <v>#N/A</v>
      </c>
      <c r="AU110" s="61" t="e">
        <v>#N/A</v>
      </c>
      <c r="AV110" s="61" t="e">
        <v>#N/A</v>
      </c>
      <c r="AW110" s="61" t="e">
        <v>#N/A</v>
      </c>
      <c r="AX110" s="65" t="e">
        <v>#N/A</v>
      </c>
      <c r="AY110" s="66" t="s">
        <v>121</v>
      </c>
      <c r="AZ110" s="61" t="s">
        <v>121</v>
      </c>
      <c r="BA110" s="61">
        <v>73.89</v>
      </c>
      <c r="BB110" s="61">
        <v>73.89</v>
      </c>
      <c r="BC110" s="61" t="s">
        <v>121</v>
      </c>
      <c r="BD110" s="61" t="s">
        <v>121</v>
      </c>
      <c r="BE110" s="61" t="s">
        <v>121</v>
      </c>
      <c r="BF110" s="61" t="s">
        <v>121</v>
      </c>
      <c r="BG110" s="61">
        <v>1.784</v>
      </c>
      <c r="BH110" s="61" t="s">
        <v>121</v>
      </c>
      <c r="BI110" s="61">
        <v>4.0000000000000001E-3</v>
      </c>
      <c r="BJ110" s="61">
        <v>1.788</v>
      </c>
      <c r="BK110" s="66">
        <v>1.788</v>
      </c>
      <c r="BL110" s="67">
        <v>0.57099999999999995</v>
      </c>
      <c r="BM110" s="61" t="s">
        <v>121</v>
      </c>
      <c r="BN110" s="61" t="s">
        <v>121</v>
      </c>
      <c r="BO110" s="61" t="s">
        <v>121</v>
      </c>
      <c r="BP110" s="61">
        <v>0.57099999999999995</v>
      </c>
      <c r="BQ110" s="61">
        <v>249.60499999999999</v>
      </c>
      <c r="BR110" s="61">
        <v>4.5129999999999999</v>
      </c>
      <c r="BS110" s="61" t="s">
        <v>121</v>
      </c>
      <c r="BT110" s="61" t="s">
        <v>121</v>
      </c>
      <c r="BU110" s="61">
        <v>0.214</v>
      </c>
      <c r="BV110" s="61">
        <v>4.7E-2</v>
      </c>
      <c r="BW110" s="61">
        <v>0.26100000000000001</v>
      </c>
      <c r="BX110" s="67">
        <v>254.37899999999999</v>
      </c>
      <c r="BY110" s="68">
        <v>88548</v>
      </c>
      <c r="BZ110" s="68">
        <v>99578</v>
      </c>
      <c r="CA110" s="69">
        <v>2944</v>
      </c>
      <c r="CB110" s="68">
        <v>191541</v>
      </c>
      <c r="CC110" s="68">
        <v>820</v>
      </c>
      <c r="CD110" s="61"/>
      <c r="CE110" s="64"/>
      <c r="CF110" s="64"/>
      <c r="CG110" s="70">
        <f t="shared" si="6"/>
        <v>8044.7219999999998</v>
      </c>
      <c r="CH110" s="70">
        <f t="shared" si="7"/>
        <v>123.648</v>
      </c>
      <c r="CI110" s="70">
        <f t="shared" si="8"/>
        <v>34.44</v>
      </c>
      <c r="CJ110" s="70">
        <f t="shared" si="10"/>
        <v>3719.0160000000001</v>
      </c>
      <c r="CK110" s="70">
        <f t="shared" si="10"/>
        <v>4182.2759999999998</v>
      </c>
      <c r="CL110" s="70">
        <f t="shared" si="9"/>
        <v>34.44</v>
      </c>
      <c r="CM110" s="61"/>
      <c r="CN110" s="61"/>
      <c r="CO110" s="61"/>
      <c r="CP110" s="61"/>
      <c r="CQ110" s="61"/>
      <c r="CR110" s="61"/>
      <c r="CS110" s="61"/>
      <c r="CT110" s="61"/>
      <c r="CU110" s="61"/>
      <c r="CV110" s="61"/>
      <c r="CW110" s="61"/>
      <c r="CX110" s="61"/>
      <c r="CY110" s="61"/>
      <c r="CZ110" s="61"/>
      <c r="DA110" s="61"/>
      <c r="DB110" s="61"/>
      <c r="DC110" s="61"/>
      <c r="DD110" s="61"/>
      <c r="DE110" s="61"/>
      <c r="DF110" s="61"/>
      <c r="DG110" s="61"/>
      <c r="DH110" s="61"/>
      <c r="DI110" s="61"/>
      <c r="DJ110" s="61"/>
      <c r="DK110" s="61"/>
      <c r="DL110" s="61"/>
      <c r="DM110" s="61"/>
      <c r="DN110" s="61"/>
      <c r="DO110" s="61"/>
      <c r="DP110" s="61"/>
      <c r="DQ110" s="61"/>
      <c r="DR110" s="61"/>
      <c r="DS110" s="61"/>
      <c r="DT110" s="61"/>
      <c r="DU110" s="61"/>
      <c r="DV110" s="61"/>
      <c r="DW110" s="61"/>
      <c r="DX110" s="61"/>
      <c r="DY110" s="61"/>
      <c r="DZ110" s="61"/>
      <c r="EA110" s="61"/>
      <c r="EB110" s="61"/>
      <c r="EC110" s="61"/>
      <c r="ED110" s="61"/>
      <c r="EE110" s="61"/>
      <c r="EF110" s="61"/>
      <c r="EG110" s="61"/>
      <c r="EH110" s="61"/>
      <c r="EI110" s="61"/>
      <c r="EJ110" s="61"/>
      <c r="EK110" s="61"/>
      <c r="EL110" s="61"/>
      <c r="EM110" s="61"/>
      <c r="EN110" s="61"/>
      <c r="EO110" s="61"/>
      <c r="EP110" s="61"/>
      <c r="EQ110" s="61"/>
      <c r="ER110" s="61"/>
      <c r="ES110" s="61"/>
      <c r="ET110" s="61"/>
      <c r="EU110" s="61"/>
      <c r="EV110" s="61"/>
      <c r="EW110" s="61"/>
    </row>
    <row r="111" spans="1:153">
      <c r="A111" s="56">
        <v>29952</v>
      </c>
      <c r="B111" s="57"/>
      <c r="C111" s="7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71"/>
      <c r="P111" s="60">
        <v>213.20500000000001</v>
      </c>
      <c r="Q111" s="61">
        <v>2.9220000000000002</v>
      </c>
      <c r="R111" s="61">
        <v>226.251</v>
      </c>
      <c r="S111" s="61">
        <v>514.44000000000005</v>
      </c>
      <c r="T111" s="61">
        <v>284.21499999999997</v>
      </c>
      <c r="U111" s="61">
        <v>3.9750000000000001</v>
      </c>
      <c r="V111" s="61" t="s">
        <v>121</v>
      </c>
      <c r="W111" s="61" t="s">
        <v>121</v>
      </c>
      <c r="X111" s="61">
        <v>213.20500000000001</v>
      </c>
      <c r="Y111" s="61">
        <v>10.124000000000001</v>
      </c>
      <c r="Z111" s="61">
        <v>2.9220000000000002</v>
      </c>
      <c r="AA111" s="61">
        <v>226.251</v>
      </c>
      <c r="AB111" s="60">
        <v>514.44000000000005</v>
      </c>
      <c r="AC111" s="62"/>
      <c r="AD111" s="61"/>
      <c r="AE111" s="61"/>
      <c r="AF111" s="61"/>
      <c r="AG111" s="61"/>
      <c r="AH111" s="61"/>
      <c r="AI111" s="61"/>
      <c r="AJ111" s="61"/>
      <c r="AK111" s="62"/>
      <c r="AL111" s="63"/>
      <c r="AM111" s="64"/>
      <c r="AN111" s="65" t="e">
        <v>#N/A</v>
      </c>
      <c r="AO111" s="61" t="e">
        <v>#N/A</v>
      </c>
      <c r="AP111" s="61" t="e">
        <v>#N/A</v>
      </c>
      <c r="AQ111" s="61" t="e">
        <v>#N/A</v>
      </c>
      <c r="AR111" s="61" t="e">
        <v>#N/A</v>
      </c>
      <c r="AS111" s="61" t="e">
        <v>#N/A</v>
      </c>
      <c r="AT111" s="61" t="e">
        <v>#N/A</v>
      </c>
      <c r="AU111" s="61" t="e">
        <v>#N/A</v>
      </c>
      <c r="AV111" s="61" t="e">
        <v>#N/A</v>
      </c>
      <c r="AW111" s="61" t="e">
        <v>#N/A</v>
      </c>
      <c r="AX111" s="65" t="e">
        <v>#N/A</v>
      </c>
      <c r="AY111" s="66" t="s">
        <v>121</v>
      </c>
      <c r="AZ111" s="61" t="s">
        <v>121</v>
      </c>
      <c r="BA111" s="61">
        <v>82.384</v>
      </c>
      <c r="BB111" s="61">
        <v>82.384</v>
      </c>
      <c r="BC111" s="61" t="s">
        <v>121</v>
      </c>
      <c r="BD111" s="61" t="s">
        <v>121</v>
      </c>
      <c r="BE111" s="61" t="s">
        <v>121</v>
      </c>
      <c r="BF111" s="61" t="s">
        <v>121</v>
      </c>
      <c r="BG111" s="61">
        <v>1.8680000000000001</v>
      </c>
      <c r="BH111" s="61" t="s">
        <v>121</v>
      </c>
      <c r="BI111" s="61">
        <v>1.0999999999999999E-2</v>
      </c>
      <c r="BJ111" s="61">
        <v>1.88</v>
      </c>
      <c r="BK111" s="66">
        <v>1.88</v>
      </c>
      <c r="BL111" s="67">
        <v>1.5529999999999999</v>
      </c>
      <c r="BM111" s="61" t="s">
        <v>121</v>
      </c>
      <c r="BN111" s="61" t="s">
        <v>121</v>
      </c>
      <c r="BO111" s="61" t="s">
        <v>121</v>
      </c>
      <c r="BP111" s="61">
        <v>1.5529999999999999</v>
      </c>
      <c r="BQ111" s="61">
        <v>281.166</v>
      </c>
      <c r="BR111" s="61">
        <v>3.9750000000000001</v>
      </c>
      <c r="BS111" s="61" t="s">
        <v>121</v>
      </c>
      <c r="BT111" s="61" t="s">
        <v>121</v>
      </c>
      <c r="BU111" s="61">
        <v>0.19700000000000001</v>
      </c>
      <c r="BV111" s="61">
        <v>0.128</v>
      </c>
      <c r="BW111" s="61">
        <v>0.32500000000000001</v>
      </c>
      <c r="BX111" s="67">
        <v>285.46499999999997</v>
      </c>
      <c r="BY111" s="68">
        <v>80321</v>
      </c>
      <c r="BZ111" s="68">
        <v>108012</v>
      </c>
      <c r="CA111" s="69">
        <v>3015</v>
      </c>
      <c r="CB111" s="68">
        <v>164380</v>
      </c>
      <c r="CC111" s="68">
        <v>2793</v>
      </c>
      <c r="CD111" s="61"/>
      <c r="CE111" s="64"/>
      <c r="CF111" s="64"/>
      <c r="CG111" s="70">
        <f t="shared" si="6"/>
        <v>6903.96</v>
      </c>
      <c r="CH111" s="70">
        <f t="shared" si="7"/>
        <v>126.63</v>
      </c>
      <c r="CI111" s="70">
        <f t="shared" si="8"/>
        <v>117.306</v>
      </c>
      <c r="CJ111" s="70">
        <f t="shared" si="10"/>
        <v>3373.482</v>
      </c>
      <c r="CK111" s="70">
        <f t="shared" si="10"/>
        <v>4536.5039999999999</v>
      </c>
      <c r="CL111" s="70">
        <f t="shared" si="9"/>
        <v>117.306</v>
      </c>
      <c r="CM111" s="61"/>
      <c r="CN111" s="61"/>
      <c r="CO111" s="61"/>
      <c r="CP111" s="61"/>
      <c r="CQ111" s="61"/>
      <c r="CR111" s="61"/>
      <c r="CS111" s="61"/>
      <c r="CT111" s="61"/>
      <c r="CU111" s="61"/>
      <c r="CV111" s="61"/>
      <c r="CW111" s="61"/>
      <c r="CX111" s="61"/>
      <c r="CY111" s="61"/>
      <c r="CZ111" s="61"/>
      <c r="DA111" s="61"/>
      <c r="DB111" s="61"/>
      <c r="DC111" s="61"/>
      <c r="DD111" s="61"/>
      <c r="DE111" s="61"/>
      <c r="DF111" s="61"/>
      <c r="DG111" s="61"/>
      <c r="DH111" s="61"/>
      <c r="DI111" s="61"/>
      <c r="DJ111" s="61"/>
      <c r="DK111" s="61"/>
      <c r="DL111" s="61"/>
      <c r="DM111" s="61"/>
      <c r="DN111" s="61"/>
      <c r="DO111" s="61"/>
      <c r="DP111" s="61"/>
      <c r="DQ111" s="61"/>
      <c r="DR111" s="61"/>
      <c r="DS111" s="61"/>
      <c r="DT111" s="61"/>
      <c r="DU111" s="61"/>
      <c r="DV111" s="61"/>
      <c r="DW111" s="61"/>
      <c r="DX111" s="61"/>
      <c r="DY111" s="61"/>
      <c r="DZ111" s="61"/>
      <c r="EA111" s="61"/>
      <c r="EB111" s="61"/>
      <c r="EC111" s="61"/>
      <c r="ED111" s="61"/>
      <c r="EE111" s="61"/>
      <c r="EF111" s="61"/>
      <c r="EG111" s="61"/>
      <c r="EH111" s="61"/>
      <c r="EI111" s="61"/>
      <c r="EJ111" s="61"/>
      <c r="EK111" s="61"/>
      <c r="EL111" s="61"/>
      <c r="EM111" s="61"/>
      <c r="EN111" s="61"/>
      <c r="EO111" s="61"/>
      <c r="EP111" s="61"/>
      <c r="EQ111" s="61"/>
      <c r="ER111" s="61"/>
      <c r="ES111" s="61"/>
      <c r="ET111" s="61"/>
      <c r="EU111" s="61"/>
      <c r="EV111" s="61"/>
      <c r="EW111" s="61"/>
    </row>
    <row r="112" spans="1:153">
      <c r="A112" s="56">
        <v>29983</v>
      </c>
      <c r="B112" s="57"/>
      <c r="C112" s="7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71"/>
      <c r="P112" s="60">
        <v>192.59800000000001</v>
      </c>
      <c r="Q112" s="61">
        <v>2.6389999999999998</v>
      </c>
      <c r="R112" s="61">
        <v>204.375</v>
      </c>
      <c r="S112" s="61">
        <v>489.62400000000002</v>
      </c>
      <c r="T112" s="61">
        <v>281.59300000000002</v>
      </c>
      <c r="U112" s="61">
        <v>3.6560000000000001</v>
      </c>
      <c r="V112" s="61" t="s">
        <v>121</v>
      </c>
      <c r="W112" s="61" t="s">
        <v>121</v>
      </c>
      <c r="X112" s="61">
        <v>192.59800000000001</v>
      </c>
      <c r="Y112" s="61">
        <v>9.1370000000000005</v>
      </c>
      <c r="Z112" s="61">
        <v>2.6389999999999998</v>
      </c>
      <c r="AA112" s="61">
        <v>204.375</v>
      </c>
      <c r="AB112" s="60">
        <v>489.62400000000002</v>
      </c>
      <c r="AC112" s="62"/>
      <c r="AD112" s="61"/>
      <c r="AE112" s="61"/>
      <c r="AF112" s="61"/>
      <c r="AG112" s="61"/>
      <c r="AH112" s="61"/>
      <c r="AI112" s="61"/>
      <c r="AJ112" s="61"/>
      <c r="AK112" s="62"/>
      <c r="AL112" s="63"/>
      <c r="AM112" s="64"/>
      <c r="AN112" s="65" t="e">
        <v>#N/A</v>
      </c>
      <c r="AO112" s="61" t="e">
        <v>#N/A</v>
      </c>
      <c r="AP112" s="61" t="e">
        <v>#N/A</v>
      </c>
      <c r="AQ112" s="61" t="e">
        <v>#N/A</v>
      </c>
      <c r="AR112" s="61" t="e">
        <v>#N/A</v>
      </c>
      <c r="AS112" s="61" t="e">
        <v>#N/A</v>
      </c>
      <c r="AT112" s="61" t="e">
        <v>#N/A</v>
      </c>
      <c r="AU112" s="61" t="e">
        <v>#N/A</v>
      </c>
      <c r="AV112" s="61" t="e">
        <v>#N/A</v>
      </c>
      <c r="AW112" s="61" t="e">
        <v>#N/A</v>
      </c>
      <c r="AX112" s="65" t="e">
        <v>#N/A</v>
      </c>
      <c r="AY112" s="66" t="s">
        <v>121</v>
      </c>
      <c r="AZ112" s="61" t="s">
        <v>121</v>
      </c>
      <c r="BA112" s="61">
        <v>74.411000000000001</v>
      </c>
      <c r="BB112" s="61">
        <v>74.411000000000001</v>
      </c>
      <c r="BC112" s="61" t="s">
        <v>121</v>
      </c>
      <c r="BD112" s="61" t="s">
        <v>121</v>
      </c>
      <c r="BE112" s="61" t="s">
        <v>121</v>
      </c>
      <c r="BF112" s="61" t="s">
        <v>121</v>
      </c>
      <c r="BG112" s="61">
        <v>1.6879999999999999</v>
      </c>
      <c r="BH112" s="61" t="s">
        <v>121</v>
      </c>
      <c r="BI112" s="61">
        <v>0.01</v>
      </c>
      <c r="BJ112" s="61">
        <v>1.698</v>
      </c>
      <c r="BK112" s="66">
        <v>1.698</v>
      </c>
      <c r="BL112" s="67">
        <v>1.403</v>
      </c>
      <c r="BM112" s="61" t="s">
        <v>121</v>
      </c>
      <c r="BN112" s="61" t="s">
        <v>121</v>
      </c>
      <c r="BO112" s="61" t="s">
        <v>121</v>
      </c>
      <c r="BP112" s="61">
        <v>1.403</v>
      </c>
      <c r="BQ112" s="61">
        <v>279.017</v>
      </c>
      <c r="BR112" s="61">
        <v>3.6560000000000001</v>
      </c>
      <c r="BS112" s="61" t="s">
        <v>121</v>
      </c>
      <c r="BT112" s="61" t="s">
        <v>121</v>
      </c>
      <c r="BU112" s="61">
        <v>0.20399999999999999</v>
      </c>
      <c r="BV112" s="61">
        <v>0.109</v>
      </c>
      <c r="BW112" s="61">
        <v>0.313</v>
      </c>
      <c r="BX112" s="67">
        <v>282.98500000000001</v>
      </c>
      <c r="BY112" s="68">
        <v>67944</v>
      </c>
      <c r="BZ112" s="68">
        <v>86383</v>
      </c>
      <c r="CA112" s="69">
        <v>3699</v>
      </c>
      <c r="CB112" s="68">
        <v>147446</v>
      </c>
      <c r="CC112" s="68">
        <v>2511</v>
      </c>
      <c r="CD112" s="61"/>
      <c r="CE112" s="64"/>
      <c r="CF112" s="64"/>
      <c r="CG112" s="70">
        <f t="shared" si="6"/>
        <v>6192.732</v>
      </c>
      <c r="CH112" s="70">
        <f t="shared" si="7"/>
        <v>155.358</v>
      </c>
      <c r="CI112" s="70">
        <f t="shared" si="8"/>
        <v>105.462</v>
      </c>
      <c r="CJ112" s="70">
        <f t="shared" si="10"/>
        <v>2853.6480000000001</v>
      </c>
      <c r="CK112" s="70">
        <f t="shared" si="10"/>
        <v>3628.0859999999998</v>
      </c>
      <c r="CL112" s="70">
        <f t="shared" si="9"/>
        <v>105.462</v>
      </c>
      <c r="CM112" s="61"/>
      <c r="CN112" s="61"/>
      <c r="CO112" s="61"/>
      <c r="CP112" s="61"/>
      <c r="CQ112" s="61"/>
      <c r="CR112" s="61"/>
      <c r="CS112" s="61"/>
      <c r="CT112" s="61"/>
      <c r="CU112" s="61"/>
      <c r="CV112" s="61"/>
      <c r="CW112" s="61"/>
      <c r="CX112" s="61"/>
      <c r="CY112" s="61"/>
      <c r="CZ112" s="61"/>
      <c r="DA112" s="61"/>
      <c r="DB112" s="61"/>
      <c r="DC112" s="61"/>
      <c r="DD112" s="61"/>
      <c r="DE112" s="61"/>
      <c r="DF112" s="61"/>
      <c r="DG112" s="61"/>
      <c r="DH112" s="61"/>
      <c r="DI112" s="61"/>
      <c r="DJ112" s="61"/>
      <c r="DK112" s="61"/>
      <c r="DL112" s="61"/>
      <c r="DM112" s="61"/>
      <c r="DN112" s="61"/>
      <c r="DO112" s="61"/>
      <c r="DP112" s="61"/>
      <c r="DQ112" s="61"/>
      <c r="DR112" s="61"/>
      <c r="DS112" s="61"/>
      <c r="DT112" s="61"/>
      <c r="DU112" s="61"/>
      <c r="DV112" s="61"/>
      <c r="DW112" s="61"/>
      <c r="DX112" s="61"/>
      <c r="DY112" s="61"/>
      <c r="DZ112" s="61"/>
      <c r="EA112" s="61"/>
      <c r="EB112" s="61"/>
      <c r="EC112" s="61"/>
      <c r="ED112" s="61"/>
      <c r="EE112" s="61"/>
      <c r="EF112" s="61"/>
      <c r="EG112" s="61"/>
      <c r="EH112" s="61"/>
      <c r="EI112" s="61"/>
      <c r="EJ112" s="61"/>
      <c r="EK112" s="61"/>
      <c r="EL112" s="61"/>
      <c r="EM112" s="61"/>
      <c r="EN112" s="61"/>
      <c r="EO112" s="61"/>
      <c r="EP112" s="61"/>
      <c r="EQ112" s="61"/>
      <c r="ER112" s="61"/>
      <c r="ES112" s="61"/>
      <c r="ET112" s="61"/>
      <c r="EU112" s="61"/>
      <c r="EV112" s="61"/>
      <c r="EW112" s="61"/>
    </row>
    <row r="113" spans="1:153">
      <c r="A113" s="56">
        <v>30011</v>
      </c>
      <c r="B113" s="57"/>
      <c r="C113" s="7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71"/>
      <c r="P113" s="60">
        <v>213.13200000000001</v>
      </c>
      <c r="Q113" s="61">
        <v>2.9220000000000002</v>
      </c>
      <c r="R113" s="61">
        <v>226.15700000000001</v>
      </c>
      <c r="S113" s="61">
        <v>544.72400000000005</v>
      </c>
      <c r="T113" s="61">
        <v>315.34699999999998</v>
      </c>
      <c r="U113" s="61">
        <v>3.22</v>
      </c>
      <c r="V113" s="61" t="s">
        <v>121</v>
      </c>
      <c r="W113" s="61" t="s">
        <v>121</v>
      </c>
      <c r="X113" s="61">
        <v>213.13200000000001</v>
      </c>
      <c r="Y113" s="61">
        <v>10.103</v>
      </c>
      <c r="Z113" s="61">
        <v>2.9220000000000002</v>
      </c>
      <c r="AA113" s="61">
        <v>226.15700000000001</v>
      </c>
      <c r="AB113" s="60">
        <v>544.72400000000005</v>
      </c>
      <c r="AC113" s="62"/>
      <c r="AD113" s="61"/>
      <c r="AE113" s="61"/>
      <c r="AF113" s="61"/>
      <c r="AG113" s="61"/>
      <c r="AH113" s="61"/>
      <c r="AI113" s="61"/>
      <c r="AJ113" s="61"/>
      <c r="AK113" s="62"/>
      <c r="AL113" s="63"/>
      <c r="AM113" s="64"/>
      <c r="AN113" s="65" t="e">
        <v>#N/A</v>
      </c>
      <c r="AO113" s="61" t="e">
        <v>#N/A</v>
      </c>
      <c r="AP113" s="61" t="e">
        <v>#N/A</v>
      </c>
      <c r="AQ113" s="61" t="e">
        <v>#N/A</v>
      </c>
      <c r="AR113" s="61" t="e">
        <v>#N/A</v>
      </c>
      <c r="AS113" s="61" t="e">
        <v>#N/A</v>
      </c>
      <c r="AT113" s="61" t="e">
        <v>#N/A</v>
      </c>
      <c r="AU113" s="61" t="e">
        <v>#N/A</v>
      </c>
      <c r="AV113" s="61" t="e">
        <v>#N/A</v>
      </c>
      <c r="AW113" s="61" t="e">
        <v>#N/A</v>
      </c>
      <c r="AX113" s="65" t="e">
        <v>#N/A</v>
      </c>
      <c r="AY113" s="66" t="s">
        <v>121</v>
      </c>
      <c r="AZ113" s="61" t="s">
        <v>121</v>
      </c>
      <c r="BA113" s="61">
        <v>82.384</v>
      </c>
      <c r="BB113" s="61">
        <v>82.384</v>
      </c>
      <c r="BC113" s="61" t="s">
        <v>121</v>
      </c>
      <c r="BD113" s="61" t="s">
        <v>121</v>
      </c>
      <c r="BE113" s="61" t="s">
        <v>121</v>
      </c>
      <c r="BF113" s="61" t="s">
        <v>121</v>
      </c>
      <c r="BG113" s="61">
        <v>1.8680000000000001</v>
      </c>
      <c r="BH113" s="61" t="s">
        <v>121</v>
      </c>
      <c r="BI113" s="61">
        <v>1.0999999999999999E-2</v>
      </c>
      <c r="BJ113" s="61">
        <v>1.88</v>
      </c>
      <c r="BK113" s="66">
        <v>1.88</v>
      </c>
      <c r="BL113" s="67">
        <v>1.5529999999999999</v>
      </c>
      <c r="BM113" s="61" t="s">
        <v>121</v>
      </c>
      <c r="BN113" s="61" t="s">
        <v>121</v>
      </c>
      <c r="BO113" s="61" t="s">
        <v>121</v>
      </c>
      <c r="BP113" s="61">
        <v>1.5529999999999999</v>
      </c>
      <c r="BQ113" s="61">
        <v>312.41500000000002</v>
      </c>
      <c r="BR113" s="61">
        <v>3.22</v>
      </c>
      <c r="BS113" s="61" t="s">
        <v>121</v>
      </c>
      <c r="BT113" s="61" t="s">
        <v>121</v>
      </c>
      <c r="BU113" s="61">
        <v>0.124</v>
      </c>
      <c r="BV113" s="61">
        <v>0.107</v>
      </c>
      <c r="BW113" s="61">
        <v>0.23100000000000001</v>
      </c>
      <c r="BX113" s="67">
        <v>315.86500000000001</v>
      </c>
      <c r="BY113" s="68">
        <v>70941</v>
      </c>
      <c r="BZ113" s="68">
        <v>91289</v>
      </c>
      <c r="CA113" s="69">
        <v>1501</v>
      </c>
      <c r="CB113" s="68">
        <v>126305</v>
      </c>
      <c r="CC113" s="68">
        <v>2607</v>
      </c>
      <c r="CD113" s="61"/>
      <c r="CE113" s="64"/>
      <c r="CF113" s="64"/>
      <c r="CG113" s="70">
        <f t="shared" si="6"/>
        <v>5304.81</v>
      </c>
      <c r="CH113" s="70">
        <f t="shared" si="7"/>
        <v>63.042000000000002</v>
      </c>
      <c r="CI113" s="70">
        <f t="shared" si="8"/>
        <v>109.494</v>
      </c>
      <c r="CJ113" s="70">
        <f t="shared" si="10"/>
        <v>2979.5219999999999</v>
      </c>
      <c r="CK113" s="70">
        <f t="shared" si="10"/>
        <v>3834.1379999999999</v>
      </c>
      <c r="CL113" s="70">
        <f t="shared" si="9"/>
        <v>109.494</v>
      </c>
      <c r="CM113" s="61"/>
      <c r="CN113" s="61"/>
      <c r="CO113" s="61"/>
      <c r="CP113" s="61"/>
      <c r="CQ113" s="61"/>
      <c r="CR113" s="61"/>
      <c r="CS113" s="61"/>
      <c r="CT113" s="61"/>
      <c r="CU113" s="61"/>
      <c r="CV113" s="61"/>
      <c r="CW113" s="61"/>
      <c r="CX113" s="61"/>
      <c r="CY113" s="61"/>
      <c r="CZ113" s="61"/>
      <c r="DA113" s="61"/>
      <c r="DB113" s="61"/>
      <c r="DC113" s="61"/>
      <c r="DD113" s="61"/>
      <c r="DE113" s="61"/>
      <c r="DF113" s="61"/>
      <c r="DG113" s="61"/>
      <c r="DH113" s="61"/>
      <c r="DI113" s="61"/>
      <c r="DJ113" s="61"/>
      <c r="DK113" s="61"/>
      <c r="DL113" s="61"/>
      <c r="DM113" s="61"/>
      <c r="DN113" s="61"/>
      <c r="DO113" s="61"/>
      <c r="DP113" s="61"/>
      <c r="DQ113" s="61"/>
      <c r="DR113" s="61"/>
      <c r="DS113" s="61"/>
      <c r="DT113" s="61"/>
      <c r="DU113" s="61"/>
      <c r="DV113" s="61"/>
      <c r="DW113" s="61"/>
      <c r="DX113" s="61"/>
      <c r="DY113" s="61"/>
      <c r="DZ113" s="61"/>
      <c r="EA113" s="61"/>
      <c r="EB113" s="61"/>
      <c r="EC113" s="61"/>
      <c r="ED113" s="61"/>
      <c r="EE113" s="61"/>
      <c r="EF113" s="61"/>
      <c r="EG113" s="61"/>
      <c r="EH113" s="61"/>
      <c r="EI113" s="61"/>
      <c r="EJ113" s="61"/>
      <c r="EK113" s="61"/>
      <c r="EL113" s="61"/>
      <c r="EM113" s="61"/>
      <c r="EN113" s="61"/>
      <c r="EO113" s="61"/>
      <c r="EP113" s="61"/>
      <c r="EQ113" s="61"/>
      <c r="ER113" s="61"/>
      <c r="ES113" s="61"/>
      <c r="ET113" s="61"/>
      <c r="EU113" s="61"/>
      <c r="EV113" s="61"/>
      <c r="EW113" s="61"/>
    </row>
    <row r="114" spans="1:153">
      <c r="A114" s="56">
        <v>30042</v>
      </c>
      <c r="B114" s="57"/>
      <c r="C114" s="7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71"/>
      <c r="P114" s="60">
        <v>206.24</v>
      </c>
      <c r="Q114" s="61">
        <v>2.8279999999999998</v>
      </c>
      <c r="R114" s="61">
        <v>218.821</v>
      </c>
      <c r="S114" s="61">
        <v>517.12800000000004</v>
      </c>
      <c r="T114" s="61">
        <v>295.06099999999998</v>
      </c>
      <c r="U114" s="61">
        <v>3.2469999999999999</v>
      </c>
      <c r="V114" s="61" t="s">
        <v>121</v>
      </c>
      <c r="W114" s="61" t="s">
        <v>121</v>
      </c>
      <c r="X114" s="61">
        <v>206.24</v>
      </c>
      <c r="Y114" s="61">
        <v>9.7530000000000001</v>
      </c>
      <c r="Z114" s="61">
        <v>2.8279999999999998</v>
      </c>
      <c r="AA114" s="61">
        <v>218.821</v>
      </c>
      <c r="AB114" s="60">
        <v>517.12800000000004</v>
      </c>
      <c r="AC114" s="62"/>
      <c r="AD114" s="61"/>
      <c r="AE114" s="61"/>
      <c r="AF114" s="61"/>
      <c r="AG114" s="61"/>
      <c r="AH114" s="61"/>
      <c r="AI114" s="61"/>
      <c r="AJ114" s="61"/>
      <c r="AK114" s="62"/>
      <c r="AL114" s="63"/>
      <c r="AM114" s="64"/>
      <c r="AN114" s="65" t="e">
        <v>#N/A</v>
      </c>
      <c r="AO114" s="61" t="e">
        <v>#N/A</v>
      </c>
      <c r="AP114" s="61" t="e">
        <v>#N/A</v>
      </c>
      <c r="AQ114" s="61" t="e">
        <v>#N/A</v>
      </c>
      <c r="AR114" s="61" t="e">
        <v>#N/A</v>
      </c>
      <c r="AS114" s="61" t="e">
        <v>#N/A</v>
      </c>
      <c r="AT114" s="61" t="e">
        <v>#N/A</v>
      </c>
      <c r="AU114" s="61" t="e">
        <v>#N/A</v>
      </c>
      <c r="AV114" s="61" t="e">
        <v>#N/A</v>
      </c>
      <c r="AW114" s="61" t="e">
        <v>#N/A</v>
      </c>
      <c r="AX114" s="65" t="e">
        <v>#N/A</v>
      </c>
      <c r="AY114" s="66" t="s">
        <v>121</v>
      </c>
      <c r="AZ114" s="61" t="s">
        <v>121</v>
      </c>
      <c r="BA114" s="61">
        <v>79.725999999999999</v>
      </c>
      <c r="BB114" s="61">
        <v>79.725999999999999</v>
      </c>
      <c r="BC114" s="61" t="s">
        <v>121</v>
      </c>
      <c r="BD114" s="61" t="s">
        <v>121</v>
      </c>
      <c r="BE114" s="61" t="s">
        <v>121</v>
      </c>
      <c r="BF114" s="61" t="s">
        <v>121</v>
      </c>
      <c r="BG114" s="61">
        <v>1.8080000000000001</v>
      </c>
      <c r="BH114" s="61" t="s">
        <v>121</v>
      </c>
      <c r="BI114" s="61">
        <v>1.0999999999999999E-2</v>
      </c>
      <c r="BJ114" s="61">
        <v>1.819</v>
      </c>
      <c r="BK114" s="66">
        <v>1.819</v>
      </c>
      <c r="BL114" s="67">
        <v>1.5029999999999999</v>
      </c>
      <c r="BM114" s="61" t="s">
        <v>121</v>
      </c>
      <c r="BN114" s="61" t="s">
        <v>121</v>
      </c>
      <c r="BO114" s="61" t="s">
        <v>121</v>
      </c>
      <c r="BP114" s="61">
        <v>1.5029999999999999</v>
      </c>
      <c r="BQ114" s="61">
        <v>291.95800000000003</v>
      </c>
      <c r="BR114" s="61">
        <v>3.2469999999999999</v>
      </c>
      <c r="BS114" s="61" t="s">
        <v>121</v>
      </c>
      <c r="BT114" s="61" t="s">
        <v>121</v>
      </c>
      <c r="BU114" s="61">
        <v>0.10299999999999999</v>
      </c>
      <c r="BV114" s="61">
        <v>0.08</v>
      </c>
      <c r="BW114" s="61">
        <v>0.183</v>
      </c>
      <c r="BX114" s="67">
        <v>295.38799999999998</v>
      </c>
      <c r="BY114" s="68">
        <v>70742</v>
      </c>
      <c r="BZ114" s="68">
        <v>89338</v>
      </c>
      <c r="CA114" s="69">
        <v>1780</v>
      </c>
      <c r="CB114" s="68">
        <v>107958</v>
      </c>
      <c r="CC114" s="68">
        <v>1919</v>
      </c>
      <c r="CD114" s="61"/>
      <c r="CE114" s="64"/>
      <c r="CF114" s="64"/>
      <c r="CG114" s="70">
        <f t="shared" si="6"/>
        <v>4534.2359999999999</v>
      </c>
      <c r="CH114" s="70">
        <f t="shared" si="7"/>
        <v>74.760000000000005</v>
      </c>
      <c r="CI114" s="70">
        <f t="shared" si="8"/>
        <v>80.597999999999999</v>
      </c>
      <c r="CJ114" s="70">
        <f t="shared" si="10"/>
        <v>2971.1640000000002</v>
      </c>
      <c r="CK114" s="70">
        <f t="shared" si="10"/>
        <v>3752.1959999999999</v>
      </c>
      <c r="CL114" s="70">
        <f t="shared" si="9"/>
        <v>80.597999999999999</v>
      </c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61"/>
      <c r="DA114" s="61"/>
      <c r="DB114" s="61"/>
      <c r="DC114" s="61"/>
      <c r="DD114" s="61"/>
      <c r="DE114" s="61"/>
      <c r="DF114" s="61"/>
      <c r="DG114" s="61"/>
      <c r="DH114" s="61"/>
      <c r="DI114" s="61"/>
      <c r="DJ114" s="61"/>
      <c r="DK114" s="61"/>
      <c r="DL114" s="61"/>
      <c r="DM114" s="61"/>
      <c r="DN114" s="61"/>
      <c r="DO114" s="61"/>
      <c r="DP114" s="61"/>
      <c r="DQ114" s="61"/>
      <c r="DR114" s="61"/>
      <c r="DS114" s="61"/>
      <c r="DT114" s="61"/>
      <c r="DU114" s="61"/>
      <c r="DV114" s="61"/>
      <c r="DW114" s="61"/>
      <c r="DX114" s="61"/>
      <c r="DY114" s="61"/>
      <c r="DZ114" s="61"/>
      <c r="EA114" s="61"/>
      <c r="EB114" s="61"/>
      <c r="EC114" s="61"/>
      <c r="ED114" s="61"/>
      <c r="EE114" s="61"/>
      <c r="EF114" s="61"/>
      <c r="EG114" s="61"/>
      <c r="EH114" s="61"/>
      <c r="EI114" s="61"/>
      <c r="EJ114" s="61"/>
      <c r="EK114" s="61"/>
      <c r="EL114" s="61"/>
      <c r="EM114" s="61"/>
      <c r="EN114" s="61"/>
      <c r="EO114" s="61"/>
      <c r="EP114" s="61"/>
      <c r="EQ114" s="61"/>
      <c r="ER114" s="61"/>
      <c r="ES114" s="61"/>
      <c r="ET114" s="61"/>
      <c r="EU114" s="61"/>
      <c r="EV114" s="61"/>
      <c r="EW114" s="61"/>
    </row>
    <row r="115" spans="1:153">
      <c r="A115" s="56">
        <v>30072</v>
      </c>
      <c r="B115" s="57"/>
      <c r="C115" s="7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71"/>
      <c r="P115" s="60">
        <v>213.101</v>
      </c>
      <c r="Q115" s="61">
        <v>2.9220000000000002</v>
      </c>
      <c r="R115" s="61">
        <v>226.13499999999999</v>
      </c>
      <c r="S115" s="61">
        <v>525.79499999999996</v>
      </c>
      <c r="T115" s="61">
        <v>295.887</v>
      </c>
      <c r="U115" s="61">
        <v>3.7730000000000001</v>
      </c>
      <c r="V115" s="61" t="s">
        <v>121</v>
      </c>
      <c r="W115" s="61" t="s">
        <v>121</v>
      </c>
      <c r="X115" s="61">
        <v>213.101</v>
      </c>
      <c r="Y115" s="61">
        <v>10.112</v>
      </c>
      <c r="Z115" s="61">
        <v>2.9220000000000002</v>
      </c>
      <c r="AA115" s="61">
        <v>226.13499999999999</v>
      </c>
      <c r="AB115" s="60">
        <v>525.79499999999996</v>
      </c>
      <c r="AC115" s="62"/>
      <c r="AD115" s="61"/>
      <c r="AE115" s="61"/>
      <c r="AF115" s="61"/>
      <c r="AG115" s="61"/>
      <c r="AH115" s="61"/>
      <c r="AI115" s="61"/>
      <c r="AJ115" s="61"/>
      <c r="AK115" s="62"/>
      <c r="AL115" s="63"/>
      <c r="AM115" s="64"/>
      <c r="AN115" s="65" t="e">
        <v>#N/A</v>
      </c>
      <c r="AO115" s="61" t="e">
        <v>#N/A</v>
      </c>
      <c r="AP115" s="61" t="e">
        <v>#N/A</v>
      </c>
      <c r="AQ115" s="61" t="e">
        <v>#N/A</v>
      </c>
      <c r="AR115" s="61" t="e">
        <v>#N/A</v>
      </c>
      <c r="AS115" s="61" t="e">
        <v>#N/A</v>
      </c>
      <c r="AT115" s="61" t="e">
        <v>#N/A</v>
      </c>
      <c r="AU115" s="61" t="e">
        <v>#N/A</v>
      </c>
      <c r="AV115" s="61" t="e">
        <v>#N/A</v>
      </c>
      <c r="AW115" s="61" t="e">
        <v>#N/A</v>
      </c>
      <c r="AX115" s="65" t="e">
        <v>#N/A</v>
      </c>
      <c r="AY115" s="66" t="s">
        <v>121</v>
      </c>
      <c r="AZ115" s="61" t="s">
        <v>121</v>
      </c>
      <c r="BA115" s="61">
        <v>82.384</v>
      </c>
      <c r="BB115" s="61">
        <v>82.384</v>
      </c>
      <c r="BC115" s="61" t="s">
        <v>121</v>
      </c>
      <c r="BD115" s="61" t="s">
        <v>121</v>
      </c>
      <c r="BE115" s="61" t="s">
        <v>121</v>
      </c>
      <c r="BF115" s="61" t="s">
        <v>121</v>
      </c>
      <c r="BG115" s="61">
        <v>1.8680000000000001</v>
      </c>
      <c r="BH115" s="61" t="s">
        <v>121</v>
      </c>
      <c r="BI115" s="61">
        <v>1.0999999999999999E-2</v>
      </c>
      <c r="BJ115" s="61">
        <v>1.88</v>
      </c>
      <c r="BK115" s="66">
        <v>1.88</v>
      </c>
      <c r="BL115" s="67">
        <v>1.5529999999999999</v>
      </c>
      <c r="BM115" s="61" t="s">
        <v>121</v>
      </c>
      <c r="BN115" s="61" t="s">
        <v>121</v>
      </c>
      <c r="BO115" s="61" t="s">
        <v>121</v>
      </c>
      <c r="BP115" s="61">
        <v>1.5529999999999999</v>
      </c>
      <c r="BQ115" s="61">
        <v>292.40800000000002</v>
      </c>
      <c r="BR115" s="61">
        <v>3.7730000000000001</v>
      </c>
      <c r="BS115" s="61" t="s">
        <v>121</v>
      </c>
      <c r="BT115" s="61" t="s">
        <v>121</v>
      </c>
      <c r="BU115" s="61">
        <v>9.2999999999999999E-2</v>
      </c>
      <c r="BV115" s="61">
        <v>0.11700000000000001</v>
      </c>
      <c r="BW115" s="61">
        <v>0.20899999999999999</v>
      </c>
      <c r="BX115" s="67">
        <v>296.39</v>
      </c>
      <c r="BY115" s="68">
        <v>81168</v>
      </c>
      <c r="BZ115" s="68">
        <v>75776</v>
      </c>
      <c r="CA115" s="69">
        <v>2293</v>
      </c>
      <c r="CB115" s="68">
        <v>113644</v>
      </c>
      <c r="CC115" s="68">
        <v>2315</v>
      </c>
      <c r="CD115" s="61"/>
      <c r="CE115" s="64"/>
      <c r="CF115" s="64"/>
      <c r="CG115" s="70">
        <f t="shared" si="6"/>
        <v>4773.0479999999998</v>
      </c>
      <c r="CH115" s="70">
        <f t="shared" si="7"/>
        <v>96.305999999999997</v>
      </c>
      <c r="CI115" s="70">
        <f t="shared" si="8"/>
        <v>97.23</v>
      </c>
      <c r="CJ115" s="70">
        <f t="shared" si="10"/>
        <v>3409.056</v>
      </c>
      <c r="CK115" s="70">
        <f t="shared" si="10"/>
        <v>3182.5920000000001</v>
      </c>
      <c r="CL115" s="70">
        <f t="shared" si="9"/>
        <v>97.23</v>
      </c>
      <c r="CM115" s="61"/>
      <c r="CN115" s="61"/>
      <c r="CO115" s="61"/>
      <c r="CP115" s="61"/>
      <c r="CQ115" s="61"/>
      <c r="CR115" s="61"/>
      <c r="CS115" s="61"/>
      <c r="CT115" s="61"/>
      <c r="CU115" s="61"/>
      <c r="CV115" s="61"/>
      <c r="CW115" s="61"/>
      <c r="CX115" s="61"/>
      <c r="CY115" s="61"/>
      <c r="CZ115" s="61"/>
      <c r="DA115" s="61"/>
      <c r="DB115" s="61"/>
      <c r="DC115" s="61"/>
      <c r="DD115" s="61"/>
      <c r="DE115" s="61"/>
      <c r="DF115" s="61"/>
      <c r="DG115" s="61"/>
      <c r="DH115" s="61"/>
      <c r="DI115" s="61"/>
      <c r="DJ115" s="61"/>
      <c r="DK115" s="61"/>
      <c r="DL115" s="61"/>
      <c r="DM115" s="61"/>
      <c r="DN115" s="61"/>
      <c r="DO115" s="61"/>
      <c r="DP115" s="61"/>
      <c r="DQ115" s="61"/>
      <c r="DR115" s="61"/>
      <c r="DS115" s="61"/>
      <c r="DT115" s="61"/>
      <c r="DU115" s="61"/>
      <c r="DV115" s="61"/>
      <c r="DW115" s="61"/>
      <c r="DX115" s="61"/>
      <c r="DY115" s="61"/>
      <c r="DZ115" s="61"/>
      <c r="EA115" s="61"/>
      <c r="EB115" s="61"/>
      <c r="EC115" s="61"/>
      <c r="ED115" s="61"/>
      <c r="EE115" s="61"/>
      <c r="EF115" s="61"/>
      <c r="EG115" s="61"/>
      <c r="EH115" s="61"/>
      <c r="EI115" s="61"/>
      <c r="EJ115" s="61"/>
      <c r="EK115" s="61"/>
      <c r="EL115" s="61"/>
      <c r="EM115" s="61"/>
      <c r="EN115" s="61"/>
      <c r="EO115" s="61"/>
      <c r="EP115" s="61"/>
      <c r="EQ115" s="61"/>
      <c r="ER115" s="61"/>
      <c r="ES115" s="61"/>
      <c r="ET115" s="61"/>
      <c r="EU115" s="61"/>
      <c r="EV115" s="61"/>
      <c r="EW115" s="61"/>
    </row>
    <row r="116" spans="1:153">
      <c r="A116" s="56">
        <v>30103</v>
      </c>
      <c r="B116" s="57"/>
      <c r="C116" s="7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71"/>
      <c r="P116" s="60">
        <v>206.255</v>
      </c>
      <c r="Q116" s="61">
        <v>2.8279999999999998</v>
      </c>
      <c r="R116" s="61">
        <v>218.86600000000001</v>
      </c>
      <c r="S116" s="61">
        <v>518.97400000000005</v>
      </c>
      <c r="T116" s="61">
        <v>295.55200000000002</v>
      </c>
      <c r="U116" s="61">
        <v>4.556</v>
      </c>
      <c r="V116" s="61" t="s">
        <v>121</v>
      </c>
      <c r="W116" s="61" t="s">
        <v>121</v>
      </c>
      <c r="X116" s="61">
        <v>206.255</v>
      </c>
      <c r="Y116" s="61">
        <v>9.7840000000000007</v>
      </c>
      <c r="Z116" s="61">
        <v>2.8279999999999998</v>
      </c>
      <c r="AA116" s="61">
        <v>218.86600000000001</v>
      </c>
      <c r="AB116" s="60">
        <v>518.97400000000005</v>
      </c>
      <c r="AC116" s="62"/>
      <c r="AD116" s="61"/>
      <c r="AE116" s="61"/>
      <c r="AF116" s="61"/>
      <c r="AG116" s="61"/>
      <c r="AH116" s="61"/>
      <c r="AI116" s="61"/>
      <c r="AJ116" s="61"/>
      <c r="AK116" s="62"/>
      <c r="AL116" s="63"/>
      <c r="AM116" s="64"/>
      <c r="AN116" s="65" t="e">
        <v>#N/A</v>
      </c>
      <c r="AO116" s="61" t="e">
        <v>#N/A</v>
      </c>
      <c r="AP116" s="61" t="e">
        <v>#N/A</v>
      </c>
      <c r="AQ116" s="61" t="e">
        <v>#N/A</v>
      </c>
      <c r="AR116" s="61" t="e">
        <v>#N/A</v>
      </c>
      <c r="AS116" s="61" t="e">
        <v>#N/A</v>
      </c>
      <c r="AT116" s="61" t="e">
        <v>#N/A</v>
      </c>
      <c r="AU116" s="61" t="e">
        <v>#N/A</v>
      </c>
      <c r="AV116" s="61" t="e">
        <v>#N/A</v>
      </c>
      <c r="AW116" s="61" t="e">
        <v>#N/A</v>
      </c>
      <c r="AX116" s="65" t="e">
        <v>#N/A</v>
      </c>
      <c r="AY116" s="66" t="s">
        <v>121</v>
      </c>
      <c r="AZ116" s="61" t="s">
        <v>121</v>
      </c>
      <c r="BA116" s="61">
        <v>79.725999999999999</v>
      </c>
      <c r="BB116" s="61">
        <v>79.725999999999999</v>
      </c>
      <c r="BC116" s="61" t="s">
        <v>121</v>
      </c>
      <c r="BD116" s="61" t="s">
        <v>121</v>
      </c>
      <c r="BE116" s="61" t="s">
        <v>121</v>
      </c>
      <c r="BF116" s="61" t="s">
        <v>121</v>
      </c>
      <c r="BG116" s="61">
        <v>1.8080000000000001</v>
      </c>
      <c r="BH116" s="61" t="s">
        <v>121</v>
      </c>
      <c r="BI116" s="61">
        <v>1.0999999999999999E-2</v>
      </c>
      <c r="BJ116" s="61">
        <v>1.819</v>
      </c>
      <c r="BK116" s="66">
        <v>1.819</v>
      </c>
      <c r="BL116" s="67">
        <v>1.5029999999999999</v>
      </c>
      <c r="BM116" s="61" t="s">
        <v>121</v>
      </c>
      <c r="BN116" s="61" t="s">
        <v>121</v>
      </c>
      <c r="BO116" s="61" t="s">
        <v>121</v>
      </c>
      <c r="BP116" s="61">
        <v>1.5029999999999999</v>
      </c>
      <c r="BQ116" s="61">
        <v>292.21899999999999</v>
      </c>
      <c r="BR116" s="61">
        <v>4.556</v>
      </c>
      <c r="BS116" s="61" t="s">
        <v>121</v>
      </c>
      <c r="BT116" s="61" t="s">
        <v>121</v>
      </c>
      <c r="BU116" s="61">
        <v>0.11799999999999999</v>
      </c>
      <c r="BV116" s="61">
        <v>0.111</v>
      </c>
      <c r="BW116" s="61">
        <v>0.22800000000000001</v>
      </c>
      <c r="BX116" s="67">
        <v>297.00299999999999</v>
      </c>
      <c r="BY116" s="68">
        <v>81883</v>
      </c>
      <c r="BZ116" s="68">
        <v>73547</v>
      </c>
      <c r="CA116" s="69">
        <v>3054</v>
      </c>
      <c r="CB116" s="68">
        <v>123688</v>
      </c>
      <c r="CC116" s="68">
        <v>1650</v>
      </c>
      <c r="CD116" s="61"/>
      <c r="CE116" s="64"/>
      <c r="CF116" s="64"/>
      <c r="CG116" s="70">
        <f t="shared" si="6"/>
        <v>5194.8959999999997</v>
      </c>
      <c r="CH116" s="70">
        <f t="shared" si="7"/>
        <v>128.268</v>
      </c>
      <c r="CI116" s="70">
        <f t="shared" si="8"/>
        <v>69.3</v>
      </c>
      <c r="CJ116" s="70">
        <f t="shared" si="10"/>
        <v>3439.0859999999998</v>
      </c>
      <c r="CK116" s="70">
        <f t="shared" si="10"/>
        <v>3088.9740000000002</v>
      </c>
      <c r="CL116" s="70">
        <f t="shared" si="9"/>
        <v>69.3</v>
      </c>
      <c r="CM116" s="61"/>
      <c r="CN116" s="61"/>
      <c r="CO116" s="61"/>
      <c r="CP116" s="61"/>
      <c r="CQ116" s="61"/>
      <c r="CR116" s="61"/>
      <c r="CS116" s="61"/>
      <c r="CT116" s="61"/>
      <c r="CU116" s="61"/>
      <c r="CV116" s="61"/>
      <c r="CW116" s="61"/>
      <c r="CX116" s="61"/>
      <c r="CY116" s="61"/>
      <c r="CZ116" s="61"/>
      <c r="DA116" s="61"/>
      <c r="DB116" s="61"/>
      <c r="DC116" s="61"/>
      <c r="DD116" s="61"/>
      <c r="DE116" s="61"/>
      <c r="DF116" s="61"/>
      <c r="DG116" s="61"/>
      <c r="DH116" s="61"/>
      <c r="DI116" s="61"/>
      <c r="DJ116" s="61"/>
      <c r="DK116" s="61"/>
      <c r="DL116" s="61"/>
      <c r="DM116" s="61"/>
      <c r="DN116" s="61"/>
      <c r="DO116" s="61"/>
      <c r="DP116" s="61"/>
      <c r="DQ116" s="61"/>
      <c r="DR116" s="61"/>
      <c r="DS116" s="61"/>
      <c r="DT116" s="61"/>
      <c r="DU116" s="61"/>
      <c r="DV116" s="61"/>
      <c r="DW116" s="61"/>
      <c r="DX116" s="61"/>
      <c r="DY116" s="61"/>
      <c r="DZ116" s="61"/>
      <c r="EA116" s="61"/>
      <c r="EB116" s="61"/>
      <c r="EC116" s="61"/>
      <c r="ED116" s="61"/>
      <c r="EE116" s="61"/>
      <c r="EF116" s="61"/>
      <c r="EG116" s="61"/>
      <c r="EH116" s="61"/>
      <c r="EI116" s="61"/>
      <c r="EJ116" s="61"/>
      <c r="EK116" s="61"/>
      <c r="EL116" s="61"/>
      <c r="EM116" s="61"/>
      <c r="EN116" s="61"/>
      <c r="EO116" s="61"/>
      <c r="EP116" s="61"/>
      <c r="EQ116" s="61"/>
      <c r="ER116" s="61"/>
      <c r="ES116" s="61"/>
      <c r="ET116" s="61"/>
      <c r="EU116" s="61"/>
      <c r="EV116" s="61"/>
      <c r="EW116" s="61"/>
    </row>
    <row r="117" spans="1:153">
      <c r="A117" s="56">
        <v>30133</v>
      </c>
      <c r="B117" s="57"/>
      <c r="C117" s="7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71"/>
      <c r="P117" s="60">
        <v>213.14599999999999</v>
      </c>
      <c r="Q117" s="61">
        <v>2.9220000000000002</v>
      </c>
      <c r="R117" s="61">
        <v>226.202</v>
      </c>
      <c r="S117" s="61">
        <v>519.26700000000005</v>
      </c>
      <c r="T117" s="61">
        <v>288.27300000000002</v>
      </c>
      <c r="U117" s="61">
        <v>4.7919999999999998</v>
      </c>
      <c r="V117" s="61" t="s">
        <v>121</v>
      </c>
      <c r="W117" s="61" t="s">
        <v>121</v>
      </c>
      <c r="X117" s="61">
        <v>213.14599999999999</v>
      </c>
      <c r="Y117" s="61">
        <v>10.135</v>
      </c>
      <c r="Z117" s="61">
        <v>2.9220000000000002</v>
      </c>
      <c r="AA117" s="61">
        <v>226.202</v>
      </c>
      <c r="AB117" s="60">
        <v>519.26700000000005</v>
      </c>
      <c r="AC117" s="62"/>
      <c r="AD117" s="61"/>
      <c r="AE117" s="61"/>
      <c r="AF117" s="61"/>
      <c r="AG117" s="61"/>
      <c r="AH117" s="61"/>
      <c r="AI117" s="61"/>
      <c r="AJ117" s="61"/>
      <c r="AK117" s="62"/>
      <c r="AL117" s="63"/>
      <c r="AM117" s="64"/>
      <c r="AN117" s="65" t="e">
        <v>#N/A</v>
      </c>
      <c r="AO117" s="61" t="e">
        <v>#N/A</v>
      </c>
      <c r="AP117" s="61" t="e">
        <v>#N/A</v>
      </c>
      <c r="AQ117" s="61" t="e">
        <v>#N/A</v>
      </c>
      <c r="AR117" s="61" t="e">
        <v>#N/A</v>
      </c>
      <c r="AS117" s="61" t="e">
        <v>#N/A</v>
      </c>
      <c r="AT117" s="61" t="e">
        <v>#N/A</v>
      </c>
      <c r="AU117" s="61" t="e">
        <v>#N/A</v>
      </c>
      <c r="AV117" s="61" t="e">
        <v>#N/A</v>
      </c>
      <c r="AW117" s="61" t="e">
        <v>#N/A</v>
      </c>
      <c r="AX117" s="65" t="e">
        <v>#N/A</v>
      </c>
      <c r="AY117" s="66" t="s">
        <v>121</v>
      </c>
      <c r="AZ117" s="61" t="s">
        <v>121</v>
      </c>
      <c r="BA117" s="61">
        <v>82.384</v>
      </c>
      <c r="BB117" s="61">
        <v>82.384</v>
      </c>
      <c r="BC117" s="61" t="s">
        <v>121</v>
      </c>
      <c r="BD117" s="61" t="s">
        <v>121</v>
      </c>
      <c r="BE117" s="61" t="s">
        <v>121</v>
      </c>
      <c r="BF117" s="61" t="s">
        <v>121</v>
      </c>
      <c r="BG117" s="61">
        <v>1.8680000000000001</v>
      </c>
      <c r="BH117" s="61" t="s">
        <v>121</v>
      </c>
      <c r="BI117" s="61">
        <v>1.0999999999999999E-2</v>
      </c>
      <c r="BJ117" s="61">
        <v>1.88</v>
      </c>
      <c r="BK117" s="66">
        <v>1.88</v>
      </c>
      <c r="BL117" s="67">
        <v>1.5529999999999999</v>
      </c>
      <c r="BM117" s="61" t="s">
        <v>121</v>
      </c>
      <c r="BN117" s="61" t="s">
        <v>121</v>
      </c>
      <c r="BO117" s="61" t="s">
        <v>121</v>
      </c>
      <c r="BP117" s="61">
        <v>1.5529999999999999</v>
      </c>
      <c r="BQ117" s="61">
        <v>285.33</v>
      </c>
      <c r="BR117" s="61">
        <v>4.7919999999999998</v>
      </c>
      <c r="BS117" s="61" t="s">
        <v>121</v>
      </c>
      <c r="BT117" s="61" t="s">
        <v>121</v>
      </c>
      <c r="BU117" s="61">
        <v>0.13700000000000001</v>
      </c>
      <c r="BV117" s="61">
        <v>0.13900000000000001</v>
      </c>
      <c r="BW117" s="61">
        <v>0.27600000000000002</v>
      </c>
      <c r="BX117" s="67">
        <v>290.39800000000002</v>
      </c>
      <c r="BY117" s="68">
        <v>84757</v>
      </c>
      <c r="BZ117" s="68">
        <v>63786</v>
      </c>
      <c r="CA117" s="69">
        <v>3872</v>
      </c>
      <c r="CB117" s="68">
        <v>148150</v>
      </c>
      <c r="CC117" s="68">
        <v>738</v>
      </c>
      <c r="CD117" s="61"/>
      <c r="CE117" s="64"/>
      <c r="CF117" s="64"/>
      <c r="CG117" s="70">
        <f t="shared" si="6"/>
        <v>6222.3</v>
      </c>
      <c r="CH117" s="70">
        <f t="shared" si="7"/>
        <v>162.624</v>
      </c>
      <c r="CI117" s="70">
        <f t="shared" si="8"/>
        <v>30.995999999999999</v>
      </c>
      <c r="CJ117" s="70">
        <f t="shared" si="10"/>
        <v>3559.7939999999999</v>
      </c>
      <c r="CK117" s="70">
        <f t="shared" si="10"/>
        <v>2679.0120000000002</v>
      </c>
      <c r="CL117" s="70">
        <f t="shared" si="9"/>
        <v>30.995999999999999</v>
      </c>
      <c r="CM117" s="61"/>
      <c r="CN117" s="61"/>
      <c r="CO117" s="61"/>
      <c r="CP117" s="61"/>
      <c r="CQ117" s="61"/>
      <c r="CR117" s="61"/>
      <c r="CS117" s="61"/>
      <c r="CT117" s="61"/>
      <c r="CU117" s="61"/>
      <c r="CV117" s="61"/>
      <c r="CW117" s="61"/>
      <c r="CX117" s="61"/>
      <c r="CY117" s="61"/>
      <c r="CZ117" s="61"/>
      <c r="DA117" s="61"/>
      <c r="DB117" s="61"/>
      <c r="DC117" s="61"/>
      <c r="DD117" s="61"/>
      <c r="DE117" s="61"/>
      <c r="DF117" s="61"/>
      <c r="DG117" s="61"/>
      <c r="DH117" s="61"/>
      <c r="DI117" s="61"/>
      <c r="DJ117" s="61"/>
      <c r="DK117" s="61"/>
      <c r="DL117" s="61"/>
      <c r="DM117" s="61"/>
      <c r="DN117" s="61"/>
      <c r="DO117" s="61"/>
      <c r="DP117" s="61"/>
      <c r="DQ117" s="61"/>
      <c r="DR117" s="61"/>
      <c r="DS117" s="61"/>
      <c r="DT117" s="61"/>
      <c r="DU117" s="61"/>
      <c r="DV117" s="61"/>
      <c r="DW117" s="61"/>
      <c r="DX117" s="61"/>
      <c r="DY117" s="61"/>
      <c r="DZ117" s="61"/>
      <c r="EA117" s="61"/>
      <c r="EB117" s="61"/>
      <c r="EC117" s="61"/>
      <c r="ED117" s="61"/>
      <c r="EE117" s="61"/>
      <c r="EF117" s="61"/>
      <c r="EG117" s="61"/>
      <c r="EH117" s="61"/>
      <c r="EI117" s="61"/>
      <c r="EJ117" s="61"/>
      <c r="EK117" s="61"/>
      <c r="EL117" s="61"/>
      <c r="EM117" s="61"/>
      <c r="EN117" s="61"/>
      <c r="EO117" s="61"/>
      <c r="EP117" s="61"/>
      <c r="EQ117" s="61"/>
      <c r="ER117" s="61"/>
      <c r="ES117" s="61"/>
      <c r="ET117" s="61"/>
      <c r="EU117" s="61"/>
      <c r="EV117" s="61"/>
      <c r="EW117" s="61"/>
    </row>
    <row r="118" spans="1:153">
      <c r="A118" s="56">
        <v>30164</v>
      </c>
      <c r="B118" s="57"/>
      <c r="C118" s="7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71"/>
      <c r="P118" s="60">
        <v>213.15799999999999</v>
      </c>
      <c r="Q118" s="61">
        <v>2.9220000000000002</v>
      </c>
      <c r="R118" s="61">
        <v>226.16800000000001</v>
      </c>
      <c r="S118" s="61">
        <v>483.20299999999997</v>
      </c>
      <c r="T118" s="61">
        <v>252.25899999999999</v>
      </c>
      <c r="U118" s="61">
        <v>4.7759999999999998</v>
      </c>
      <c r="V118" s="61" t="s">
        <v>121</v>
      </c>
      <c r="W118" s="61" t="s">
        <v>121</v>
      </c>
      <c r="X118" s="61">
        <v>213.15799999999999</v>
      </c>
      <c r="Y118" s="61">
        <v>10.087</v>
      </c>
      <c r="Z118" s="61">
        <v>2.9220000000000002</v>
      </c>
      <c r="AA118" s="61">
        <v>226.16800000000001</v>
      </c>
      <c r="AB118" s="60">
        <v>483.20299999999997</v>
      </c>
      <c r="AC118" s="62"/>
      <c r="AD118" s="61"/>
      <c r="AE118" s="61"/>
      <c r="AF118" s="61"/>
      <c r="AG118" s="61"/>
      <c r="AH118" s="61"/>
      <c r="AI118" s="61"/>
      <c r="AJ118" s="61"/>
      <c r="AK118" s="62"/>
      <c r="AL118" s="63"/>
      <c r="AM118" s="64"/>
      <c r="AN118" s="65" t="e">
        <v>#N/A</v>
      </c>
      <c r="AO118" s="61" t="e">
        <v>#N/A</v>
      </c>
      <c r="AP118" s="61" t="e">
        <v>#N/A</v>
      </c>
      <c r="AQ118" s="61" t="e">
        <v>#N/A</v>
      </c>
      <c r="AR118" s="61" t="e">
        <v>#N/A</v>
      </c>
      <c r="AS118" s="61" t="e">
        <v>#N/A</v>
      </c>
      <c r="AT118" s="61" t="e">
        <v>#N/A</v>
      </c>
      <c r="AU118" s="61" t="e">
        <v>#N/A</v>
      </c>
      <c r="AV118" s="61" t="e">
        <v>#N/A</v>
      </c>
      <c r="AW118" s="61" t="e">
        <v>#N/A</v>
      </c>
      <c r="AX118" s="65" t="e">
        <v>#N/A</v>
      </c>
      <c r="AY118" s="66" t="s">
        <v>121</v>
      </c>
      <c r="AZ118" s="61" t="s">
        <v>121</v>
      </c>
      <c r="BA118" s="61">
        <v>82.384</v>
      </c>
      <c r="BB118" s="61">
        <v>82.384</v>
      </c>
      <c r="BC118" s="61" t="s">
        <v>121</v>
      </c>
      <c r="BD118" s="61" t="s">
        <v>121</v>
      </c>
      <c r="BE118" s="61" t="s">
        <v>121</v>
      </c>
      <c r="BF118" s="61" t="s">
        <v>121</v>
      </c>
      <c r="BG118" s="61">
        <v>1.8680000000000001</v>
      </c>
      <c r="BH118" s="61" t="s">
        <v>121</v>
      </c>
      <c r="BI118" s="61">
        <v>1.0999999999999999E-2</v>
      </c>
      <c r="BJ118" s="61">
        <v>1.88</v>
      </c>
      <c r="BK118" s="66">
        <v>1.88</v>
      </c>
      <c r="BL118" s="67">
        <v>1.5529999999999999</v>
      </c>
      <c r="BM118" s="61" t="s">
        <v>121</v>
      </c>
      <c r="BN118" s="61" t="s">
        <v>121</v>
      </c>
      <c r="BO118" s="61" t="s">
        <v>121</v>
      </c>
      <c r="BP118" s="61">
        <v>1.5529999999999999</v>
      </c>
      <c r="BQ118" s="61">
        <v>249.792</v>
      </c>
      <c r="BR118" s="61">
        <v>4.7759999999999998</v>
      </c>
      <c r="BS118" s="61" t="s">
        <v>121</v>
      </c>
      <c r="BT118" s="61" t="s">
        <v>121</v>
      </c>
      <c r="BU118" s="61">
        <v>0.15</v>
      </c>
      <c r="BV118" s="61">
        <v>9.0999999999999998E-2</v>
      </c>
      <c r="BW118" s="61">
        <v>0.24199999999999999</v>
      </c>
      <c r="BX118" s="67">
        <v>254.809</v>
      </c>
      <c r="BY118" s="68">
        <v>77730</v>
      </c>
      <c r="BZ118" s="68">
        <v>68752</v>
      </c>
      <c r="CA118" s="69">
        <v>2466</v>
      </c>
      <c r="CB118" s="68">
        <v>158658</v>
      </c>
      <c r="CC118" s="68">
        <v>1242</v>
      </c>
      <c r="CD118" s="61"/>
      <c r="CE118" s="64"/>
      <c r="CF118" s="64"/>
      <c r="CG118" s="70">
        <f t="shared" si="6"/>
        <v>6663.6360000000004</v>
      </c>
      <c r="CH118" s="70">
        <f t="shared" si="7"/>
        <v>103.572</v>
      </c>
      <c r="CI118" s="70">
        <f t="shared" si="8"/>
        <v>52.164000000000001</v>
      </c>
      <c r="CJ118" s="70">
        <f t="shared" si="10"/>
        <v>3264.66</v>
      </c>
      <c r="CK118" s="70">
        <f t="shared" si="10"/>
        <v>2887.5839999999998</v>
      </c>
      <c r="CL118" s="70">
        <f t="shared" si="9"/>
        <v>52.164000000000001</v>
      </c>
      <c r="CM118" s="61"/>
      <c r="CN118" s="61"/>
      <c r="CO118" s="61"/>
      <c r="CP118" s="61"/>
      <c r="CQ118" s="61"/>
      <c r="CR118" s="61"/>
      <c r="CS118" s="61"/>
      <c r="CT118" s="61"/>
      <c r="CU118" s="61"/>
      <c r="CV118" s="61"/>
      <c r="CW118" s="61"/>
      <c r="CX118" s="61"/>
      <c r="CY118" s="61"/>
      <c r="CZ118" s="61"/>
      <c r="DA118" s="61"/>
      <c r="DB118" s="61"/>
      <c r="DC118" s="61"/>
      <c r="DD118" s="61"/>
      <c r="DE118" s="61"/>
      <c r="DF118" s="61"/>
      <c r="DG118" s="61"/>
      <c r="DH118" s="61"/>
      <c r="DI118" s="61"/>
      <c r="DJ118" s="61"/>
      <c r="DK118" s="61"/>
      <c r="DL118" s="61"/>
      <c r="DM118" s="61"/>
      <c r="DN118" s="61"/>
      <c r="DO118" s="61"/>
      <c r="DP118" s="61"/>
      <c r="DQ118" s="61"/>
      <c r="DR118" s="61"/>
      <c r="DS118" s="61"/>
      <c r="DT118" s="61"/>
      <c r="DU118" s="61"/>
      <c r="DV118" s="61"/>
      <c r="DW118" s="61"/>
      <c r="DX118" s="61"/>
      <c r="DY118" s="61"/>
      <c r="DZ118" s="61"/>
      <c r="EA118" s="61"/>
      <c r="EB118" s="61"/>
      <c r="EC118" s="61"/>
      <c r="ED118" s="61"/>
      <c r="EE118" s="61"/>
      <c r="EF118" s="61"/>
      <c r="EG118" s="61"/>
      <c r="EH118" s="61"/>
      <c r="EI118" s="61"/>
      <c r="EJ118" s="61"/>
      <c r="EK118" s="61"/>
      <c r="EL118" s="61"/>
      <c r="EM118" s="61"/>
      <c r="EN118" s="61"/>
      <c r="EO118" s="61"/>
      <c r="EP118" s="61"/>
      <c r="EQ118" s="61"/>
      <c r="ER118" s="61"/>
      <c r="ES118" s="61"/>
      <c r="ET118" s="61"/>
      <c r="EU118" s="61"/>
      <c r="EV118" s="61"/>
      <c r="EW118" s="61"/>
    </row>
    <row r="119" spans="1:153">
      <c r="A119" s="56">
        <v>30195</v>
      </c>
      <c r="B119" s="57"/>
      <c r="C119" s="7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71"/>
      <c r="P119" s="60">
        <v>206.364</v>
      </c>
      <c r="Q119" s="61">
        <v>2.8279999999999998</v>
      </c>
      <c r="R119" s="61">
        <v>218.947</v>
      </c>
      <c r="S119" s="61">
        <v>433.74799999999999</v>
      </c>
      <c r="T119" s="61">
        <v>210.21899999999999</v>
      </c>
      <c r="U119" s="61">
        <v>4.5810000000000004</v>
      </c>
      <c r="V119" s="61" t="s">
        <v>121</v>
      </c>
      <c r="W119" s="61" t="s">
        <v>121</v>
      </c>
      <c r="X119" s="61">
        <v>206.364</v>
      </c>
      <c r="Y119" s="61">
        <v>9.7550000000000008</v>
      </c>
      <c r="Z119" s="61">
        <v>2.8279999999999998</v>
      </c>
      <c r="AA119" s="61">
        <v>218.947</v>
      </c>
      <c r="AB119" s="60">
        <v>433.74799999999999</v>
      </c>
      <c r="AC119" s="62"/>
      <c r="AD119" s="61"/>
      <c r="AE119" s="61"/>
      <c r="AF119" s="61"/>
      <c r="AG119" s="61"/>
      <c r="AH119" s="61"/>
      <c r="AI119" s="61"/>
      <c r="AJ119" s="61"/>
      <c r="AK119" s="62"/>
      <c r="AL119" s="63"/>
      <c r="AM119" s="64"/>
      <c r="AN119" s="65" t="e">
        <v>#N/A</v>
      </c>
      <c r="AO119" s="61" t="e">
        <v>#N/A</v>
      </c>
      <c r="AP119" s="61" t="e">
        <v>#N/A</v>
      </c>
      <c r="AQ119" s="61" t="e">
        <v>#N/A</v>
      </c>
      <c r="AR119" s="61" t="e">
        <v>#N/A</v>
      </c>
      <c r="AS119" s="61" t="e">
        <v>#N/A</v>
      </c>
      <c r="AT119" s="61" t="e">
        <v>#N/A</v>
      </c>
      <c r="AU119" s="61" t="e">
        <v>#N/A</v>
      </c>
      <c r="AV119" s="61" t="e">
        <v>#N/A</v>
      </c>
      <c r="AW119" s="61" t="e">
        <v>#N/A</v>
      </c>
      <c r="AX119" s="65" t="e">
        <v>#N/A</v>
      </c>
      <c r="AY119" s="66" t="s">
        <v>121</v>
      </c>
      <c r="AZ119" s="61" t="s">
        <v>121</v>
      </c>
      <c r="BA119" s="61">
        <v>79.725999999999999</v>
      </c>
      <c r="BB119" s="61">
        <v>79.725999999999999</v>
      </c>
      <c r="BC119" s="61" t="s">
        <v>121</v>
      </c>
      <c r="BD119" s="61" t="s">
        <v>121</v>
      </c>
      <c r="BE119" s="61" t="s">
        <v>121</v>
      </c>
      <c r="BF119" s="61" t="s">
        <v>121</v>
      </c>
      <c r="BG119" s="61">
        <v>1.8080000000000001</v>
      </c>
      <c r="BH119" s="61" t="s">
        <v>121</v>
      </c>
      <c r="BI119" s="61">
        <v>1.0999999999999999E-2</v>
      </c>
      <c r="BJ119" s="61">
        <v>1.819</v>
      </c>
      <c r="BK119" s="66">
        <v>1.819</v>
      </c>
      <c r="BL119" s="67">
        <v>1.5029999999999999</v>
      </c>
      <c r="BM119" s="61" t="s">
        <v>121</v>
      </c>
      <c r="BN119" s="61" t="s">
        <v>121</v>
      </c>
      <c r="BO119" s="61" t="s">
        <v>121</v>
      </c>
      <c r="BP119" s="61">
        <v>1.5029999999999999</v>
      </c>
      <c r="BQ119" s="61">
        <v>207.99100000000001</v>
      </c>
      <c r="BR119" s="61">
        <v>4.5810000000000004</v>
      </c>
      <c r="BS119" s="61" t="s">
        <v>121</v>
      </c>
      <c r="BT119" s="61" t="s">
        <v>121</v>
      </c>
      <c r="BU119" s="61">
        <v>0.22700000000000001</v>
      </c>
      <c r="BV119" s="61">
        <v>8.2000000000000003E-2</v>
      </c>
      <c r="BW119" s="61">
        <v>0.309</v>
      </c>
      <c r="BX119" s="67">
        <v>212.881</v>
      </c>
      <c r="BY119" s="68">
        <v>79694</v>
      </c>
      <c r="BZ119" s="68">
        <v>75197</v>
      </c>
      <c r="CA119" s="69">
        <v>1828</v>
      </c>
      <c r="CB119" s="68">
        <v>161199</v>
      </c>
      <c r="CC119" s="68">
        <v>4155</v>
      </c>
      <c r="CD119" s="61"/>
      <c r="CE119" s="64"/>
      <c r="CF119" s="64"/>
      <c r="CG119" s="70">
        <f t="shared" si="6"/>
        <v>6770.3580000000002</v>
      </c>
      <c r="CH119" s="70">
        <f t="shared" si="7"/>
        <v>76.775999999999996</v>
      </c>
      <c r="CI119" s="70">
        <f t="shared" si="8"/>
        <v>174.51</v>
      </c>
      <c r="CJ119" s="70">
        <f t="shared" si="10"/>
        <v>3347.1480000000001</v>
      </c>
      <c r="CK119" s="70">
        <f t="shared" si="10"/>
        <v>3158.2739999999999</v>
      </c>
      <c r="CL119" s="70">
        <f t="shared" si="9"/>
        <v>174.51</v>
      </c>
      <c r="CM119" s="61"/>
      <c r="CN119" s="61"/>
      <c r="CO119" s="61"/>
      <c r="CP119" s="61"/>
      <c r="CQ119" s="61"/>
      <c r="CR119" s="61"/>
      <c r="CS119" s="61"/>
      <c r="CT119" s="61"/>
      <c r="CU119" s="61"/>
      <c r="CV119" s="61"/>
      <c r="CW119" s="61"/>
      <c r="CX119" s="61"/>
      <c r="CY119" s="61"/>
      <c r="CZ119" s="61"/>
      <c r="DA119" s="61"/>
      <c r="DB119" s="61"/>
      <c r="DC119" s="61"/>
      <c r="DD119" s="61"/>
      <c r="DE119" s="61"/>
      <c r="DF119" s="61"/>
      <c r="DG119" s="61"/>
      <c r="DH119" s="61"/>
      <c r="DI119" s="61"/>
      <c r="DJ119" s="61"/>
      <c r="DK119" s="61"/>
      <c r="DL119" s="61"/>
      <c r="DM119" s="61"/>
      <c r="DN119" s="61"/>
      <c r="DO119" s="61"/>
      <c r="DP119" s="61"/>
      <c r="DQ119" s="61"/>
      <c r="DR119" s="61"/>
      <c r="DS119" s="61"/>
      <c r="DT119" s="61"/>
      <c r="DU119" s="61"/>
      <c r="DV119" s="61"/>
      <c r="DW119" s="61"/>
      <c r="DX119" s="61"/>
      <c r="DY119" s="61"/>
      <c r="DZ119" s="61"/>
      <c r="EA119" s="61"/>
      <c r="EB119" s="61"/>
      <c r="EC119" s="61"/>
      <c r="ED119" s="61"/>
      <c r="EE119" s="61"/>
      <c r="EF119" s="61"/>
      <c r="EG119" s="61"/>
      <c r="EH119" s="61"/>
      <c r="EI119" s="61"/>
      <c r="EJ119" s="61"/>
      <c r="EK119" s="61"/>
      <c r="EL119" s="61"/>
      <c r="EM119" s="61"/>
      <c r="EN119" s="61"/>
      <c r="EO119" s="61"/>
      <c r="EP119" s="61"/>
      <c r="EQ119" s="61"/>
      <c r="ER119" s="61"/>
      <c r="ES119" s="61"/>
      <c r="ET119" s="61"/>
      <c r="EU119" s="61"/>
      <c r="EV119" s="61"/>
      <c r="EW119" s="61"/>
    </row>
    <row r="120" spans="1:153">
      <c r="A120" s="56">
        <v>30225</v>
      </c>
      <c r="B120" s="57"/>
      <c r="C120" s="7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71"/>
      <c r="P120" s="60">
        <v>213.33199999999999</v>
      </c>
      <c r="Q120" s="61">
        <v>2.9220000000000002</v>
      </c>
      <c r="R120" s="61">
        <v>226.37299999999999</v>
      </c>
      <c r="S120" s="61">
        <v>439.87400000000002</v>
      </c>
      <c r="T120" s="61">
        <v>208.62299999999999</v>
      </c>
      <c r="U120" s="61">
        <v>4.8769999999999998</v>
      </c>
      <c r="V120" s="61" t="s">
        <v>121</v>
      </c>
      <c r="W120" s="61" t="s">
        <v>121</v>
      </c>
      <c r="X120" s="61">
        <v>213.33199999999999</v>
      </c>
      <c r="Y120" s="61">
        <v>10.119</v>
      </c>
      <c r="Z120" s="61">
        <v>2.9220000000000002</v>
      </c>
      <c r="AA120" s="61">
        <v>226.37299999999999</v>
      </c>
      <c r="AB120" s="60">
        <v>439.87400000000002</v>
      </c>
      <c r="AC120" s="62"/>
      <c r="AD120" s="61"/>
      <c r="AE120" s="61"/>
      <c r="AF120" s="61"/>
      <c r="AG120" s="61"/>
      <c r="AH120" s="61"/>
      <c r="AI120" s="61"/>
      <c r="AJ120" s="61"/>
      <c r="AK120" s="62"/>
      <c r="AL120" s="63"/>
      <c r="AM120" s="64"/>
      <c r="AN120" s="65" t="e">
        <v>#N/A</v>
      </c>
      <c r="AO120" s="61" t="e">
        <v>#N/A</v>
      </c>
      <c r="AP120" s="61" t="e">
        <v>#N/A</v>
      </c>
      <c r="AQ120" s="61" t="e">
        <v>#N/A</v>
      </c>
      <c r="AR120" s="61" t="e">
        <v>#N/A</v>
      </c>
      <c r="AS120" s="61" t="e">
        <v>#N/A</v>
      </c>
      <c r="AT120" s="61" t="e">
        <v>#N/A</v>
      </c>
      <c r="AU120" s="61" t="e">
        <v>#N/A</v>
      </c>
      <c r="AV120" s="61" t="e">
        <v>#N/A</v>
      </c>
      <c r="AW120" s="61" t="e">
        <v>#N/A</v>
      </c>
      <c r="AX120" s="65" t="e">
        <v>#N/A</v>
      </c>
      <c r="AY120" s="66" t="s">
        <v>121</v>
      </c>
      <c r="AZ120" s="61" t="s">
        <v>121</v>
      </c>
      <c r="BA120" s="61">
        <v>82.384</v>
      </c>
      <c r="BB120" s="61">
        <v>82.384</v>
      </c>
      <c r="BC120" s="61" t="s">
        <v>121</v>
      </c>
      <c r="BD120" s="61" t="s">
        <v>121</v>
      </c>
      <c r="BE120" s="61" t="s">
        <v>121</v>
      </c>
      <c r="BF120" s="61" t="s">
        <v>121</v>
      </c>
      <c r="BG120" s="61">
        <v>1.8680000000000001</v>
      </c>
      <c r="BH120" s="61" t="s">
        <v>121</v>
      </c>
      <c r="BI120" s="61">
        <v>1.0999999999999999E-2</v>
      </c>
      <c r="BJ120" s="61">
        <v>1.88</v>
      </c>
      <c r="BK120" s="66">
        <v>1.88</v>
      </c>
      <c r="BL120" s="67">
        <v>1.5529999999999999</v>
      </c>
      <c r="BM120" s="61" t="s">
        <v>121</v>
      </c>
      <c r="BN120" s="61" t="s">
        <v>121</v>
      </c>
      <c r="BO120" s="61" t="s">
        <v>121</v>
      </c>
      <c r="BP120" s="61">
        <v>1.5529999999999999</v>
      </c>
      <c r="BQ120" s="61">
        <v>206.47</v>
      </c>
      <c r="BR120" s="61">
        <v>4.8769999999999998</v>
      </c>
      <c r="BS120" s="61" t="s">
        <v>121</v>
      </c>
      <c r="BT120" s="61" t="s">
        <v>121</v>
      </c>
      <c r="BU120" s="61">
        <v>0.32400000000000001</v>
      </c>
      <c r="BV120" s="61">
        <v>0.123</v>
      </c>
      <c r="BW120" s="61">
        <v>0.44700000000000001</v>
      </c>
      <c r="BX120" s="67">
        <v>211.79400000000001</v>
      </c>
      <c r="BY120" s="68">
        <v>87963</v>
      </c>
      <c r="BZ120" s="68">
        <v>80022</v>
      </c>
      <c r="CA120" s="69">
        <v>2808</v>
      </c>
      <c r="CB120" s="68">
        <v>170148</v>
      </c>
      <c r="CC120" s="68">
        <v>2042</v>
      </c>
      <c r="CD120" s="61"/>
      <c r="CE120" s="64"/>
      <c r="CF120" s="64"/>
      <c r="CG120" s="70">
        <f t="shared" si="6"/>
        <v>7146.2160000000003</v>
      </c>
      <c r="CH120" s="70">
        <f t="shared" si="7"/>
        <v>117.93600000000001</v>
      </c>
      <c r="CI120" s="70">
        <f t="shared" si="8"/>
        <v>85.763999999999996</v>
      </c>
      <c r="CJ120" s="70">
        <f t="shared" si="10"/>
        <v>3694.4459999999999</v>
      </c>
      <c r="CK120" s="70">
        <f t="shared" si="10"/>
        <v>3360.924</v>
      </c>
      <c r="CL120" s="70">
        <f t="shared" si="9"/>
        <v>85.763999999999996</v>
      </c>
      <c r="CM120" s="61"/>
      <c r="CN120" s="61"/>
      <c r="CO120" s="61"/>
      <c r="CP120" s="61"/>
      <c r="CQ120" s="61"/>
      <c r="CR120" s="61"/>
      <c r="CS120" s="61"/>
      <c r="CT120" s="61"/>
      <c r="CU120" s="61"/>
      <c r="CV120" s="61"/>
      <c r="CW120" s="61"/>
      <c r="CX120" s="61"/>
      <c r="CY120" s="61"/>
      <c r="CZ120" s="61"/>
      <c r="DA120" s="61"/>
      <c r="DB120" s="61"/>
      <c r="DC120" s="61"/>
      <c r="DD120" s="61"/>
      <c r="DE120" s="61"/>
      <c r="DF120" s="61"/>
      <c r="DG120" s="61"/>
      <c r="DH120" s="61"/>
      <c r="DI120" s="61"/>
      <c r="DJ120" s="61"/>
      <c r="DK120" s="61"/>
      <c r="DL120" s="61"/>
      <c r="DM120" s="61"/>
      <c r="DN120" s="61"/>
      <c r="DO120" s="61"/>
      <c r="DP120" s="61"/>
      <c r="DQ120" s="61"/>
      <c r="DR120" s="61"/>
      <c r="DS120" s="61"/>
      <c r="DT120" s="61"/>
      <c r="DU120" s="61"/>
      <c r="DV120" s="61"/>
      <c r="DW120" s="61"/>
      <c r="DX120" s="61"/>
      <c r="DY120" s="61"/>
      <c r="DZ120" s="61"/>
      <c r="EA120" s="61"/>
      <c r="EB120" s="61"/>
      <c r="EC120" s="61"/>
      <c r="ED120" s="61"/>
      <c r="EE120" s="61"/>
      <c r="EF120" s="61"/>
      <c r="EG120" s="61"/>
      <c r="EH120" s="61"/>
      <c r="EI120" s="61"/>
      <c r="EJ120" s="61"/>
      <c r="EK120" s="61"/>
      <c r="EL120" s="61"/>
      <c r="EM120" s="61"/>
      <c r="EN120" s="61"/>
      <c r="EO120" s="61"/>
      <c r="EP120" s="61"/>
      <c r="EQ120" s="61"/>
      <c r="ER120" s="61"/>
      <c r="ES120" s="61"/>
      <c r="ET120" s="61"/>
      <c r="EU120" s="61"/>
      <c r="EV120" s="61"/>
      <c r="EW120" s="61"/>
    </row>
    <row r="121" spans="1:153">
      <c r="A121" s="56">
        <v>30256</v>
      </c>
      <c r="B121" s="57"/>
      <c r="C121" s="7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71"/>
      <c r="P121" s="60">
        <v>206.34700000000001</v>
      </c>
      <c r="Q121" s="61">
        <v>2.8279999999999998</v>
      </c>
      <c r="R121" s="61">
        <v>218.94800000000001</v>
      </c>
      <c r="S121" s="61">
        <v>469.93</v>
      </c>
      <c r="T121" s="61">
        <v>245.86099999999999</v>
      </c>
      <c r="U121" s="61">
        <v>5.1219999999999999</v>
      </c>
      <c r="V121" s="61" t="s">
        <v>121</v>
      </c>
      <c r="W121" s="61" t="s">
        <v>121</v>
      </c>
      <c r="X121" s="61">
        <v>206.34700000000001</v>
      </c>
      <c r="Y121" s="61">
        <v>9.7720000000000002</v>
      </c>
      <c r="Z121" s="61">
        <v>2.8279999999999998</v>
      </c>
      <c r="AA121" s="61">
        <v>218.94800000000001</v>
      </c>
      <c r="AB121" s="60">
        <v>469.93</v>
      </c>
      <c r="AC121" s="62"/>
      <c r="AD121" s="61"/>
      <c r="AE121" s="61"/>
      <c r="AF121" s="61"/>
      <c r="AG121" s="61"/>
      <c r="AH121" s="61"/>
      <c r="AI121" s="61"/>
      <c r="AJ121" s="61"/>
      <c r="AK121" s="62"/>
      <c r="AL121" s="63"/>
      <c r="AM121" s="64"/>
      <c r="AN121" s="65" t="e">
        <v>#N/A</v>
      </c>
      <c r="AO121" s="61" t="e">
        <v>#N/A</v>
      </c>
      <c r="AP121" s="61" t="e">
        <v>#N/A</v>
      </c>
      <c r="AQ121" s="61" t="e">
        <v>#N/A</v>
      </c>
      <c r="AR121" s="61" t="e">
        <v>#N/A</v>
      </c>
      <c r="AS121" s="61" t="e">
        <v>#N/A</v>
      </c>
      <c r="AT121" s="61" t="e">
        <v>#N/A</v>
      </c>
      <c r="AU121" s="61" t="e">
        <v>#N/A</v>
      </c>
      <c r="AV121" s="61" t="e">
        <v>#N/A</v>
      </c>
      <c r="AW121" s="61" t="e">
        <v>#N/A</v>
      </c>
      <c r="AX121" s="65" t="e">
        <v>#N/A</v>
      </c>
      <c r="AY121" s="66" t="s">
        <v>121</v>
      </c>
      <c r="AZ121" s="61" t="s">
        <v>121</v>
      </c>
      <c r="BA121" s="61">
        <v>79.725999999999999</v>
      </c>
      <c r="BB121" s="61">
        <v>79.725999999999999</v>
      </c>
      <c r="BC121" s="61" t="s">
        <v>121</v>
      </c>
      <c r="BD121" s="61" t="s">
        <v>121</v>
      </c>
      <c r="BE121" s="61" t="s">
        <v>121</v>
      </c>
      <c r="BF121" s="61" t="s">
        <v>121</v>
      </c>
      <c r="BG121" s="61">
        <v>1.8080000000000001</v>
      </c>
      <c r="BH121" s="61" t="s">
        <v>121</v>
      </c>
      <c r="BI121" s="61">
        <v>1.0999999999999999E-2</v>
      </c>
      <c r="BJ121" s="61">
        <v>1.819</v>
      </c>
      <c r="BK121" s="66">
        <v>1.819</v>
      </c>
      <c r="BL121" s="67">
        <v>1.5029999999999999</v>
      </c>
      <c r="BM121" s="61" t="s">
        <v>121</v>
      </c>
      <c r="BN121" s="61" t="s">
        <v>121</v>
      </c>
      <c r="BO121" s="61" t="s">
        <v>121</v>
      </c>
      <c r="BP121" s="61">
        <v>1.5029999999999999</v>
      </c>
      <c r="BQ121" s="61">
        <v>243.54499999999999</v>
      </c>
      <c r="BR121" s="61">
        <v>5.1219999999999999</v>
      </c>
      <c r="BS121" s="61" t="s">
        <v>121</v>
      </c>
      <c r="BT121" s="61" t="s">
        <v>121</v>
      </c>
      <c r="BU121" s="61">
        <v>0.21</v>
      </c>
      <c r="BV121" s="61">
        <v>9.9000000000000005E-2</v>
      </c>
      <c r="BW121" s="61">
        <v>0.309</v>
      </c>
      <c r="BX121" s="67">
        <v>248.976</v>
      </c>
      <c r="BY121" s="68">
        <v>85804</v>
      </c>
      <c r="BZ121" s="68">
        <v>74245</v>
      </c>
      <c r="CA121" s="69">
        <v>4352</v>
      </c>
      <c r="CB121" s="68">
        <v>185580</v>
      </c>
      <c r="CC121" s="68">
        <v>715</v>
      </c>
      <c r="CD121" s="61"/>
      <c r="CE121" s="64"/>
      <c r="CF121" s="64"/>
      <c r="CG121" s="70">
        <f t="shared" si="6"/>
        <v>7794.36</v>
      </c>
      <c r="CH121" s="70">
        <f t="shared" si="7"/>
        <v>182.78399999999999</v>
      </c>
      <c r="CI121" s="70">
        <f t="shared" si="8"/>
        <v>30.03</v>
      </c>
      <c r="CJ121" s="70">
        <f t="shared" si="10"/>
        <v>3603.768</v>
      </c>
      <c r="CK121" s="70">
        <f t="shared" si="10"/>
        <v>3118.29</v>
      </c>
      <c r="CL121" s="70">
        <f t="shared" si="9"/>
        <v>30.03</v>
      </c>
      <c r="CM121" s="61"/>
      <c r="CN121" s="61"/>
      <c r="CO121" s="61"/>
      <c r="CP121" s="61"/>
      <c r="CQ121" s="61"/>
      <c r="CR121" s="61"/>
      <c r="CS121" s="61"/>
      <c r="CT121" s="61"/>
      <c r="CU121" s="61"/>
      <c r="CV121" s="61"/>
      <c r="CW121" s="61"/>
      <c r="CX121" s="61"/>
      <c r="CY121" s="61"/>
      <c r="CZ121" s="61"/>
      <c r="DA121" s="61"/>
      <c r="DB121" s="61"/>
      <c r="DC121" s="61"/>
      <c r="DD121" s="61"/>
      <c r="DE121" s="61"/>
      <c r="DF121" s="61"/>
      <c r="DG121" s="61"/>
      <c r="DH121" s="61"/>
      <c r="DI121" s="61"/>
      <c r="DJ121" s="61"/>
      <c r="DK121" s="61"/>
      <c r="DL121" s="61"/>
      <c r="DM121" s="61"/>
      <c r="DN121" s="61"/>
      <c r="DO121" s="61"/>
      <c r="DP121" s="61"/>
      <c r="DQ121" s="61"/>
      <c r="DR121" s="61"/>
      <c r="DS121" s="61"/>
      <c r="DT121" s="61"/>
      <c r="DU121" s="61"/>
      <c r="DV121" s="61"/>
      <c r="DW121" s="61"/>
      <c r="DX121" s="61"/>
      <c r="DY121" s="61"/>
      <c r="DZ121" s="61"/>
      <c r="EA121" s="61"/>
      <c r="EB121" s="61"/>
      <c r="EC121" s="61"/>
      <c r="ED121" s="61"/>
      <c r="EE121" s="61"/>
      <c r="EF121" s="61"/>
      <c r="EG121" s="61"/>
      <c r="EH121" s="61"/>
      <c r="EI121" s="61"/>
      <c r="EJ121" s="61"/>
      <c r="EK121" s="61"/>
      <c r="EL121" s="61"/>
      <c r="EM121" s="61"/>
      <c r="EN121" s="61"/>
      <c r="EO121" s="61"/>
      <c r="EP121" s="61"/>
      <c r="EQ121" s="61"/>
      <c r="ER121" s="61"/>
      <c r="ES121" s="61"/>
      <c r="ET121" s="61"/>
      <c r="EU121" s="61"/>
      <c r="EV121" s="61"/>
      <c r="EW121" s="61"/>
    </row>
    <row r="122" spans="1:153">
      <c r="A122" s="56">
        <v>30286</v>
      </c>
      <c r="B122" s="57"/>
      <c r="C122" s="7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71"/>
      <c r="P122" s="60">
        <v>213.17</v>
      </c>
      <c r="Q122" s="61">
        <v>2.9220000000000002</v>
      </c>
      <c r="R122" s="61">
        <v>226.21</v>
      </c>
      <c r="S122" s="61">
        <v>522.92999999999995</v>
      </c>
      <c r="T122" s="61">
        <v>292.66800000000001</v>
      </c>
      <c r="U122" s="61">
        <v>4.0529999999999999</v>
      </c>
      <c r="V122" s="61" t="s">
        <v>121</v>
      </c>
      <c r="W122" s="61" t="s">
        <v>121</v>
      </c>
      <c r="X122" s="61">
        <v>213.17</v>
      </c>
      <c r="Y122" s="61">
        <v>10.118</v>
      </c>
      <c r="Z122" s="61">
        <v>2.9220000000000002</v>
      </c>
      <c r="AA122" s="61">
        <v>226.21</v>
      </c>
      <c r="AB122" s="60">
        <v>522.92999999999995</v>
      </c>
      <c r="AC122" s="62"/>
      <c r="AD122" s="61"/>
      <c r="AE122" s="61"/>
      <c r="AF122" s="61"/>
      <c r="AG122" s="61"/>
      <c r="AH122" s="61"/>
      <c r="AI122" s="61"/>
      <c r="AJ122" s="61"/>
      <c r="AK122" s="62"/>
      <c r="AL122" s="63"/>
      <c r="AM122" s="64"/>
      <c r="AN122" s="65" t="e">
        <v>#N/A</v>
      </c>
      <c r="AO122" s="61" t="e">
        <v>#N/A</v>
      </c>
      <c r="AP122" s="61" t="e">
        <v>#N/A</v>
      </c>
      <c r="AQ122" s="61" t="e">
        <v>#N/A</v>
      </c>
      <c r="AR122" s="61" t="e">
        <v>#N/A</v>
      </c>
      <c r="AS122" s="61" t="e">
        <v>#N/A</v>
      </c>
      <c r="AT122" s="61" t="e">
        <v>#N/A</v>
      </c>
      <c r="AU122" s="61" t="e">
        <v>#N/A</v>
      </c>
      <c r="AV122" s="61" t="e">
        <v>#N/A</v>
      </c>
      <c r="AW122" s="61" t="e">
        <v>#N/A</v>
      </c>
      <c r="AX122" s="65" t="e">
        <v>#N/A</v>
      </c>
      <c r="AY122" s="66" t="s">
        <v>121</v>
      </c>
      <c r="AZ122" s="61" t="s">
        <v>121</v>
      </c>
      <c r="BA122" s="61">
        <v>82.384</v>
      </c>
      <c r="BB122" s="61">
        <v>82.384</v>
      </c>
      <c r="BC122" s="61" t="s">
        <v>121</v>
      </c>
      <c r="BD122" s="61" t="s">
        <v>121</v>
      </c>
      <c r="BE122" s="61" t="s">
        <v>121</v>
      </c>
      <c r="BF122" s="61" t="s">
        <v>121</v>
      </c>
      <c r="BG122" s="61">
        <v>1.8680000000000001</v>
      </c>
      <c r="BH122" s="61" t="s">
        <v>121</v>
      </c>
      <c r="BI122" s="61">
        <v>1.0999999999999999E-2</v>
      </c>
      <c r="BJ122" s="61">
        <v>1.88</v>
      </c>
      <c r="BK122" s="66">
        <v>1.88</v>
      </c>
      <c r="BL122" s="67">
        <v>1.5529999999999999</v>
      </c>
      <c r="BM122" s="61" t="s">
        <v>121</v>
      </c>
      <c r="BN122" s="61" t="s">
        <v>121</v>
      </c>
      <c r="BO122" s="61" t="s">
        <v>121</v>
      </c>
      <c r="BP122" s="61">
        <v>1.5529999999999999</v>
      </c>
      <c r="BQ122" s="61">
        <v>290.202</v>
      </c>
      <c r="BR122" s="61">
        <v>4.0529999999999999</v>
      </c>
      <c r="BS122" s="61" t="s">
        <v>121</v>
      </c>
      <c r="BT122" s="61" t="s">
        <v>121</v>
      </c>
      <c r="BU122" s="61">
        <v>0.161</v>
      </c>
      <c r="BV122" s="61">
        <v>0.122</v>
      </c>
      <c r="BW122" s="61">
        <v>0.28299999999999997</v>
      </c>
      <c r="BX122" s="67">
        <v>294.53800000000001</v>
      </c>
      <c r="BY122" s="68">
        <v>82295</v>
      </c>
      <c r="BZ122" s="68">
        <v>88518</v>
      </c>
      <c r="CA122" s="69">
        <v>3370</v>
      </c>
      <c r="CB122" s="68">
        <v>178592</v>
      </c>
      <c r="CC122" s="68">
        <v>4436</v>
      </c>
      <c r="CD122" s="61"/>
      <c r="CE122" s="64"/>
      <c r="CF122" s="64"/>
      <c r="CG122" s="70">
        <f t="shared" si="6"/>
        <v>7500.8639999999996</v>
      </c>
      <c r="CH122" s="70">
        <f t="shared" si="7"/>
        <v>141.54</v>
      </c>
      <c r="CI122" s="70">
        <f t="shared" si="8"/>
        <v>186.31200000000001</v>
      </c>
      <c r="CJ122" s="70">
        <f t="shared" si="10"/>
        <v>3456.39</v>
      </c>
      <c r="CK122" s="70">
        <f t="shared" si="10"/>
        <v>3717.7559999999999</v>
      </c>
      <c r="CL122" s="70">
        <f t="shared" si="9"/>
        <v>186.31200000000001</v>
      </c>
      <c r="CM122" s="61"/>
      <c r="CN122" s="61"/>
      <c r="CO122" s="61"/>
      <c r="CP122" s="61"/>
      <c r="CQ122" s="61"/>
      <c r="CR122" s="61"/>
      <c r="CS122" s="61"/>
      <c r="CT122" s="61"/>
      <c r="CU122" s="61"/>
      <c r="CV122" s="61"/>
      <c r="CW122" s="61"/>
      <c r="CX122" s="61"/>
      <c r="CY122" s="61"/>
      <c r="CZ122" s="61"/>
      <c r="DA122" s="61"/>
      <c r="DB122" s="61"/>
      <c r="DC122" s="61"/>
      <c r="DD122" s="61"/>
      <c r="DE122" s="61"/>
      <c r="DF122" s="61"/>
      <c r="DG122" s="61"/>
      <c r="DH122" s="61"/>
      <c r="DI122" s="61"/>
      <c r="DJ122" s="61"/>
      <c r="DK122" s="61"/>
      <c r="DL122" s="61"/>
      <c r="DM122" s="61"/>
      <c r="DN122" s="61"/>
      <c r="DO122" s="61"/>
      <c r="DP122" s="61"/>
      <c r="DQ122" s="61"/>
      <c r="DR122" s="61"/>
      <c r="DS122" s="61"/>
      <c r="DT122" s="61"/>
      <c r="DU122" s="61"/>
      <c r="DV122" s="61"/>
      <c r="DW122" s="61"/>
      <c r="DX122" s="61"/>
      <c r="DY122" s="61"/>
      <c r="DZ122" s="61"/>
      <c r="EA122" s="61"/>
      <c r="EB122" s="61"/>
      <c r="EC122" s="61"/>
      <c r="ED122" s="61"/>
      <c r="EE122" s="61"/>
      <c r="EF122" s="61"/>
      <c r="EG122" s="61"/>
      <c r="EH122" s="61"/>
      <c r="EI122" s="61"/>
      <c r="EJ122" s="61"/>
      <c r="EK122" s="61"/>
      <c r="EL122" s="61"/>
      <c r="EM122" s="61"/>
      <c r="EN122" s="61"/>
      <c r="EO122" s="61"/>
      <c r="EP122" s="61"/>
      <c r="EQ122" s="61"/>
      <c r="ER122" s="61"/>
      <c r="ES122" s="61"/>
      <c r="ET122" s="61"/>
      <c r="EU122" s="61"/>
      <c r="EV122" s="61"/>
      <c r="EW122" s="61"/>
    </row>
    <row r="123" spans="1:153">
      <c r="A123" s="56">
        <v>30317</v>
      </c>
      <c r="B123" s="57"/>
      <c r="C123" s="7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71"/>
      <c r="P123" s="60">
        <v>227.92599999999999</v>
      </c>
      <c r="Q123" s="61">
        <v>5.3630000000000004</v>
      </c>
      <c r="R123" s="61">
        <v>246.57499999999999</v>
      </c>
      <c r="S123" s="61">
        <v>562.279</v>
      </c>
      <c r="T123" s="61">
        <v>310.61500000000001</v>
      </c>
      <c r="U123" s="61">
        <v>5.0869999999999997</v>
      </c>
      <c r="V123" s="61" t="s">
        <v>121</v>
      </c>
      <c r="W123" s="61">
        <v>2E-3</v>
      </c>
      <c r="X123" s="61">
        <v>227.92599999999999</v>
      </c>
      <c r="Y123" s="61">
        <v>13.286</v>
      </c>
      <c r="Z123" s="61">
        <v>5.3630000000000004</v>
      </c>
      <c r="AA123" s="61">
        <v>246.57499999999999</v>
      </c>
      <c r="AB123" s="60">
        <v>562.279</v>
      </c>
      <c r="AC123" s="62"/>
      <c r="AD123" s="61"/>
      <c r="AE123" s="61"/>
      <c r="AF123" s="61"/>
      <c r="AG123" s="61"/>
      <c r="AH123" s="61"/>
      <c r="AI123" s="61"/>
      <c r="AJ123" s="61"/>
      <c r="AK123" s="62"/>
      <c r="AL123" s="63"/>
      <c r="AM123" s="64"/>
      <c r="AN123" s="65" t="e">
        <v>#N/A</v>
      </c>
      <c r="AO123" s="61" t="e">
        <v>#N/A</v>
      </c>
      <c r="AP123" s="61" t="e">
        <v>#N/A</v>
      </c>
      <c r="AQ123" s="61" t="e">
        <v>#N/A</v>
      </c>
      <c r="AR123" s="61" t="e">
        <v>#N/A</v>
      </c>
      <c r="AS123" s="61" t="e">
        <v>#N/A</v>
      </c>
      <c r="AT123" s="61" t="e">
        <v>#N/A</v>
      </c>
      <c r="AU123" s="61" t="e">
        <v>#N/A</v>
      </c>
      <c r="AV123" s="61" t="e">
        <v>#N/A</v>
      </c>
      <c r="AW123" s="61" t="e">
        <v>#N/A</v>
      </c>
      <c r="AX123" s="65" t="e">
        <v>#N/A</v>
      </c>
      <c r="AY123" s="66" t="s">
        <v>121</v>
      </c>
      <c r="AZ123" s="61" t="s">
        <v>121</v>
      </c>
      <c r="BA123" s="61">
        <v>82.384</v>
      </c>
      <c r="BB123" s="61">
        <v>82.384</v>
      </c>
      <c r="BC123" s="61" t="s">
        <v>121</v>
      </c>
      <c r="BD123" s="61" t="s">
        <v>121</v>
      </c>
      <c r="BE123" s="61" t="s">
        <v>121</v>
      </c>
      <c r="BF123" s="61" t="s">
        <v>121</v>
      </c>
      <c r="BG123" s="61">
        <v>1.8680000000000001</v>
      </c>
      <c r="BH123" s="61" t="s">
        <v>121</v>
      </c>
      <c r="BI123" s="61">
        <v>2.3E-2</v>
      </c>
      <c r="BJ123" s="61">
        <v>1.8919999999999999</v>
      </c>
      <c r="BK123" s="66">
        <v>1.8919999999999999</v>
      </c>
      <c r="BL123" s="67">
        <v>2.8639999999999999</v>
      </c>
      <c r="BM123" s="61" t="s">
        <v>121</v>
      </c>
      <c r="BN123" s="61" t="s">
        <v>121</v>
      </c>
      <c r="BO123" s="61" t="s">
        <v>121</v>
      </c>
      <c r="BP123" s="61">
        <v>2.8639999999999999</v>
      </c>
      <c r="BQ123" s="61">
        <v>307.54700000000003</v>
      </c>
      <c r="BR123" s="61">
        <v>5.0869999999999997</v>
      </c>
      <c r="BS123" s="61" t="s">
        <v>121</v>
      </c>
      <c r="BT123" s="61">
        <v>2E-3</v>
      </c>
      <c r="BU123" s="61">
        <v>0.14000000000000001</v>
      </c>
      <c r="BV123" s="61">
        <v>9.7000000000000003E-2</v>
      </c>
      <c r="BW123" s="61">
        <v>0.23699999999999999</v>
      </c>
      <c r="BX123" s="67">
        <v>312.87299999999999</v>
      </c>
      <c r="BY123" s="68">
        <v>71963</v>
      </c>
      <c r="BZ123" s="68">
        <v>86692</v>
      </c>
      <c r="CA123" s="69">
        <v>2115</v>
      </c>
      <c r="CB123" s="68">
        <v>167555</v>
      </c>
      <c r="CC123" s="68">
        <v>5361</v>
      </c>
      <c r="CD123" s="61"/>
      <c r="CE123" s="64"/>
      <c r="CF123" s="64"/>
      <c r="CG123" s="70">
        <f t="shared" si="6"/>
        <v>7037.31</v>
      </c>
      <c r="CH123" s="70">
        <f t="shared" si="7"/>
        <v>88.83</v>
      </c>
      <c r="CI123" s="70">
        <f t="shared" si="8"/>
        <v>225.16200000000001</v>
      </c>
      <c r="CJ123" s="70">
        <f t="shared" si="10"/>
        <v>3022.4459999999999</v>
      </c>
      <c r="CK123" s="70">
        <f t="shared" si="10"/>
        <v>3641.0639999999999</v>
      </c>
      <c r="CL123" s="70">
        <f t="shared" si="9"/>
        <v>225.16200000000001</v>
      </c>
      <c r="CM123" s="61"/>
      <c r="CN123" s="61"/>
      <c r="CO123" s="61"/>
      <c r="CP123" s="61"/>
      <c r="CQ123" s="61"/>
      <c r="CR123" s="61"/>
      <c r="CS123" s="61"/>
      <c r="CT123" s="61"/>
      <c r="CU123" s="61"/>
      <c r="CV123" s="61"/>
      <c r="CW123" s="61"/>
      <c r="CX123" s="61"/>
      <c r="CY123" s="61"/>
      <c r="CZ123" s="61"/>
      <c r="DA123" s="61"/>
      <c r="DB123" s="61"/>
      <c r="DC123" s="61"/>
      <c r="DD123" s="61"/>
      <c r="DE123" s="61"/>
      <c r="DF123" s="61"/>
      <c r="DG123" s="61"/>
      <c r="DH123" s="61"/>
      <c r="DI123" s="61"/>
      <c r="DJ123" s="61"/>
      <c r="DK123" s="61"/>
      <c r="DL123" s="61"/>
      <c r="DM123" s="61"/>
      <c r="DN123" s="61"/>
      <c r="DO123" s="61"/>
      <c r="DP123" s="61"/>
      <c r="DQ123" s="61"/>
      <c r="DR123" s="61"/>
      <c r="DS123" s="61"/>
      <c r="DT123" s="61"/>
      <c r="DU123" s="61"/>
      <c r="DV123" s="61"/>
      <c r="DW123" s="61"/>
      <c r="DX123" s="61"/>
      <c r="DY123" s="61"/>
      <c r="DZ123" s="61"/>
      <c r="EA123" s="61"/>
      <c r="EB123" s="61"/>
      <c r="EC123" s="61"/>
      <c r="ED123" s="61"/>
      <c r="EE123" s="61"/>
      <c r="EF123" s="61"/>
      <c r="EG123" s="61"/>
      <c r="EH123" s="61"/>
      <c r="EI123" s="61"/>
      <c r="EJ123" s="61"/>
      <c r="EK123" s="61"/>
      <c r="EL123" s="61"/>
      <c r="EM123" s="61"/>
      <c r="EN123" s="61"/>
      <c r="EO123" s="61"/>
      <c r="EP123" s="61"/>
      <c r="EQ123" s="61"/>
      <c r="ER123" s="61"/>
      <c r="ES123" s="61"/>
      <c r="ET123" s="61"/>
      <c r="EU123" s="61"/>
      <c r="EV123" s="61"/>
      <c r="EW123" s="61"/>
    </row>
    <row r="124" spans="1:153">
      <c r="A124" s="56">
        <v>30348</v>
      </c>
      <c r="B124" s="57"/>
      <c r="C124" s="7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71"/>
      <c r="P124" s="60">
        <v>205.87</v>
      </c>
      <c r="Q124" s="61">
        <v>4.8440000000000003</v>
      </c>
      <c r="R124" s="61">
        <v>222.738</v>
      </c>
      <c r="S124" s="61">
        <v>523.27599999999995</v>
      </c>
      <c r="T124" s="61">
        <v>296.625</v>
      </c>
      <c r="U124" s="61">
        <v>3.9129999999999998</v>
      </c>
      <c r="V124" s="61" t="s">
        <v>121</v>
      </c>
      <c r="W124" s="61">
        <v>0</v>
      </c>
      <c r="X124" s="61">
        <v>205.87</v>
      </c>
      <c r="Y124" s="61">
        <v>12.023</v>
      </c>
      <c r="Z124" s="61">
        <v>4.8440000000000003</v>
      </c>
      <c r="AA124" s="61">
        <v>222.738</v>
      </c>
      <c r="AB124" s="60">
        <v>523.27599999999995</v>
      </c>
      <c r="AC124" s="62"/>
      <c r="AD124" s="61"/>
      <c r="AE124" s="61"/>
      <c r="AF124" s="61"/>
      <c r="AG124" s="61"/>
      <c r="AH124" s="61"/>
      <c r="AI124" s="61"/>
      <c r="AJ124" s="61"/>
      <c r="AK124" s="62"/>
      <c r="AL124" s="63"/>
      <c r="AM124" s="64"/>
      <c r="AN124" s="65" t="e">
        <v>#N/A</v>
      </c>
      <c r="AO124" s="61" t="e">
        <v>#N/A</v>
      </c>
      <c r="AP124" s="61" t="e">
        <v>#N/A</v>
      </c>
      <c r="AQ124" s="61" t="e">
        <v>#N/A</v>
      </c>
      <c r="AR124" s="61" t="e">
        <v>#N/A</v>
      </c>
      <c r="AS124" s="61" t="e">
        <v>#N/A</v>
      </c>
      <c r="AT124" s="61" t="e">
        <v>#N/A</v>
      </c>
      <c r="AU124" s="61" t="e">
        <v>#N/A</v>
      </c>
      <c r="AV124" s="61" t="e">
        <v>#N/A</v>
      </c>
      <c r="AW124" s="61" t="e">
        <v>#N/A</v>
      </c>
      <c r="AX124" s="65" t="e">
        <v>#N/A</v>
      </c>
      <c r="AY124" s="66" t="s">
        <v>121</v>
      </c>
      <c r="AZ124" s="61" t="s">
        <v>121</v>
      </c>
      <c r="BA124" s="61">
        <v>74.411000000000001</v>
      </c>
      <c r="BB124" s="61">
        <v>74.411000000000001</v>
      </c>
      <c r="BC124" s="61" t="s">
        <v>121</v>
      </c>
      <c r="BD124" s="61" t="s">
        <v>121</v>
      </c>
      <c r="BE124" s="61" t="s">
        <v>121</v>
      </c>
      <c r="BF124" s="61" t="s">
        <v>121</v>
      </c>
      <c r="BG124" s="61">
        <v>1.6879999999999999</v>
      </c>
      <c r="BH124" s="61" t="s">
        <v>121</v>
      </c>
      <c r="BI124" s="61">
        <v>2.1000000000000001E-2</v>
      </c>
      <c r="BJ124" s="61">
        <v>1.7090000000000001</v>
      </c>
      <c r="BK124" s="66">
        <v>1.7090000000000001</v>
      </c>
      <c r="BL124" s="67">
        <v>2.5870000000000002</v>
      </c>
      <c r="BM124" s="61" t="s">
        <v>121</v>
      </c>
      <c r="BN124" s="61" t="s">
        <v>121</v>
      </c>
      <c r="BO124" s="61" t="s">
        <v>121</v>
      </c>
      <c r="BP124" s="61">
        <v>2.5870000000000002</v>
      </c>
      <c r="BQ124" s="61">
        <v>294.03300000000002</v>
      </c>
      <c r="BR124" s="61">
        <v>3.9129999999999998</v>
      </c>
      <c r="BS124" s="61" t="s">
        <v>121</v>
      </c>
      <c r="BT124" s="61">
        <v>0</v>
      </c>
      <c r="BU124" s="61">
        <v>0.128</v>
      </c>
      <c r="BV124" s="61">
        <v>0.111</v>
      </c>
      <c r="BW124" s="61">
        <v>0.23899999999999999</v>
      </c>
      <c r="BX124" s="67">
        <v>298.185</v>
      </c>
      <c r="BY124" s="68">
        <v>59782</v>
      </c>
      <c r="BZ124" s="68">
        <v>77827</v>
      </c>
      <c r="CA124" s="69">
        <v>1638</v>
      </c>
      <c r="CB124" s="68">
        <v>148221</v>
      </c>
      <c r="CC124" s="68">
        <v>2931</v>
      </c>
      <c r="CD124" s="61"/>
      <c r="CE124" s="64"/>
      <c r="CF124" s="64"/>
      <c r="CG124" s="70">
        <f t="shared" si="6"/>
        <v>6225.2820000000002</v>
      </c>
      <c r="CH124" s="70">
        <f t="shared" si="7"/>
        <v>68.796000000000006</v>
      </c>
      <c r="CI124" s="70">
        <f t="shared" si="8"/>
        <v>123.102</v>
      </c>
      <c r="CJ124" s="70">
        <f t="shared" si="10"/>
        <v>2510.8440000000001</v>
      </c>
      <c r="CK124" s="70">
        <f t="shared" si="10"/>
        <v>3268.7339999999999</v>
      </c>
      <c r="CL124" s="70">
        <f t="shared" si="9"/>
        <v>123.102</v>
      </c>
      <c r="CM124" s="61"/>
      <c r="CN124" s="61"/>
      <c r="CO124" s="61"/>
      <c r="CP124" s="61"/>
      <c r="CQ124" s="61"/>
      <c r="CR124" s="61"/>
      <c r="CS124" s="61"/>
      <c r="CT124" s="61"/>
      <c r="CU124" s="61"/>
      <c r="CV124" s="61"/>
      <c r="CW124" s="61"/>
      <c r="CX124" s="61"/>
      <c r="CY124" s="61"/>
      <c r="CZ124" s="61"/>
      <c r="DA124" s="61"/>
      <c r="DB124" s="61"/>
      <c r="DC124" s="61"/>
      <c r="DD124" s="61"/>
      <c r="DE124" s="61"/>
      <c r="DF124" s="61"/>
      <c r="DG124" s="61"/>
      <c r="DH124" s="61"/>
      <c r="DI124" s="61"/>
      <c r="DJ124" s="61"/>
      <c r="DK124" s="61"/>
      <c r="DL124" s="61"/>
      <c r="DM124" s="61"/>
      <c r="DN124" s="61"/>
      <c r="DO124" s="61"/>
      <c r="DP124" s="61"/>
      <c r="DQ124" s="61"/>
      <c r="DR124" s="61"/>
      <c r="DS124" s="61"/>
      <c r="DT124" s="61"/>
      <c r="DU124" s="61"/>
      <c r="DV124" s="61"/>
      <c r="DW124" s="61"/>
      <c r="DX124" s="61"/>
      <c r="DY124" s="61"/>
      <c r="DZ124" s="61"/>
      <c r="EA124" s="61"/>
      <c r="EB124" s="61"/>
      <c r="EC124" s="61"/>
      <c r="ED124" s="61"/>
      <c r="EE124" s="61"/>
      <c r="EF124" s="61"/>
      <c r="EG124" s="61"/>
      <c r="EH124" s="61"/>
      <c r="EI124" s="61"/>
      <c r="EJ124" s="61"/>
      <c r="EK124" s="61"/>
      <c r="EL124" s="61"/>
      <c r="EM124" s="61"/>
      <c r="EN124" s="61"/>
      <c r="EO124" s="61"/>
      <c r="EP124" s="61"/>
      <c r="EQ124" s="61"/>
      <c r="ER124" s="61"/>
      <c r="ES124" s="61"/>
      <c r="ET124" s="61"/>
      <c r="EU124" s="61"/>
      <c r="EV124" s="61"/>
      <c r="EW124" s="61"/>
    </row>
    <row r="125" spans="1:153">
      <c r="A125" s="56">
        <v>30376</v>
      </c>
      <c r="B125" s="57"/>
      <c r="C125" s="7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71"/>
      <c r="P125" s="60">
        <v>227.93799999999999</v>
      </c>
      <c r="Q125" s="61">
        <v>5.3630000000000004</v>
      </c>
      <c r="R125" s="61">
        <v>246.61</v>
      </c>
      <c r="S125" s="61">
        <v>572.85299999999995</v>
      </c>
      <c r="T125" s="61">
        <v>321.73</v>
      </c>
      <c r="U125" s="61">
        <v>4.51</v>
      </c>
      <c r="V125" s="61" t="s">
        <v>121</v>
      </c>
      <c r="W125" s="61">
        <v>3.0000000000000001E-3</v>
      </c>
      <c r="X125" s="61">
        <v>227.93799999999999</v>
      </c>
      <c r="Y125" s="61">
        <v>13.308999999999999</v>
      </c>
      <c r="Z125" s="61">
        <v>5.3630000000000004</v>
      </c>
      <c r="AA125" s="61">
        <v>246.61</v>
      </c>
      <c r="AB125" s="60">
        <v>572.85299999999995</v>
      </c>
      <c r="AC125" s="62"/>
      <c r="AD125" s="61"/>
      <c r="AE125" s="61"/>
      <c r="AF125" s="61"/>
      <c r="AG125" s="61"/>
      <c r="AH125" s="61"/>
      <c r="AI125" s="61"/>
      <c r="AJ125" s="61"/>
      <c r="AK125" s="62"/>
      <c r="AL125" s="63"/>
      <c r="AM125" s="64"/>
      <c r="AN125" s="65" t="e">
        <v>#N/A</v>
      </c>
      <c r="AO125" s="61" t="e">
        <v>#N/A</v>
      </c>
      <c r="AP125" s="61" t="e">
        <v>#N/A</v>
      </c>
      <c r="AQ125" s="61" t="e">
        <v>#N/A</v>
      </c>
      <c r="AR125" s="61" t="e">
        <v>#N/A</v>
      </c>
      <c r="AS125" s="61" t="e">
        <v>#N/A</v>
      </c>
      <c r="AT125" s="61" t="e">
        <v>#N/A</v>
      </c>
      <c r="AU125" s="61" t="e">
        <v>#N/A</v>
      </c>
      <c r="AV125" s="61" t="e">
        <v>#N/A</v>
      </c>
      <c r="AW125" s="61" t="e">
        <v>#N/A</v>
      </c>
      <c r="AX125" s="65" t="e">
        <v>#N/A</v>
      </c>
      <c r="AY125" s="66" t="s">
        <v>121</v>
      </c>
      <c r="AZ125" s="61" t="s">
        <v>121</v>
      </c>
      <c r="BA125" s="61">
        <v>82.384</v>
      </c>
      <c r="BB125" s="61">
        <v>82.384</v>
      </c>
      <c r="BC125" s="61" t="s">
        <v>121</v>
      </c>
      <c r="BD125" s="61" t="s">
        <v>121</v>
      </c>
      <c r="BE125" s="61" t="s">
        <v>121</v>
      </c>
      <c r="BF125" s="61" t="s">
        <v>121</v>
      </c>
      <c r="BG125" s="61">
        <v>1.8680000000000001</v>
      </c>
      <c r="BH125" s="61" t="s">
        <v>121</v>
      </c>
      <c r="BI125" s="61">
        <v>2.3E-2</v>
      </c>
      <c r="BJ125" s="61">
        <v>1.8919999999999999</v>
      </c>
      <c r="BK125" s="66">
        <v>1.8919999999999999</v>
      </c>
      <c r="BL125" s="67">
        <v>2.8639999999999999</v>
      </c>
      <c r="BM125" s="61" t="s">
        <v>121</v>
      </c>
      <c r="BN125" s="61" t="s">
        <v>121</v>
      </c>
      <c r="BO125" s="61" t="s">
        <v>121</v>
      </c>
      <c r="BP125" s="61">
        <v>2.8639999999999999</v>
      </c>
      <c r="BQ125" s="61">
        <v>318.779</v>
      </c>
      <c r="BR125" s="61">
        <v>4.51</v>
      </c>
      <c r="BS125" s="61" t="s">
        <v>121</v>
      </c>
      <c r="BT125" s="61">
        <v>3.0000000000000001E-3</v>
      </c>
      <c r="BU125" s="61">
        <v>0.152</v>
      </c>
      <c r="BV125" s="61">
        <v>0.12</v>
      </c>
      <c r="BW125" s="61">
        <v>0.27200000000000002</v>
      </c>
      <c r="BX125" s="67">
        <v>323.56400000000002</v>
      </c>
      <c r="BY125" s="68">
        <v>61787</v>
      </c>
      <c r="BZ125" s="68">
        <v>91369</v>
      </c>
      <c r="CA125" s="69">
        <v>1314</v>
      </c>
      <c r="CB125" s="68">
        <v>118122</v>
      </c>
      <c r="CC125" s="68">
        <v>1832</v>
      </c>
      <c r="CD125" s="61"/>
      <c r="CE125" s="64"/>
      <c r="CF125" s="64"/>
      <c r="CG125" s="70">
        <f t="shared" si="6"/>
        <v>4961.1239999999998</v>
      </c>
      <c r="CH125" s="70">
        <f t="shared" si="7"/>
        <v>55.188000000000002</v>
      </c>
      <c r="CI125" s="70">
        <f t="shared" si="8"/>
        <v>76.944000000000003</v>
      </c>
      <c r="CJ125" s="70">
        <f t="shared" si="10"/>
        <v>2595.0540000000001</v>
      </c>
      <c r="CK125" s="70">
        <f t="shared" si="10"/>
        <v>3837.498</v>
      </c>
      <c r="CL125" s="70">
        <f t="shared" si="9"/>
        <v>76.944000000000003</v>
      </c>
      <c r="CM125" s="61"/>
      <c r="CN125" s="61"/>
      <c r="CO125" s="61"/>
      <c r="CP125" s="61"/>
      <c r="CQ125" s="61"/>
      <c r="CR125" s="61"/>
      <c r="CS125" s="61"/>
      <c r="CT125" s="61"/>
      <c r="CU125" s="61"/>
      <c r="CV125" s="61"/>
      <c r="CW125" s="61"/>
      <c r="CX125" s="61"/>
      <c r="CY125" s="61"/>
      <c r="CZ125" s="61"/>
      <c r="DA125" s="61"/>
      <c r="DB125" s="61"/>
      <c r="DC125" s="61"/>
      <c r="DD125" s="61"/>
      <c r="DE125" s="61"/>
      <c r="DF125" s="61"/>
      <c r="DG125" s="61"/>
      <c r="DH125" s="61"/>
      <c r="DI125" s="61"/>
      <c r="DJ125" s="61"/>
      <c r="DK125" s="61"/>
      <c r="DL125" s="61"/>
      <c r="DM125" s="61"/>
      <c r="DN125" s="61"/>
      <c r="DO125" s="61"/>
      <c r="DP125" s="61"/>
      <c r="DQ125" s="61"/>
      <c r="DR125" s="61"/>
      <c r="DS125" s="61"/>
      <c r="DT125" s="61"/>
      <c r="DU125" s="61"/>
      <c r="DV125" s="61"/>
      <c r="DW125" s="61"/>
      <c r="DX125" s="61"/>
      <c r="DY125" s="61"/>
      <c r="DZ125" s="61"/>
      <c r="EA125" s="61"/>
      <c r="EB125" s="61"/>
      <c r="EC125" s="61"/>
      <c r="ED125" s="61"/>
      <c r="EE125" s="61"/>
      <c r="EF125" s="61"/>
      <c r="EG125" s="61"/>
      <c r="EH125" s="61"/>
      <c r="EI125" s="61"/>
      <c r="EJ125" s="61"/>
      <c r="EK125" s="61"/>
      <c r="EL125" s="61"/>
      <c r="EM125" s="61"/>
      <c r="EN125" s="61"/>
      <c r="EO125" s="61"/>
      <c r="EP125" s="61"/>
      <c r="EQ125" s="61"/>
      <c r="ER125" s="61"/>
      <c r="ES125" s="61"/>
      <c r="ET125" s="61"/>
      <c r="EU125" s="61"/>
      <c r="EV125" s="61"/>
      <c r="EW125" s="61"/>
    </row>
    <row r="126" spans="1:153">
      <c r="A126" s="56">
        <v>30407</v>
      </c>
      <c r="B126" s="57"/>
      <c r="C126" s="7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71"/>
      <c r="P126" s="60">
        <v>220.56100000000001</v>
      </c>
      <c r="Q126" s="61">
        <v>5.19</v>
      </c>
      <c r="R126" s="61">
        <v>238.625</v>
      </c>
      <c r="S126" s="61">
        <v>561.45799999999997</v>
      </c>
      <c r="T126" s="61">
        <v>318.60300000000001</v>
      </c>
      <c r="U126" s="61">
        <v>4.2270000000000003</v>
      </c>
      <c r="V126" s="61" t="s">
        <v>121</v>
      </c>
      <c r="W126" s="61">
        <v>2E-3</v>
      </c>
      <c r="X126" s="61">
        <v>220.56100000000001</v>
      </c>
      <c r="Y126" s="61">
        <v>12.875</v>
      </c>
      <c r="Z126" s="61">
        <v>5.19</v>
      </c>
      <c r="AA126" s="61">
        <v>238.625</v>
      </c>
      <c r="AB126" s="60">
        <v>561.45799999999997</v>
      </c>
      <c r="AC126" s="62"/>
      <c r="AD126" s="61"/>
      <c r="AE126" s="61"/>
      <c r="AF126" s="61"/>
      <c r="AG126" s="61"/>
      <c r="AH126" s="61"/>
      <c r="AI126" s="61"/>
      <c r="AJ126" s="61"/>
      <c r="AK126" s="62"/>
      <c r="AL126" s="63"/>
      <c r="AM126" s="64"/>
      <c r="AN126" s="65" t="e">
        <v>#N/A</v>
      </c>
      <c r="AO126" s="61" t="e">
        <v>#N/A</v>
      </c>
      <c r="AP126" s="61" t="e">
        <v>#N/A</v>
      </c>
      <c r="AQ126" s="61" t="e">
        <v>#N/A</v>
      </c>
      <c r="AR126" s="61" t="e">
        <v>#N/A</v>
      </c>
      <c r="AS126" s="61" t="e">
        <v>#N/A</v>
      </c>
      <c r="AT126" s="61" t="e">
        <v>#N/A</v>
      </c>
      <c r="AU126" s="61" t="e">
        <v>#N/A</v>
      </c>
      <c r="AV126" s="61" t="e">
        <v>#N/A</v>
      </c>
      <c r="AW126" s="61" t="e">
        <v>#N/A</v>
      </c>
      <c r="AX126" s="65" t="e">
        <v>#N/A</v>
      </c>
      <c r="AY126" s="66" t="s">
        <v>121</v>
      </c>
      <c r="AZ126" s="61" t="s">
        <v>121</v>
      </c>
      <c r="BA126" s="61">
        <v>79.725999999999999</v>
      </c>
      <c r="BB126" s="61">
        <v>79.725999999999999</v>
      </c>
      <c r="BC126" s="61" t="s">
        <v>121</v>
      </c>
      <c r="BD126" s="61" t="s">
        <v>121</v>
      </c>
      <c r="BE126" s="61" t="s">
        <v>121</v>
      </c>
      <c r="BF126" s="61" t="s">
        <v>121</v>
      </c>
      <c r="BG126" s="61">
        <v>1.8080000000000001</v>
      </c>
      <c r="BH126" s="61" t="s">
        <v>121</v>
      </c>
      <c r="BI126" s="61">
        <v>2.3E-2</v>
      </c>
      <c r="BJ126" s="61">
        <v>1.831</v>
      </c>
      <c r="BK126" s="66">
        <v>1.831</v>
      </c>
      <c r="BL126" s="67">
        <v>2.7719999999999998</v>
      </c>
      <c r="BM126" s="61" t="s">
        <v>121</v>
      </c>
      <c r="BN126" s="61" t="s">
        <v>121</v>
      </c>
      <c r="BO126" s="61" t="s">
        <v>121</v>
      </c>
      <c r="BP126" s="61">
        <v>2.7719999999999998</v>
      </c>
      <c r="BQ126" s="61">
        <v>315.48099999999999</v>
      </c>
      <c r="BR126" s="61">
        <v>4.2270000000000003</v>
      </c>
      <c r="BS126" s="61" t="s">
        <v>121</v>
      </c>
      <c r="BT126" s="61">
        <v>2E-3</v>
      </c>
      <c r="BU126" s="61">
        <v>0.122</v>
      </c>
      <c r="BV126" s="61">
        <v>0.112</v>
      </c>
      <c r="BW126" s="61">
        <v>0.23400000000000001</v>
      </c>
      <c r="BX126" s="67">
        <v>319.94400000000002</v>
      </c>
      <c r="BY126" s="68">
        <v>65141</v>
      </c>
      <c r="BZ126" s="68">
        <v>80921</v>
      </c>
      <c r="CA126" s="69">
        <v>2197</v>
      </c>
      <c r="CB126" s="68">
        <v>103132</v>
      </c>
      <c r="CC126" s="68">
        <v>1408</v>
      </c>
      <c r="CD126" s="61"/>
      <c r="CE126" s="64"/>
      <c r="CF126" s="64"/>
      <c r="CG126" s="70">
        <f t="shared" si="6"/>
        <v>4331.5439999999999</v>
      </c>
      <c r="CH126" s="70">
        <f t="shared" si="7"/>
        <v>92.274000000000001</v>
      </c>
      <c r="CI126" s="70">
        <f t="shared" si="8"/>
        <v>59.136000000000003</v>
      </c>
      <c r="CJ126" s="70">
        <f t="shared" si="10"/>
        <v>2735.922</v>
      </c>
      <c r="CK126" s="70">
        <f t="shared" si="10"/>
        <v>3398.6819999999998</v>
      </c>
      <c r="CL126" s="70">
        <f t="shared" si="9"/>
        <v>59.136000000000003</v>
      </c>
      <c r="CM126" s="61"/>
      <c r="CN126" s="61"/>
      <c r="CO126" s="61"/>
      <c r="CP126" s="61"/>
      <c r="CQ126" s="61"/>
      <c r="CR126" s="61"/>
      <c r="CS126" s="61"/>
      <c r="CT126" s="61"/>
      <c r="CU126" s="61"/>
      <c r="CV126" s="61"/>
      <c r="CW126" s="61"/>
      <c r="CX126" s="61"/>
      <c r="CY126" s="61"/>
      <c r="CZ126" s="61"/>
      <c r="DA126" s="61"/>
      <c r="DB126" s="61"/>
      <c r="DC126" s="61"/>
      <c r="DD126" s="61"/>
      <c r="DE126" s="61"/>
      <c r="DF126" s="61"/>
      <c r="DG126" s="61"/>
      <c r="DH126" s="61"/>
      <c r="DI126" s="61"/>
      <c r="DJ126" s="61"/>
      <c r="DK126" s="61"/>
      <c r="DL126" s="61"/>
      <c r="DM126" s="61"/>
      <c r="DN126" s="61"/>
      <c r="DO126" s="61"/>
      <c r="DP126" s="61"/>
      <c r="DQ126" s="61"/>
      <c r="DR126" s="61"/>
      <c r="DS126" s="61"/>
      <c r="DT126" s="61"/>
      <c r="DU126" s="61"/>
      <c r="DV126" s="61"/>
      <c r="DW126" s="61"/>
      <c r="DX126" s="61"/>
      <c r="DY126" s="61"/>
      <c r="DZ126" s="61"/>
      <c r="EA126" s="61"/>
      <c r="EB126" s="61"/>
      <c r="EC126" s="61"/>
      <c r="ED126" s="61"/>
      <c r="EE126" s="61"/>
      <c r="EF126" s="61"/>
      <c r="EG126" s="61"/>
      <c r="EH126" s="61"/>
      <c r="EI126" s="61"/>
      <c r="EJ126" s="61"/>
      <c r="EK126" s="61"/>
      <c r="EL126" s="61"/>
      <c r="EM126" s="61"/>
      <c r="EN126" s="61"/>
      <c r="EO126" s="61"/>
      <c r="EP126" s="61"/>
      <c r="EQ126" s="61"/>
      <c r="ER126" s="61"/>
      <c r="ES126" s="61"/>
      <c r="ET126" s="61"/>
      <c r="EU126" s="61"/>
      <c r="EV126" s="61"/>
      <c r="EW126" s="61"/>
    </row>
    <row r="127" spans="1:153">
      <c r="A127" s="56">
        <v>30437</v>
      </c>
      <c r="B127" s="57"/>
      <c r="C127" s="7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71"/>
      <c r="P127" s="60">
        <v>227.89699999999999</v>
      </c>
      <c r="Q127" s="61">
        <v>5.3630000000000004</v>
      </c>
      <c r="R127" s="61">
        <v>246.64699999999999</v>
      </c>
      <c r="S127" s="61">
        <v>581.74099999999999</v>
      </c>
      <c r="T127" s="61">
        <v>331.65600000000001</v>
      </c>
      <c r="U127" s="61">
        <v>3.4340000000000002</v>
      </c>
      <c r="V127" s="61" t="s">
        <v>121</v>
      </c>
      <c r="W127" s="61">
        <v>3.0000000000000001E-3</v>
      </c>
      <c r="X127" s="61">
        <v>227.89699999999999</v>
      </c>
      <c r="Y127" s="61">
        <v>13.387</v>
      </c>
      <c r="Z127" s="61">
        <v>5.3630000000000004</v>
      </c>
      <c r="AA127" s="61">
        <v>246.64699999999999</v>
      </c>
      <c r="AB127" s="60">
        <v>581.74099999999999</v>
      </c>
      <c r="AC127" s="62"/>
      <c r="AD127" s="61"/>
      <c r="AE127" s="61"/>
      <c r="AF127" s="61"/>
      <c r="AG127" s="61"/>
      <c r="AH127" s="61"/>
      <c r="AI127" s="61"/>
      <c r="AJ127" s="61"/>
      <c r="AK127" s="62"/>
      <c r="AL127" s="63"/>
      <c r="AM127" s="64"/>
      <c r="AN127" s="65" t="e">
        <v>#N/A</v>
      </c>
      <c r="AO127" s="61" t="e">
        <v>#N/A</v>
      </c>
      <c r="AP127" s="61" t="e">
        <v>#N/A</v>
      </c>
      <c r="AQ127" s="61" t="e">
        <v>#N/A</v>
      </c>
      <c r="AR127" s="61" t="e">
        <v>#N/A</v>
      </c>
      <c r="AS127" s="61" t="e">
        <v>#N/A</v>
      </c>
      <c r="AT127" s="61" t="e">
        <v>#N/A</v>
      </c>
      <c r="AU127" s="61" t="e">
        <v>#N/A</v>
      </c>
      <c r="AV127" s="61" t="e">
        <v>#N/A</v>
      </c>
      <c r="AW127" s="61" t="e">
        <v>#N/A</v>
      </c>
      <c r="AX127" s="65" t="e">
        <v>#N/A</v>
      </c>
      <c r="AY127" s="66" t="s">
        <v>121</v>
      </c>
      <c r="AZ127" s="61" t="s">
        <v>121</v>
      </c>
      <c r="BA127" s="61">
        <v>82.384</v>
      </c>
      <c r="BB127" s="61">
        <v>82.384</v>
      </c>
      <c r="BC127" s="61" t="s">
        <v>121</v>
      </c>
      <c r="BD127" s="61" t="s">
        <v>121</v>
      </c>
      <c r="BE127" s="61" t="s">
        <v>121</v>
      </c>
      <c r="BF127" s="61" t="s">
        <v>121</v>
      </c>
      <c r="BG127" s="61">
        <v>1.8680000000000001</v>
      </c>
      <c r="BH127" s="61" t="s">
        <v>121</v>
      </c>
      <c r="BI127" s="61">
        <v>2.3E-2</v>
      </c>
      <c r="BJ127" s="61">
        <v>1.8919999999999999</v>
      </c>
      <c r="BK127" s="66">
        <v>1.8919999999999999</v>
      </c>
      <c r="BL127" s="67">
        <v>2.8639999999999999</v>
      </c>
      <c r="BM127" s="61" t="s">
        <v>121</v>
      </c>
      <c r="BN127" s="61" t="s">
        <v>121</v>
      </c>
      <c r="BO127" s="61" t="s">
        <v>121</v>
      </c>
      <c r="BP127" s="61">
        <v>2.8639999999999999</v>
      </c>
      <c r="BQ127" s="61">
        <v>328.15600000000001</v>
      </c>
      <c r="BR127" s="61">
        <v>3.4340000000000002</v>
      </c>
      <c r="BS127" s="61" t="s">
        <v>121</v>
      </c>
      <c r="BT127" s="61">
        <v>3.0000000000000001E-3</v>
      </c>
      <c r="BU127" s="61">
        <v>0.111</v>
      </c>
      <c r="BV127" s="61">
        <v>0.19800000000000001</v>
      </c>
      <c r="BW127" s="61">
        <v>0.309</v>
      </c>
      <c r="BX127" s="67">
        <v>331.90199999999999</v>
      </c>
      <c r="BY127" s="68">
        <v>75762</v>
      </c>
      <c r="BZ127" s="68">
        <v>72980</v>
      </c>
      <c r="CA127" s="69">
        <v>4547</v>
      </c>
      <c r="CB127" s="68">
        <v>108904</v>
      </c>
      <c r="CC127" s="68">
        <v>1559</v>
      </c>
      <c r="CD127" s="61"/>
      <c r="CE127" s="64"/>
      <c r="CF127" s="64"/>
      <c r="CG127" s="70">
        <f t="shared" si="6"/>
        <v>4573.9679999999998</v>
      </c>
      <c r="CH127" s="70">
        <f t="shared" si="7"/>
        <v>190.97399999999999</v>
      </c>
      <c r="CI127" s="70">
        <f t="shared" si="8"/>
        <v>65.477999999999994</v>
      </c>
      <c r="CJ127" s="70">
        <f t="shared" si="10"/>
        <v>3182.0039999999999</v>
      </c>
      <c r="CK127" s="70">
        <f t="shared" si="10"/>
        <v>3065.16</v>
      </c>
      <c r="CL127" s="70">
        <f t="shared" si="9"/>
        <v>65.477999999999994</v>
      </c>
      <c r="CM127" s="61"/>
      <c r="CN127" s="61"/>
      <c r="CO127" s="61"/>
      <c r="CP127" s="61"/>
      <c r="CQ127" s="61"/>
      <c r="CR127" s="61"/>
      <c r="CS127" s="61"/>
      <c r="CT127" s="61"/>
      <c r="CU127" s="61"/>
      <c r="CV127" s="61"/>
      <c r="CW127" s="61"/>
      <c r="CX127" s="61"/>
      <c r="CY127" s="61"/>
      <c r="CZ127" s="61"/>
      <c r="DA127" s="61"/>
      <c r="DB127" s="61"/>
      <c r="DC127" s="61"/>
      <c r="DD127" s="61"/>
      <c r="DE127" s="61"/>
      <c r="DF127" s="61"/>
      <c r="DG127" s="61"/>
      <c r="DH127" s="61"/>
      <c r="DI127" s="61"/>
      <c r="DJ127" s="61"/>
      <c r="DK127" s="61"/>
      <c r="DL127" s="61"/>
      <c r="DM127" s="61"/>
      <c r="DN127" s="61"/>
      <c r="DO127" s="61"/>
      <c r="DP127" s="61"/>
      <c r="DQ127" s="61"/>
      <c r="DR127" s="61"/>
      <c r="DS127" s="61"/>
      <c r="DT127" s="61"/>
      <c r="DU127" s="61"/>
      <c r="DV127" s="61"/>
      <c r="DW127" s="61"/>
      <c r="DX127" s="61"/>
      <c r="DY127" s="61"/>
      <c r="DZ127" s="61"/>
      <c r="EA127" s="61"/>
      <c r="EB127" s="61"/>
      <c r="EC127" s="61"/>
      <c r="ED127" s="61"/>
      <c r="EE127" s="61"/>
      <c r="EF127" s="61"/>
      <c r="EG127" s="61"/>
      <c r="EH127" s="61"/>
      <c r="EI127" s="61"/>
      <c r="EJ127" s="61"/>
      <c r="EK127" s="61"/>
      <c r="EL127" s="61"/>
      <c r="EM127" s="61"/>
      <c r="EN127" s="61"/>
      <c r="EO127" s="61"/>
      <c r="EP127" s="61"/>
      <c r="EQ127" s="61"/>
      <c r="ER127" s="61"/>
      <c r="ES127" s="61"/>
      <c r="ET127" s="61"/>
      <c r="EU127" s="61"/>
      <c r="EV127" s="61"/>
      <c r="EW127" s="61"/>
    </row>
    <row r="128" spans="1:153">
      <c r="A128" s="56">
        <v>30468</v>
      </c>
      <c r="B128" s="57"/>
      <c r="C128" s="7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71"/>
      <c r="P128" s="60">
        <v>220.58199999999999</v>
      </c>
      <c r="Q128" s="61">
        <v>5.19</v>
      </c>
      <c r="R128" s="61">
        <v>238.73599999999999</v>
      </c>
      <c r="S128" s="61">
        <v>569.49300000000005</v>
      </c>
      <c r="T128" s="61">
        <v>326.23700000000002</v>
      </c>
      <c r="U128" s="61">
        <v>4.5179999999999998</v>
      </c>
      <c r="V128" s="61" t="s">
        <v>121</v>
      </c>
      <c r="W128" s="61">
        <v>2E-3</v>
      </c>
      <c r="X128" s="61">
        <v>220.58199999999999</v>
      </c>
      <c r="Y128" s="61">
        <v>12.964</v>
      </c>
      <c r="Z128" s="61">
        <v>5.19</v>
      </c>
      <c r="AA128" s="61">
        <v>238.73599999999999</v>
      </c>
      <c r="AB128" s="60">
        <v>569.49300000000005</v>
      </c>
      <c r="AC128" s="62"/>
      <c r="AD128" s="61"/>
      <c r="AE128" s="61"/>
      <c r="AF128" s="61"/>
      <c r="AG128" s="61"/>
      <c r="AH128" s="61"/>
      <c r="AI128" s="61"/>
      <c r="AJ128" s="61"/>
      <c r="AK128" s="62"/>
      <c r="AL128" s="63"/>
      <c r="AM128" s="64"/>
      <c r="AN128" s="65" t="e">
        <v>#N/A</v>
      </c>
      <c r="AO128" s="61" t="e">
        <v>#N/A</v>
      </c>
      <c r="AP128" s="61" t="e">
        <v>#N/A</v>
      </c>
      <c r="AQ128" s="61" t="e">
        <v>#N/A</v>
      </c>
      <c r="AR128" s="61" t="e">
        <v>#N/A</v>
      </c>
      <c r="AS128" s="61" t="e">
        <v>#N/A</v>
      </c>
      <c r="AT128" s="61" t="e">
        <v>#N/A</v>
      </c>
      <c r="AU128" s="61" t="e">
        <v>#N/A</v>
      </c>
      <c r="AV128" s="61" t="e">
        <v>#N/A</v>
      </c>
      <c r="AW128" s="61" t="e">
        <v>#N/A</v>
      </c>
      <c r="AX128" s="65" t="e">
        <v>#N/A</v>
      </c>
      <c r="AY128" s="66" t="s">
        <v>121</v>
      </c>
      <c r="AZ128" s="61" t="s">
        <v>121</v>
      </c>
      <c r="BA128" s="61">
        <v>79.725999999999999</v>
      </c>
      <c r="BB128" s="61">
        <v>79.725999999999999</v>
      </c>
      <c r="BC128" s="61" t="s">
        <v>121</v>
      </c>
      <c r="BD128" s="61" t="s">
        <v>121</v>
      </c>
      <c r="BE128" s="61" t="s">
        <v>121</v>
      </c>
      <c r="BF128" s="61" t="s">
        <v>121</v>
      </c>
      <c r="BG128" s="61">
        <v>1.8080000000000001</v>
      </c>
      <c r="BH128" s="61" t="s">
        <v>121</v>
      </c>
      <c r="BI128" s="61">
        <v>2.3E-2</v>
      </c>
      <c r="BJ128" s="61">
        <v>1.831</v>
      </c>
      <c r="BK128" s="66">
        <v>1.831</v>
      </c>
      <c r="BL128" s="67">
        <v>2.7719999999999998</v>
      </c>
      <c r="BM128" s="61" t="s">
        <v>121</v>
      </c>
      <c r="BN128" s="61" t="s">
        <v>121</v>
      </c>
      <c r="BO128" s="61" t="s">
        <v>121</v>
      </c>
      <c r="BP128" s="61">
        <v>2.7719999999999998</v>
      </c>
      <c r="BQ128" s="61">
        <v>322.88299999999998</v>
      </c>
      <c r="BR128" s="61">
        <v>4.5179999999999998</v>
      </c>
      <c r="BS128" s="61" t="s">
        <v>121</v>
      </c>
      <c r="BT128" s="61">
        <v>2E-3</v>
      </c>
      <c r="BU128" s="61">
        <v>0.14399999999999999</v>
      </c>
      <c r="BV128" s="61">
        <v>0.2</v>
      </c>
      <c r="BW128" s="61">
        <v>0.34399999999999997</v>
      </c>
      <c r="BX128" s="67">
        <v>327.74700000000001</v>
      </c>
      <c r="BY128" s="68">
        <v>76376</v>
      </c>
      <c r="BZ128" s="68">
        <v>75715</v>
      </c>
      <c r="CA128" s="69">
        <v>5362</v>
      </c>
      <c r="CB128" s="68">
        <v>113723</v>
      </c>
      <c r="CC128" s="68">
        <v>1203</v>
      </c>
      <c r="CD128" s="61"/>
      <c r="CE128" s="64"/>
      <c r="CF128" s="64"/>
      <c r="CG128" s="70">
        <f t="shared" si="6"/>
        <v>4776.366</v>
      </c>
      <c r="CH128" s="70">
        <f t="shared" si="7"/>
        <v>225.20400000000001</v>
      </c>
      <c r="CI128" s="70">
        <f t="shared" si="8"/>
        <v>50.526000000000003</v>
      </c>
      <c r="CJ128" s="70">
        <f t="shared" si="10"/>
        <v>3207.7919999999999</v>
      </c>
      <c r="CK128" s="70">
        <f t="shared" si="10"/>
        <v>3180.03</v>
      </c>
      <c r="CL128" s="70">
        <f t="shared" si="9"/>
        <v>50.526000000000003</v>
      </c>
      <c r="CM128" s="61"/>
      <c r="CN128" s="61"/>
      <c r="CO128" s="61"/>
      <c r="CP128" s="61"/>
      <c r="CQ128" s="61"/>
      <c r="CR128" s="61"/>
      <c r="CS128" s="61"/>
      <c r="CT128" s="61"/>
      <c r="CU128" s="61"/>
      <c r="CV128" s="61"/>
      <c r="CW128" s="61"/>
      <c r="CX128" s="61"/>
      <c r="CY128" s="61"/>
      <c r="CZ128" s="61"/>
      <c r="DA128" s="61"/>
      <c r="DB128" s="61"/>
      <c r="DC128" s="61"/>
      <c r="DD128" s="61"/>
      <c r="DE128" s="61"/>
      <c r="DF128" s="61"/>
      <c r="DG128" s="61"/>
      <c r="DH128" s="61"/>
      <c r="DI128" s="61"/>
      <c r="DJ128" s="61"/>
      <c r="DK128" s="61"/>
      <c r="DL128" s="61"/>
      <c r="DM128" s="61"/>
      <c r="DN128" s="61"/>
      <c r="DO128" s="61"/>
      <c r="DP128" s="61"/>
      <c r="DQ128" s="61"/>
      <c r="DR128" s="61"/>
      <c r="DS128" s="61"/>
      <c r="DT128" s="61"/>
      <c r="DU128" s="61"/>
      <c r="DV128" s="61"/>
      <c r="DW128" s="61"/>
      <c r="DX128" s="61"/>
      <c r="DY128" s="61"/>
      <c r="DZ128" s="61"/>
      <c r="EA128" s="61"/>
      <c r="EB128" s="61"/>
      <c r="EC128" s="61"/>
      <c r="ED128" s="61"/>
      <c r="EE128" s="61"/>
      <c r="EF128" s="61"/>
      <c r="EG128" s="61"/>
      <c r="EH128" s="61"/>
      <c r="EI128" s="61"/>
      <c r="EJ128" s="61"/>
      <c r="EK128" s="61"/>
      <c r="EL128" s="61"/>
      <c r="EM128" s="61"/>
      <c r="EN128" s="61"/>
      <c r="EO128" s="61"/>
      <c r="EP128" s="61"/>
      <c r="EQ128" s="61"/>
      <c r="ER128" s="61"/>
      <c r="ES128" s="61"/>
      <c r="ET128" s="61"/>
      <c r="EU128" s="61"/>
      <c r="EV128" s="61"/>
      <c r="EW128" s="61"/>
    </row>
    <row r="129" spans="1:153">
      <c r="A129" s="56">
        <v>30498</v>
      </c>
      <c r="B129" s="57"/>
      <c r="C129" s="7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71"/>
      <c r="P129" s="60">
        <v>227.93299999999999</v>
      </c>
      <c r="Q129" s="61">
        <v>5.3630000000000004</v>
      </c>
      <c r="R129" s="61">
        <v>246.65100000000001</v>
      </c>
      <c r="S129" s="61">
        <v>550.99300000000005</v>
      </c>
      <c r="T129" s="61">
        <v>298.71499999999997</v>
      </c>
      <c r="U129" s="61">
        <v>5.6269999999999998</v>
      </c>
      <c r="V129" s="61" t="s">
        <v>121</v>
      </c>
      <c r="W129" s="61">
        <v>1E-3</v>
      </c>
      <c r="X129" s="61">
        <v>227.93299999999999</v>
      </c>
      <c r="Y129" s="61">
        <v>13.353999999999999</v>
      </c>
      <c r="Z129" s="61">
        <v>5.3630000000000004</v>
      </c>
      <c r="AA129" s="61">
        <v>246.65100000000001</v>
      </c>
      <c r="AB129" s="60">
        <v>550.99300000000005</v>
      </c>
      <c r="AC129" s="62"/>
      <c r="AD129" s="61"/>
      <c r="AE129" s="61"/>
      <c r="AF129" s="61"/>
      <c r="AG129" s="61"/>
      <c r="AH129" s="61"/>
      <c r="AI129" s="61"/>
      <c r="AJ129" s="61"/>
      <c r="AK129" s="62"/>
      <c r="AL129" s="63"/>
      <c r="AM129" s="64"/>
      <c r="AN129" s="65" t="e">
        <v>#N/A</v>
      </c>
      <c r="AO129" s="61" t="e">
        <v>#N/A</v>
      </c>
      <c r="AP129" s="61" t="e">
        <v>#N/A</v>
      </c>
      <c r="AQ129" s="61" t="e">
        <v>#N/A</v>
      </c>
      <c r="AR129" s="61" t="e">
        <v>#N/A</v>
      </c>
      <c r="AS129" s="61" t="e">
        <v>#N/A</v>
      </c>
      <c r="AT129" s="61" t="e">
        <v>#N/A</v>
      </c>
      <c r="AU129" s="61" t="e">
        <v>#N/A</v>
      </c>
      <c r="AV129" s="61" t="e">
        <v>#N/A</v>
      </c>
      <c r="AW129" s="61" t="e">
        <v>#N/A</v>
      </c>
      <c r="AX129" s="65" t="e">
        <v>#N/A</v>
      </c>
      <c r="AY129" s="66" t="s">
        <v>121</v>
      </c>
      <c r="AZ129" s="61" t="s">
        <v>121</v>
      </c>
      <c r="BA129" s="61">
        <v>82.384</v>
      </c>
      <c r="BB129" s="61">
        <v>82.384</v>
      </c>
      <c r="BC129" s="61" t="s">
        <v>121</v>
      </c>
      <c r="BD129" s="61" t="s">
        <v>121</v>
      </c>
      <c r="BE129" s="61" t="s">
        <v>121</v>
      </c>
      <c r="BF129" s="61" t="s">
        <v>121</v>
      </c>
      <c r="BG129" s="61">
        <v>1.8680000000000001</v>
      </c>
      <c r="BH129" s="61" t="s">
        <v>121</v>
      </c>
      <c r="BI129" s="61">
        <v>2.3E-2</v>
      </c>
      <c r="BJ129" s="61">
        <v>1.8919999999999999</v>
      </c>
      <c r="BK129" s="66">
        <v>1.8919999999999999</v>
      </c>
      <c r="BL129" s="67">
        <v>2.8639999999999999</v>
      </c>
      <c r="BM129" s="61" t="s">
        <v>121</v>
      </c>
      <c r="BN129" s="61" t="s">
        <v>121</v>
      </c>
      <c r="BO129" s="61" t="s">
        <v>121</v>
      </c>
      <c r="BP129" s="61">
        <v>2.8639999999999999</v>
      </c>
      <c r="BQ129" s="61">
        <v>295.75299999999999</v>
      </c>
      <c r="BR129" s="61">
        <v>5.6269999999999998</v>
      </c>
      <c r="BS129" s="61" t="s">
        <v>121</v>
      </c>
      <c r="BT129" s="61">
        <v>1E-3</v>
      </c>
      <c r="BU129" s="61">
        <v>0.14699999999999999</v>
      </c>
      <c r="BV129" s="61">
        <v>0.16500000000000001</v>
      </c>
      <c r="BW129" s="61">
        <v>0.313</v>
      </c>
      <c r="BX129" s="67">
        <v>301.69400000000002</v>
      </c>
      <c r="BY129" s="68">
        <v>80723</v>
      </c>
      <c r="BZ129" s="68">
        <v>70362</v>
      </c>
      <c r="CA129" s="69">
        <v>8265</v>
      </c>
      <c r="CB129" s="68">
        <v>130655</v>
      </c>
      <c r="CC129" s="68">
        <v>1695</v>
      </c>
      <c r="CD129" s="61"/>
      <c r="CE129" s="64"/>
      <c r="CF129" s="64"/>
      <c r="CG129" s="70">
        <f t="shared" si="6"/>
        <v>5487.51</v>
      </c>
      <c r="CH129" s="70">
        <f t="shared" si="7"/>
        <v>347.13</v>
      </c>
      <c r="CI129" s="70">
        <f t="shared" si="8"/>
        <v>71.19</v>
      </c>
      <c r="CJ129" s="70">
        <f t="shared" si="10"/>
        <v>3390.366</v>
      </c>
      <c r="CK129" s="70">
        <f t="shared" si="10"/>
        <v>2955.2040000000002</v>
      </c>
      <c r="CL129" s="70">
        <f t="shared" si="9"/>
        <v>71.19</v>
      </c>
      <c r="CM129" s="61"/>
      <c r="CN129" s="61"/>
      <c r="CO129" s="61"/>
      <c r="CP129" s="61"/>
      <c r="CQ129" s="61"/>
      <c r="CR129" s="61"/>
      <c r="CS129" s="61"/>
      <c r="CT129" s="61"/>
      <c r="CU129" s="61"/>
      <c r="CV129" s="61"/>
      <c r="CW129" s="61"/>
      <c r="CX129" s="61"/>
      <c r="CY129" s="61"/>
      <c r="CZ129" s="61"/>
      <c r="DA129" s="61"/>
      <c r="DB129" s="61"/>
      <c r="DC129" s="61"/>
      <c r="DD129" s="61"/>
      <c r="DE129" s="61"/>
      <c r="DF129" s="61"/>
      <c r="DG129" s="61"/>
      <c r="DH129" s="61"/>
      <c r="DI129" s="61"/>
      <c r="DJ129" s="61"/>
      <c r="DK129" s="61"/>
      <c r="DL129" s="61"/>
      <c r="DM129" s="61"/>
      <c r="DN129" s="61"/>
      <c r="DO129" s="61"/>
      <c r="DP129" s="61"/>
      <c r="DQ129" s="61"/>
      <c r="DR129" s="61"/>
      <c r="DS129" s="61"/>
      <c r="DT129" s="61"/>
      <c r="DU129" s="61"/>
      <c r="DV129" s="61"/>
      <c r="DW129" s="61"/>
      <c r="DX129" s="61"/>
      <c r="DY129" s="61"/>
      <c r="DZ129" s="61"/>
      <c r="EA129" s="61"/>
      <c r="EB129" s="61"/>
      <c r="EC129" s="61"/>
      <c r="ED129" s="61"/>
      <c r="EE129" s="61"/>
      <c r="EF129" s="61"/>
      <c r="EG129" s="61"/>
      <c r="EH129" s="61"/>
      <c r="EI129" s="61"/>
      <c r="EJ129" s="61"/>
      <c r="EK129" s="61"/>
      <c r="EL129" s="61"/>
      <c r="EM129" s="61"/>
      <c r="EN129" s="61"/>
      <c r="EO129" s="61"/>
      <c r="EP129" s="61"/>
      <c r="EQ129" s="61"/>
      <c r="ER129" s="61"/>
      <c r="ES129" s="61"/>
      <c r="ET129" s="61"/>
      <c r="EU129" s="61"/>
      <c r="EV129" s="61"/>
      <c r="EW129" s="61"/>
    </row>
    <row r="130" spans="1:153">
      <c r="A130" s="56">
        <v>30529</v>
      </c>
      <c r="B130" s="57"/>
      <c r="C130" s="7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71"/>
      <c r="P130" s="60">
        <v>227.97800000000001</v>
      </c>
      <c r="Q130" s="61">
        <v>5.3630000000000004</v>
      </c>
      <c r="R130" s="61">
        <v>246.69499999999999</v>
      </c>
      <c r="S130" s="61">
        <v>528.28800000000001</v>
      </c>
      <c r="T130" s="61">
        <v>274.18900000000002</v>
      </c>
      <c r="U130" s="61">
        <v>7.4039999999999999</v>
      </c>
      <c r="V130" s="61" t="s">
        <v>121</v>
      </c>
      <c r="W130" s="61">
        <v>0</v>
      </c>
      <c r="X130" s="61">
        <v>227.97800000000001</v>
      </c>
      <c r="Y130" s="61">
        <v>13.353999999999999</v>
      </c>
      <c r="Z130" s="61">
        <v>5.3630000000000004</v>
      </c>
      <c r="AA130" s="61">
        <v>246.69499999999999</v>
      </c>
      <c r="AB130" s="60">
        <v>528.28800000000001</v>
      </c>
      <c r="AC130" s="62"/>
      <c r="AD130" s="61"/>
      <c r="AE130" s="61"/>
      <c r="AF130" s="61"/>
      <c r="AG130" s="61"/>
      <c r="AH130" s="61"/>
      <c r="AI130" s="61"/>
      <c r="AJ130" s="61"/>
      <c r="AK130" s="62"/>
      <c r="AL130" s="63"/>
      <c r="AM130" s="64"/>
      <c r="AN130" s="65" t="e">
        <v>#N/A</v>
      </c>
      <c r="AO130" s="61" t="e">
        <v>#N/A</v>
      </c>
      <c r="AP130" s="61" t="e">
        <v>#N/A</v>
      </c>
      <c r="AQ130" s="61" t="e">
        <v>#N/A</v>
      </c>
      <c r="AR130" s="61" t="e">
        <v>#N/A</v>
      </c>
      <c r="AS130" s="61" t="e">
        <v>#N/A</v>
      </c>
      <c r="AT130" s="61" t="e">
        <v>#N/A</v>
      </c>
      <c r="AU130" s="61" t="e">
        <v>#N/A</v>
      </c>
      <c r="AV130" s="61" t="e">
        <v>#N/A</v>
      </c>
      <c r="AW130" s="61" t="e">
        <v>#N/A</v>
      </c>
      <c r="AX130" s="65" t="e">
        <v>#N/A</v>
      </c>
      <c r="AY130" s="66" t="s">
        <v>121</v>
      </c>
      <c r="AZ130" s="61" t="s">
        <v>121</v>
      </c>
      <c r="BA130" s="61">
        <v>82.384</v>
      </c>
      <c r="BB130" s="61">
        <v>82.384</v>
      </c>
      <c r="BC130" s="61" t="s">
        <v>121</v>
      </c>
      <c r="BD130" s="61" t="s">
        <v>121</v>
      </c>
      <c r="BE130" s="61" t="s">
        <v>121</v>
      </c>
      <c r="BF130" s="61" t="s">
        <v>121</v>
      </c>
      <c r="BG130" s="61">
        <v>1.8680000000000001</v>
      </c>
      <c r="BH130" s="61" t="s">
        <v>121</v>
      </c>
      <c r="BI130" s="61">
        <v>2.3E-2</v>
      </c>
      <c r="BJ130" s="61">
        <v>1.8919999999999999</v>
      </c>
      <c r="BK130" s="66">
        <v>1.8919999999999999</v>
      </c>
      <c r="BL130" s="67">
        <v>2.8639999999999999</v>
      </c>
      <c r="BM130" s="61" t="s">
        <v>121</v>
      </c>
      <c r="BN130" s="61" t="s">
        <v>121</v>
      </c>
      <c r="BO130" s="61" t="s">
        <v>121</v>
      </c>
      <c r="BP130" s="61">
        <v>2.8639999999999999</v>
      </c>
      <c r="BQ130" s="61">
        <v>271.70600000000002</v>
      </c>
      <c r="BR130" s="61">
        <v>7.4039999999999999</v>
      </c>
      <c r="BS130" s="61" t="s">
        <v>121</v>
      </c>
      <c r="BT130" s="61">
        <v>0</v>
      </c>
      <c r="BU130" s="61">
        <v>0.191</v>
      </c>
      <c r="BV130" s="61">
        <v>0.16500000000000001</v>
      </c>
      <c r="BW130" s="61">
        <v>0.35699999999999998</v>
      </c>
      <c r="BX130" s="67">
        <v>279.46699999999998</v>
      </c>
      <c r="BY130" s="68">
        <v>81077</v>
      </c>
      <c r="BZ130" s="68">
        <v>77348</v>
      </c>
      <c r="CA130" s="69">
        <v>9346</v>
      </c>
      <c r="CB130" s="68">
        <v>142406</v>
      </c>
      <c r="CC130" s="68">
        <v>1324</v>
      </c>
      <c r="CD130" s="61"/>
      <c r="CE130" s="64"/>
      <c r="CF130" s="64"/>
      <c r="CG130" s="70">
        <f t="shared" si="6"/>
        <v>5981.0519999999997</v>
      </c>
      <c r="CH130" s="70">
        <f t="shared" si="7"/>
        <v>392.53199999999998</v>
      </c>
      <c r="CI130" s="70">
        <f t="shared" si="8"/>
        <v>55.607999999999997</v>
      </c>
      <c r="CJ130" s="70">
        <f t="shared" si="10"/>
        <v>3405.2339999999999</v>
      </c>
      <c r="CK130" s="70">
        <f t="shared" si="10"/>
        <v>3248.616</v>
      </c>
      <c r="CL130" s="70">
        <f t="shared" si="9"/>
        <v>55.607999999999997</v>
      </c>
      <c r="CM130" s="61"/>
      <c r="CN130" s="61"/>
      <c r="CO130" s="61"/>
      <c r="CP130" s="61"/>
      <c r="CQ130" s="61"/>
      <c r="CR130" s="61"/>
      <c r="CS130" s="61"/>
      <c r="CT130" s="61"/>
      <c r="CU130" s="61"/>
      <c r="CV130" s="61"/>
      <c r="CW130" s="61"/>
      <c r="CX130" s="61"/>
      <c r="CY130" s="61"/>
      <c r="CZ130" s="61"/>
      <c r="DA130" s="61"/>
      <c r="DB130" s="61"/>
      <c r="DC130" s="61"/>
      <c r="DD130" s="61"/>
      <c r="DE130" s="61"/>
      <c r="DF130" s="61"/>
      <c r="DG130" s="61"/>
      <c r="DH130" s="61"/>
      <c r="DI130" s="61"/>
      <c r="DJ130" s="61"/>
      <c r="DK130" s="61"/>
      <c r="DL130" s="61"/>
      <c r="DM130" s="61"/>
      <c r="DN130" s="61"/>
      <c r="DO130" s="61"/>
      <c r="DP130" s="61"/>
      <c r="DQ130" s="61"/>
      <c r="DR130" s="61"/>
      <c r="DS130" s="61"/>
      <c r="DT130" s="61"/>
      <c r="DU130" s="61"/>
      <c r="DV130" s="61"/>
      <c r="DW130" s="61"/>
      <c r="DX130" s="61"/>
      <c r="DY130" s="61"/>
      <c r="DZ130" s="61"/>
      <c r="EA130" s="61"/>
      <c r="EB130" s="61"/>
      <c r="EC130" s="61"/>
      <c r="ED130" s="61"/>
      <c r="EE130" s="61"/>
      <c r="EF130" s="61"/>
      <c r="EG130" s="61"/>
      <c r="EH130" s="61"/>
      <c r="EI130" s="61"/>
      <c r="EJ130" s="61"/>
      <c r="EK130" s="61"/>
      <c r="EL130" s="61"/>
      <c r="EM130" s="61"/>
      <c r="EN130" s="61"/>
      <c r="EO130" s="61"/>
      <c r="EP130" s="61"/>
      <c r="EQ130" s="61"/>
      <c r="ER130" s="61"/>
      <c r="ES130" s="61"/>
      <c r="ET130" s="61"/>
      <c r="EU130" s="61"/>
      <c r="EV130" s="61"/>
      <c r="EW130" s="61"/>
    </row>
    <row r="131" spans="1:153">
      <c r="A131" s="56">
        <v>30560</v>
      </c>
      <c r="B131" s="57"/>
      <c r="C131" s="7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71"/>
      <c r="P131" s="60">
        <v>220.64099999999999</v>
      </c>
      <c r="Q131" s="61">
        <v>5.19</v>
      </c>
      <c r="R131" s="61">
        <v>238.755</v>
      </c>
      <c r="S131" s="61">
        <v>476.173</v>
      </c>
      <c r="T131" s="61">
        <v>230.65</v>
      </c>
      <c r="U131" s="61">
        <v>6.7640000000000002</v>
      </c>
      <c r="V131" s="61" t="s">
        <v>121</v>
      </c>
      <c r="W131" s="61">
        <v>4.0000000000000001E-3</v>
      </c>
      <c r="X131" s="61">
        <v>220.64099999999999</v>
      </c>
      <c r="Y131" s="61">
        <v>12.923999999999999</v>
      </c>
      <c r="Z131" s="61">
        <v>5.19</v>
      </c>
      <c r="AA131" s="61">
        <v>238.755</v>
      </c>
      <c r="AB131" s="60">
        <v>476.173</v>
      </c>
      <c r="AC131" s="62"/>
      <c r="AD131" s="61"/>
      <c r="AE131" s="61"/>
      <c r="AF131" s="61"/>
      <c r="AG131" s="61"/>
      <c r="AH131" s="61"/>
      <c r="AI131" s="61"/>
      <c r="AJ131" s="61"/>
      <c r="AK131" s="62"/>
      <c r="AL131" s="63"/>
      <c r="AM131" s="64"/>
      <c r="AN131" s="65" t="e">
        <v>#N/A</v>
      </c>
      <c r="AO131" s="61" t="e">
        <v>#N/A</v>
      </c>
      <c r="AP131" s="61" t="e">
        <v>#N/A</v>
      </c>
      <c r="AQ131" s="61" t="e">
        <v>#N/A</v>
      </c>
      <c r="AR131" s="61" t="e">
        <v>#N/A</v>
      </c>
      <c r="AS131" s="61" t="e">
        <v>#N/A</v>
      </c>
      <c r="AT131" s="61" t="e">
        <v>#N/A</v>
      </c>
      <c r="AU131" s="61" t="e">
        <v>#N/A</v>
      </c>
      <c r="AV131" s="61" t="e">
        <v>#N/A</v>
      </c>
      <c r="AW131" s="61" t="e">
        <v>#N/A</v>
      </c>
      <c r="AX131" s="65" t="e">
        <v>#N/A</v>
      </c>
      <c r="AY131" s="66" t="s">
        <v>121</v>
      </c>
      <c r="AZ131" s="61" t="s">
        <v>121</v>
      </c>
      <c r="BA131" s="61">
        <v>79.725999999999999</v>
      </c>
      <c r="BB131" s="61">
        <v>79.725999999999999</v>
      </c>
      <c r="BC131" s="61" t="s">
        <v>121</v>
      </c>
      <c r="BD131" s="61" t="s">
        <v>121</v>
      </c>
      <c r="BE131" s="61" t="s">
        <v>121</v>
      </c>
      <c r="BF131" s="61" t="s">
        <v>121</v>
      </c>
      <c r="BG131" s="61">
        <v>1.8080000000000001</v>
      </c>
      <c r="BH131" s="61" t="s">
        <v>121</v>
      </c>
      <c r="BI131" s="61">
        <v>2.3E-2</v>
      </c>
      <c r="BJ131" s="61">
        <v>1.831</v>
      </c>
      <c r="BK131" s="66">
        <v>1.831</v>
      </c>
      <c r="BL131" s="67">
        <v>2.7719999999999998</v>
      </c>
      <c r="BM131" s="61" t="s">
        <v>121</v>
      </c>
      <c r="BN131" s="61" t="s">
        <v>121</v>
      </c>
      <c r="BO131" s="61" t="s">
        <v>121</v>
      </c>
      <c r="BP131" s="61">
        <v>2.7719999999999998</v>
      </c>
      <c r="BQ131" s="61">
        <v>228.40700000000001</v>
      </c>
      <c r="BR131" s="61">
        <v>6.7640000000000002</v>
      </c>
      <c r="BS131" s="61" t="s">
        <v>121</v>
      </c>
      <c r="BT131" s="61">
        <v>4.0000000000000001E-3</v>
      </c>
      <c r="BU131" s="61">
        <v>0.20300000000000001</v>
      </c>
      <c r="BV131" s="61">
        <v>0.161</v>
      </c>
      <c r="BW131" s="61">
        <v>0.36399999999999999</v>
      </c>
      <c r="BX131" s="67">
        <v>235.53899999999999</v>
      </c>
      <c r="BY131" s="68">
        <v>82183</v>
      </c>
      <c r="BZ131" s="68">
        <v>77262</v>
      </c>
      <c r="CA131" s="69">
        <v>7766</v>
      </c>
      <c r="CB131" s="68">
        <v>153996</v>
      </c>
      <c r="CC131" s="68">
        <v>1097</v>
      </c>
      <c r="CD131" s="61"/>
      <c r="CE131" s="64"/>
      <c r="CF131" s="64"/>
      <c r="CG131" s="70">
        <f t="shared" ref="CG131:CG194" si="11">CB131*42/1000</f>
        <v>6467.8320000000003</v>
      </c>
      <c r="CH131" s="70">
        <f t="shared" ref="CH131:CH194" si="12">CA131*42/1000</f>
        <v>326.17200000000003</v>
      </c>
      <c r="CI131" s="70">
        <f t="shared" ref="CI131:CI194" si="13">CC131*42/1000</f>
        <v>46.073999999999998</v>
      </c>
      <c r="CJ131" s="70">
        <f t="shared" si="10"/>
        <v>3451.6860000000001</v>
      </c>
      <c r="CK131" s="70">
        <f t="shared" si="10"/>
        <v>3245.0039999999999</v>
      </c>
      <c r="CL131" s="70">
        <f t="shared" si="9"/>
        <v>46.073999999999998</v>
      </c>
      <c r="CM131" s="61"/>
      <c r="CN131" s="61"/>
      <c r="CO131" s="61"/>
      <c r="CP131" s="61"/>
      <c r="CQ131" s="61"/>
      <c r="CR131" s="61"/>
      <c r="CS131" s="61"/>
      <c r="CT131" s="61"/>
      <c r="CU131" s="61"/>
      <c r="CV131" s="61"/>
      <c r="CW131" s="61"/>
      <c r="CX131" s="61"/>
      <c r="CY131" s="61"/>
      <c r="CZ131" s="61"/>
      <c r="DA131" s="61"/>
      <c r="DB131" s="61"/>
      <c r="DC131" s="61"/>
      <c r="DD131" s="61"/>
      <c r="DE131" s="61"/>
      <c r="DF131" s="61"/>
      <c r="DG131" s="61"/>
      <c r="DH131" s="61"/>
      <c r="DI131" s="61"/>
      <c r="DJ131" s="61"/>
      <c r="DK131" s="61"/>
      <c r="DL131" s="61"/>
      <c r="DM131" s="61"/>
      <c r="DN131" s="61"/>
      <c r="DO131" s="61"/>
      <c r="DP131" s="61"/>
      <c r="DQ131" s="61"/>
      <c r="DR131" s="61"/>
      <c r="DS131" s="61"/>
      <c r="DT131" s="61"/>
      <c r="DU131" s="61"/>
      <c r="DV131" s="61"/>
      <c r="DW131" s="61"/>
      <c r="DX131" s="61"/>
      <c r="DY131" s="61"/>
      <c r="DZ131" s="61"/>
      <c r="EA131" s="61"/>
      <c r="EB131" s="61"/>
      <c r="EC131" s="61"/>
      <c r="ED131" s="61"/>
      <c r="EE131" s="61"/>
      <c r="EF131" s="61"/>
      <c r="EG131" s="61"/>
      <c r="EH131" s="61"/>
      <c r="EI131" s="61"/>
      <c r="EJ131" s="61"/>
      <c r="EK131" s="61"/>
      <c r="EL131" s="61"/>
      <c r="EM131" s="61"/>
      <c r="EN131" s="61"/>
      <c r="EO131" s="61"/>
      <c r="EP131" s="61"/>
      <c r="EQ131" s="61"/>
      <c r="ER131" s="61"/>
      <c r="ES131" s="61"/>
      <c r="ET131" s="61"/>
      <c r="EU131" s="61"/>
      <c r="EV131" s="61"/>
      <c r="EW131" s="61"/>
    </row>
    <row r="132" spans="1:153">
      <c r="A132" s="56">
        <v>30590</v>
      </c>
      <c r="B132" s="57"/>
      <c r="C132" s="7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71"/>
      <c r="P132" s="60">
        <v>228.03100000000001</v>
      </c>
      <c r="Q132" s="61">
        <v>5.3630000000000004</v>
      </c>
      <c r="R132" s="61">
        <v>246.732</v>
      </c>
      <c r="S132" s="61">
        <v>474.25099999999998</v>
      </c>
      <c r="T132" s="61">
        <v>220.423</v>
      </c>
      <c r="U132" s="61">
        <v>7.0910000000000002</v>
      </c>
      <c r="V132" s="61" t="s">
        <v>121</v>
      </c>
      <c r="W132" s="61">
        <v>5.0000000000000001E-3</v>
      </c>
      <c r="X132" s="61">
        <v>228.03100000000001</v>
      </c>
      <c r="Y132" s="61">
        <v>13.337999999999999</v>
      </c>
      <c r="Z132" s="61">
        <v>5.3630000000000004</v>
      </c>
      <c r="AA132" s="61">
        <v>246.732</v>
      </c>
      <c r="AB132" s="60">
        <v>474.25099999999998</v>
      </c>
      <c r="AC132" s="62"/>
      <c r="AD132" s="61"/>
      <c r="AE132" s="61"/>
      <c r="AF132" s="61"/>
      <c r="AG132" s="61"/>
      <c r="AH132" s="61"/>
      <c r="AI132" s="61"/>
      <c r="AJ132" s="61"/>
      <c r="AK132" s="62"/>
      <c r="AL132" s="63"/>
      <c r="AM132" s="64"/>
      <c r="AN132" s="65" t="e">
        <v>#N/A</v>
      </c>
      <c r="AO132" s="61" t="e">
        <v>#N/A</v>
      </c>
      <c r="AP132" s="61" t="e">
        <v>#N/A</v>
      </c>
      <c r="AQ132" s="61" t="e">
        <v>#N/A</v>
      </c>
      <c r="AR132" s="61" t="e">
        <v>#N/A</v>
      </c>
      <c r="AS132" s="61" t="e">
        <v>#N/A</v>
      </c>
      <c r="AT132" s="61" t="e">
        <v>#N/A</v>
      </c>
      <c r="AU132" s="61" t="e">
        <v>#N/A</v>
      </c>
      <c r="AV132" s="61" t="e">
        <v>#N/A</v>
      </c>
      <c r="AW132" s="61" t="e">
        <v>#N/A</v>
      </c>
      <c r="AX132" s="65" t="e">
        <v>#N/A</v>
      </c>
      <c r="AY132" s="66" t="s">
        <v>121</v>
      </c>
      <c r="AZ132" s="61" t="s">
        <v>121</v>
      </c>
      <c r="BA132" s="61">
        <v>82.384</v>
      </c>
      <c r="BB132" s="61">
        <v>82.384</v>
      </c>
      <c r="BC132" s="61" t="s">
        <v>121</v>
      </c>
      <c r="BD132" s="61" t="s">
        <v>121</v>
      </c>
      <c r="BE132" s="61" t="s">
        <v>121</v>
      </c>
      <c r="BF132" s="61" t="s">
        <v>121</v>
      </c>
      <c r="BG132" s="61">
        <v>1.8680000000000001</v>
      </c>
      <c r="BH132" s="61" t="s">
        <v>121</v>
      </c>
      <c r="BI132" s="61">
        <v>2.3E-2</v>
      </c>
      <c r="BJ132" s="61">
        <v>1.8919999999999999</v>
      </c>
      <c r="BK132" s="66">
        <v>1.8919999999999999</v>
      </c>
      <c r="BL132" s="67">
        <v>2.8639999999999999</v>
      </c>
      <c r="BM132" s="61" t="s">
        <v>121</v>
      </c>
      <c r="BN132" s="61" t="s">
        <v>121</v>
      </c>
      <c r="BO132" s="61" t="s">
        <v>121</v>
      </c>
      <c r="BP132" s="61">
        <v>2.8639999999999999</v>
      </c>
      <c r="BQ132" s="61">
        <v>218.256</v>
      </c>
      <c r="BR132" s="61">
        <v>7.0910000000000002</v>
      </c>
      <c r="BS132" s="61" t="s">
        <v>121</v>
      </c>
      <c r="BT132" s="61">
        <v>5.0000000000000001E-3</v>
      </c>
      <c r="BU132" s="61">
        <v>0.245</v>
      </c>
      <c r="BV132" s="61">
        <v>0.14899999999999999</v>
      </c>
      <c r="BW132" s="61">
        <v>0.39400000000000002</v>
      </c>
      <c r="BX132" s="67">
        <v>225.74600000000001</v>
      </c>
      <c r="BY132" s="68">
        <v>83122</v>
      </c>
      <c r="BZ132" s="68">
        <v>80931</v>
      </c>
      <c r="CA132" s="69">
        <v>8066</v>
      </c>
      <c r="CB132" s="68">
        <v>162551</v>
      </c>
      <c r="CC132" s="68">
        <v>1701</v>
      </c>
      <c r="CD132" s="61"/>
      <c r="CE132" s="64"/>
      <c r="CF132" s="64"/>
      <c r="CG132" s="70">
        <f t="shared" si="11"/>
        <v>6827.1419999999998</v>
      </c>
      <c r="CH132" s="70">
        <f t="shared" si="12"/>
        <v>338.77199999999999</v>
      </c>
      <c r="CI132" s="70">
        <f t="shared" si="13"/>
        <v>71.441999999999993</v>
      </c>
      <c r="CJ132" s="70">
        <f t="shared" si="10"/>
        <v>3491.1239999999998</v>
      </c>
      <c r="CK132" s="70">
        <f t="shared" si="10"/>
        <v>3399.1019999999999</v>
      </c>
      <c r="CL132" s="70">
        <f t="shared" ref="CL132:CL195" si="14">CC132*42/1000</f>
        <v>71.441999999999993</v>
      </c>
      <c r="CM132" s="61"/>
      <c r="CN132" s="61"/>
      <c r="CO132" s="61"/>
      <c r="CP132" s="61"/>
      <c r="CQ132" s="61"/>
      <c r="CR132" s="61"/>
      <c r="CS132" s="61"/>
      <c r="CT132" s="61"/>
      <c r="CU132" s="61"/>
      <c r="CV132" s="61"/>
      <c r="CW132" s="61"/>
      <c r="CX132" s="61"/>
      <c r="CY132" s="61"/>
      <c r="CZ132" s="61"/>
      <c r="DA132" s="61"/>
      <c r="DB132" s="61"/>
      <c r="DC132" s="61"/>
      <c r="DD132" s="61"/>
      <c r="DE132" s="61"/>
      <c r="DF132" s="61"/>
      <c r="DG132" s="61"/>
      <c r="DH132" s="61"/>
      <c r="DI132" s="61"/>
      <c r="DJ132" s="61"/>
      <c r="DK132" s="61"/>
      <c r="DL132" s="61"/>
      <c r="DM132" s="61"/>
      <c r="DN132" s="61"/>
      <c r="DO132" s="61"/>
      <c r="DP132" s="61"/>
      <c r="DQ132" s="61"/>
      <c r="DR132" s="61"/>
      <c r="DS132" s="61"/>
      <c r="DT132" s="61"/>
      <c r="DU132" s="61"/>
      <c r="DV132" s="61"/>
      <c r="DW132" s="61"/>
      <c r="DX132" s="61"/>
      <c r="DY132" s="61"/>
      <c r="DZ132" s="61"/>
      <c r="EA132" s="61"/>
      <c r="EB132" s="61"/>
      <c r="EC132" s="61"/>
      <c r="ED132" s="61"/>
      <c r="EE132" s="61"/>
      <c r="EF132" s="61"/>
      <c r="EG132" s="61"/>
      <c r="EH132" s="61"/>
      <c r="EI132" s="61"/>
      <c r="EJ132" s="61"/>
      <c r="EK132" s="61"/>
      <c r="EL132" s="61"/>
      <c r="EM132" s="61"/>
      <c r="EN132" s="61"/>
      <c r="EO132" s="61"/>
      <c r="EP132" s="61"/>
      <c r="EQ132" s="61"/>
      <c r="ER132" s="61"/>
      <c r="ES132" s="61"/>
      <c r="ET132" s="61"/>
      <c r="EU132" s="61"/>
      <c r="EV132" s="61"/>
      <c r="EW132" s="61"/>
    </row>
    <row r="133" spans="1:153">
      <c r="A133" s="56">
        <v>30621</v>
      </c>
      <c r="B133" s="57"/>
      <c r="C133" s="7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71"/>
      <c r="P133" s="60">
        <v>220.71899999999999</v>
      </c>
      <c r="Q133" s="61">
        <v>5.19</v>
      </c>
      <c r="R133" s="61">
        <v>238.78</v>
      </c>
      <c r="S133" s="61">
        <v>507.03500000000003</v>
      </c>
      <c r="T133" s="61">
        <v>261.94</v>
      </c>
      <c r="U133" s="61">
        <v>6.3109999999999999</v>
      </c>
      <c r="V133" s="61" t="s">
        <v>121</v>
      </c>
      <c r="W133" s="61">
        <v>4.0000000000000001E-3</v>
      </c>
      <c r="X133" s="61">
        <v>220.71899999999999</v>
      </c>
      <c r="Y133" s="61">
        <v>12.872</v>
      </c>
      <c r="Z133" s="61">
        <v>5.19</v>
      </c>
      <c r="AA133" s="61">
        <v>238.78</v>
      </c>
      <c r="AB133" s="60">
        <v>507.03500000000003</v>
      </c>
      <c r="AC133" s="62"/>
      <c r="AD133" s="61"/>
      <c r="AE133" s="61"/>
      <c r="AF133" s="61"/>
      <c r="AG133" s="61"/>
      <c r="AH133" s="61"/>
      <c r="AI133" s="61"/>
      <c r="AJ133" s="61"/>
      <c r="AK133" s="62"/>
      <c r="AL133" s="63"/>
      <c r="AM133" s="64"/>
      <c r="AN133" s="65" t="e">
        <v>#N/A</v>
      </c>
      <c r="AO133" s="61" t="e">
        <v>#N/A</v>
      </c>
      <c r="AP133" s="61" t="e">
        <v>#N/A</v>
      </c>
      <c r="AQ133" s="61" t="e">
        <v>#N/A</v>
      </c>
      <c r="AR133" s="61" t="e">
        <v>#N/A</v>
      </c>
      <c r="AS133" s="61" t="e">
        <v>#N/A</v>
      </c>
      <c r="AT133" s="61" t="e">
        <v>#N/A</v>
      </c>
      <c r="AU133" s="61" t="e">
        <v>#N/A</v>
      </c>
      <c r="AV133" s="61" t="e">
        <v>#N/A</v>
      </c>
      <c r="AW133" s="61" t="e">
        <v>#N/A</v>
      </c>
      <c r="AX133" s="65" t="e">
        <v>#N/A</v>
      </c>
      <c r="AY133" s="66" t="s">
        <v>121</v>
      </c>
      <c r="AZ133" s="61" t="s">
        <v>121</v>
      </c>
      <c r="BA133" s="61">
        <v>79.725999999999999</v>
      </c>
      <c r="BB133" s="61">
        <v>79.725999999999999</v>
      </c>
      <c r="BC133" s="61" t="s">
        <v>121</v>
      </c>
      <c r="BD133" s="61" t="s">
        <v>121</v>
      </c>
      <c r="BE133" s="61" t="s">
        <v>121</v>
      </c>
      <c r="BF133" s="61" t="s">
        <v>121</v>
      </c>
      <c r="BG133" s="61">
        <v>1.8080000000000001</v>
      </c>
      <c r="BH133" s="61" t="s">
        <v>121</v>
      </c>
      <c r="BI133" s="61">
        <v>2.3E-2</v>
      </c>
      <c r="BJ133" s="61">
        <v>1.831</v>
      </c>
      <c r="BK133" s="66">
        <v>1.831</v>
      </c>
      <c r="BL133" s="67">
        <v>2.7719999999999998</v>
      </c>
      <c r="BM133" s="61" t="s">
        <v>121</v>
      </c>
      <c r="BN133" s="61" t="s">
        <v>121</v>
      </c>
      <c r="BO133" s="61" t="s">
        <v>121</v>
      </c>
      <c r="BP133" s="61">
        <v>2.7719999999999998</v>
      </c>
      <c r="BQ133" s="61">
        <v>259.60899999999998</v>
      </c>
      <c r="BR133" s="61">
        <v>6.3109999999999999</v>
      </c>
      <c r="BS133" s="61" t="s">
        <v>121</v>
      </c>
      <c r="BT133" s="61">
        <v>4.0000000000000001E-3</v>
      </c>
      <c r="BU133" s="61">
        <v>0.28000000000000003</v>
      </c>
      <c r="BV133" s="61">
        <v>0.108</v>
      </c>
      <c r="BW133" s="61">
        <v>0.38900000000000001</v>
      </c>
      <c r="BX133" s="67">
        <v>266.31299999999999</v>
      </c>
      <c r="BY133" s="68">
        <v>80393</v>
      </c>
      <c r="BZ133" s="68">
        <v>86209</v>
      </c>
      <c r="CA133" s="69">
        <v>6090</v>
      </c>
      <c r="CB133" s="68">
        <v>161211</v>
      </c>
      <c r="CC133" s="68">
        <v>1614</v>
      </c>
      <c r="CD133" s="61"/>
      <c r="CE133" s="64"/>
      <c r="CF133" s="64"/>
      <c r="CG133" s="70">
        <f t="shared" si="11"/>
        <v>6770.8620000000001</v>
      </c>
      <c r="CH133" s="70">
        <f t="shared" si="12"/>
        <v>255.78</v>
      </c>
      <c r="CI133" s="70">
        <f t="shared" si="13"/>
        <v>67.787999999999997</v>
      </c>
      <c r="CJ133" s="70">
        <f t="shared" si="10"/>
        <v>3376.5059999999999</v>
      </c>
      <c r="CK133" s="70">
        <f t="shared" si="10"/>
        <v>3620.7779999999998</v>
      </c>
      <c r="CL133" s="70">
        <f t="shared" si="14"/>
        <v>67.787999999999997</v>
      </c>
      <c r="CM133" s="61"/>
      <c r="CN133" s="61"/>
      <c r="CO133" s="61"/>
      <c r="CP133" s="61"/>
      <c r="CQ133" s="61"/>
      <c r="CR133" s="61"/>
      <c r="CS133" s="61"/>
      <c r="CT133" s="61"/>
      <c r="CU133" s="61"/>
      <c r="CV133" s="61"/>
      <c r="CW133" s="61"/>
      <c r="CX133" s="61"/>
      <c r="CY133" s="61"/>
      <c r="CZ133" s="61"/>
      <c r="DA133" s="61"/>
      <c r="DB133" s="61"/>
      <c r="DC133" s="61"/>
      <c r="DD133" s="61"/>
      <c r="DE133" s="61"/>
      <c r="DF133" s="61"/>
      <c r="DG133" s="61"/>
      <c r="DH133" s="61"/>
      <c r="DI133" s="61"/>
      <c r="DJ133" s="61"/>
      <c r="DK133" s="61"/>
      <c r="DL133" s="61"/>
      <c r="DM133" s="61"/>
      <c r="DN133" s="61"/>
      <c r="DO133" s="61"/>
      <c r="DP133" s="61"/>
      <c r="DQ133" s="61"/>
      <c r="DR133" s="61"/>
      <c r="DS133" s="61"/>
      <c r="DT133" s="61"/>
      <c r="DU133" s="61"/>
      <c r="DV133" s="61"/>
      <c r="DW133" s="61"/>
      <c r="DX133" s="61"/>
      <c r="DY133" s="61"/>
      <c r="DZ133" s="61"/>
      <c r="EA133" s="61"/>
      <c r="EB133" s="61"/>
      <c r="EC133" s="61"/>
      <c r="ED133" s="61"/>
      <c r="EE133" s="61"/>
      <c r="EF133" s="61"/>
      <c r="EG133" s="61"/>
      <c r="EH133" s="61"/>
      <c r="EI133" s="61"/>
      <c r="EJ133" s="61"/>
      <c r="EK133" s="61"/>
      <c r="EL133" s="61"/>
      <c r="EM133" s="61"/>
      <c r="EN133" s="61"/>
      <c r="EO133" s="61"/>
      <c r="EP133" s="61"/>
      <c r="EQ133" s="61"/>
      <c r="ER133" s="61"/>
      <c r="ES133" s="61"/>
      <c r="ET133" s="61"/>
      <c r="EU133" s="61"/>
      <c r="EV133" s="61"/>
      <c r="EW133" s="61"/>
    </row>
    <row r="134" spans="1:153">
      <c r="A134" s="56">
        <v>30651</v>
      </c>
      <c r="B134" s="57"/>
      <c r="C134" s="7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71"/>
      <c r="P134" s="60">
        <v>228.19399999999999</v>
      </c>
      <c r="Q134" s="61">
        <v>5.3630000000000004</v>
      </c>
      <c r="R134" s="61">
        <v>246.87100000000001</v>
      </c>
      <c r="S134" s="61">
        <v>587.77300000000002</v>
      </c>
      <c r="T134" s="61">
        <v>335.87599999999998</v>
      </c>
      <c r="U134" s="61">
        <v>5.0250000000000004</v>
      </c>
      <c r="V134" s="61" t="s">
        <v>121</v>
      </c>
      <c r="W134" s="61">
        <v>1E-3</v>
      </c>
      <c r="X134" s="61">
        <v>228.19399999999999</v>
      </c>
      <c r="Y134" s="61">
        <v>13.314</v>
      </c>
      <c r="Z134" s="61">
        <v>5.3630000000000004</v>
      </c>
      <c r="AA134" s="61">
        <v>246.87100000000001</v>
      </c>
      <c r="AB134" s="60">
        <v>587.77300000000002</v>
      </c>
      <c r="AC134" s="62"/>
      <c r="AD134" s="61"/>
      <c r="AE134" s="61"/>
      <c r="AF134" s="61"/>
      <c r="AG134" s="61"/>
      <c r="AH134" s="61"/>
      <c r="AI134" s="61"/>
      <c r="AJ134" s="61"/>
      <c r="AK134" s="62"/>
      <c r="AL134" s="63"/>
      <c r="AM134" s="64"/>
      <c r="AN134" s="65" t="e">
        <v>#N/A</v>
      </c>
      <c r="AO134" s="61" t="e">
        <v>#N/A</v>
      </c>
      <c r="AP134" s="61" t="e">
        <v>#N/A</v>
      </c>
      <c r="AQ134" s="61" t="e">
        <v>#N/A</v>
      </c>
      <c r="AR134" s="61" t="e">
        <v>#N/A</v>
      </c>
      <c r="AS134" s="61" t="e">
        <v>#N/A</v>
      </c>
      <c r="AT134" s="61" t="e">
        <v>#N/A</v>
      </c>
      <c r="AU134" s="61" t="e">
        <v>#N/A</v>
      </c>
      <c r="AV134" s="61" t="e">
        <v>#N/A</v>
      </c>
      <c r="AW134" s="61" t="e">
        <v>#N/A</v>
      </c>
      <c r="AX134" s="65" t="e">
        <v>#N/A</v>
      </c>
      <c r="AY134" s="66" t="s">
        <v>121</v>
      </c>
      <c r="AZ134" s="61" t="s">
        <v>121</v>
      </c>
      <c r="BA134" s="61">
        <v>82.384</v>
      </c>
      <c r="BB134" s="61">
        <v>82.384</v>
      </c>
      <c r="BC134" s="61" t="s">
        <v>121</v>
      </c>
      <c r="BD134" s="61" t="s">
        <v>121</v>
      </c>
      <c r="BE134" s="61" t="s">
        <v>121</v>
      </c>
      <c r="BF134" s="61" t="s">
        <v>121</v>
      </c>
      <c r="BG134" s="61">
        <v>1.8680000000000001</v>
      </c>
      <c r="BH134" s="61" t="s">
        <v>121</v>
      </c>
      <c r="BI134" s="61">
        <v>2.3E-2</v>
      </c>
      <c r="BJ134" s="61">
        <v>1.8919999999999999</v>
      </c>
      <c r="BK134" s="66">
        <v>1.8919999999999999</v>
      </c>
      <c r="BL134" s="67">
        <v>2.8639999999999999</v>
      </c>
      <c r="BM134" s="61" t="s">
        <v>121</v>
      </c>
      <c r="BN134" s="61" t="s">
        <v>121</v>
      </c>
      <c r="BO134" s="61" t="s">
        <v>121</v>
      </c>
      <c r="BP134" s="61">
        <v>2.8639999999999999</v>
      </c>
      <c r="BQ134" s="61">
        <v>333.39400000000001</v>
      </c>
      <c r="BR134" s="61">
        <v>5.0250000000000004</v>
      </c>
      <c r="BS134" s="61" t="s">
        <v>121</v>
      </c>
      <c r="BT134" s="61">
        <v>1E-3</v>
      </c>
      <c r="BU134" s="61">
        <v>0.40799999999999997</v>
      </c>
      <c r="BV134" s="61">
        <v>0.125</v>
      </c>
      <c r="BW134" s="61">
        <v>0.53300000000000003</v>
      </c>
      <c r="BX134" s="67">
        <v>338.95299999999997</v>
      </c>
      <c r="BY134" s="68">
        <v>78195</v>
      </c>
      <c r="BZ134" s="68">
        <v>104310</v>
      </c>
      <c r="CA134" s="69">
        <v>6836</v>
      </c>
      <c r="CB134" s="68">
        <v>140263</v>
      </c>
      <c r="CC134" s="68">
        <v>1669</v>
      </c>
      <c r="CD134" s="61"/>
      <c r="CE134" s="64"/>
      <c r="CF134" s="64"/>
      <c r="CG134" s="70">
        <f t="shared" si="11"/>
        <v>5891.0460000000003</v>
      </c>
      <c r="CH134" s="70">
        <f t="shared" si="12"/>
        <v>287.11200000000002</v>
      </c>
      <c r="CI134" s="70">
        <f t="shared" si="13"/>
        <v>70.097999999999999</v>
      </c>
      <c r="CJ134" s="70">
        <f t="shared" si="10"/>
        <v>3284.19</v>
      </c>
      <c r="CK134" s="70">
        <f t="shared" si="10"/>
        <v>4381.0200000000004</v>
      </c>
      <c r="CL134" s="70">
        <f t="shared" si="14"/>
        <v>70.097999999999999</v>
      </c>
      <c r="CM134" s="61"/>
      <c r="CN134" s="61"/>
      <c r="CO134" s="61"/>
      <c r="CP134" s="61"/>
      <c r="CQ134" s="61"/>
      <c r="CR134" s="61"/>
      <c r="CS134" s="61"/>
      <c r="CT134" s="61"/>
      <c r="CU134" s="61"/>
      <c r="CV134" s="61"/>
      <c r="CW134" s="61"/>
      <c r="CX134" s="61"/>
      <c r="CY134" s="61"/>
      <c r="CZ134" s="61"/>
      <c r="DA134" s="61"/>
      <c r="DB134" s="61"/>
      <c r="DC134" s="61"/>
      <c r="DD134" s="61"/>
      <c r="DE134" s="61"/>
      <c r="DF134" s="61"/>
      <c r="DG134" s="61"/>
      <c r="DH134" s="61"/>
      <c r="DI134" s="61"/>
      <c r="DJ134" s="61"/>
      <c r="DK134" s="61"/>
      <c r="DL134" s="61"/>
      <c r="DM134" s="61"/>
      <c r="DN134" s="61"/>
      <c r="DO134" s="61"/>
      <c r="DP134" s="61"/>
      <c r="DQ134" s="61"/>
      <c r="DR134" s="61"/>
      <c r="DS134" s="61"/>
      <c r="DT134" s="61"/>
      <c r="DU134" s="61"/>
      <c r="DV134" s="61"/>
      <c r="DW134" s="61"/>
      <c r="DX134" s="61"/>
      <c r="DY134" s="61"/>
      <c r="DZ134" s="61"/>
      <c r="EA134" s="61"/>
      <c r="EB134" s="61"/>
      <c r="EC134" s="61"/>
      <c r="ED134" s="61"/>
      <c r="EE134" s="61"/>
      <c r="EF134" s="61"/>
      <c r="EG134" s="61"/>
      <c r="EH134" s="61"/>
      <c r="EI134" s="61"/>
      <c r="EJ134" s="61"/>
      <c r="EK134" s="61"/>
      <c r="EL134" s="61"/>
      <c r="EM134" s="61"/>
      <c r="EN134" s="61"/>
      <c r="EO134" s="61"/>
      <c r="EP134" s="61"/>
      <c r="EQ134" s="61"/>
      <c r="ER134" s="61"/>
      <c r="ES134" s="61"/>
      <c r="ET134" s="61"/>
      <c r="EU134" s="61"/>
      <c r="EV134" s="61"/>
      <c r="EW134" s="61"/>
    </row>
    <row r="135" spans="1:153">
      <c r="A135" s="56">
        <v>30682</v>
      </c>
      <c r="B135" s="57"/>
      <c r="C135" s="7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71"/>
      <c r="P135" s="60">
        <v>227.55099999999999</v>
      </c>
      <c r="Q135" s="61">
        <v>6.5469999999999997</v>
      </c>
      <c r="R135" s="61">
        <v>251.483</v>
      </c>
      <c r="S135" s="61">
        <v>570.08100000000002</v>
      </c>
      <c r="T135" s="61">
        <v>313.50400000000002</v>
      </c>
      <c r="U135" s="61">
        <v>5.0940000000000003</v>
      </c>
      <c r="V135" s="61">
        <v>-1E-3</v>
      </c>
      <c r="W135" s="61">
        <v>0</v>
      </c>
      <c r="X135" s="61">
        <v>227.55099999999999</v>
      </c>
      <c r="Y135" s="61">
        <v>17.385000000000002</v>
      </c>
      <c r="Z135" s="61">
        <v>6.5469999999999997</v>
      </c>
      <c r="AA135" s="61">
        <v>251.483</v>
      </c>
      <c r="AB135" s="60">
        <v>570.08100000000002</v>
      </c>
      <c r="AC135" s="62"/>
      <c r="AD135" s="61"/>
      <c r="AE135" s="61"/>
      <c r="AF135" s="61"/>
      <c r="AG135" s="61"/>
      <c r="AH135" s="61"/>
      <c r="AI135" s="61"/>
      <c r="AJ135" s="61"/>
      <c r="AK135" s="62"/>
      <c r="AL135" s="63"/>
      <c r="AM135" s="64"/>
      <c r="AN135" s="65" t="e">
        <v>#N/A</v>
      </c>
      <c r="AO135" s="61" t="e">
        <v>#N/A</v>
      </c>
      <c r="AP135" s="61" t="e">
        <v>#N/A</v>
      </c>
      <c r="AQ135" s="61" t="e">
        <v>#N/A</v>
      </c>
      <c r="AR135" s="61" t="e">
        <v>#N/A</v>
      </c>
      <c r="AS135" s="61" t="e">
        <v>#N/A</v>
      </c>
      <c r="AT135" s="61" t="e">
        <v>#N/A</v>
      </c>
      <c r="AU135" s="61" t="e">
        <v>#N/A</v>
      </c>
      <c r="AV135" s="61" t="e">
        <v>#N/A</v>
      </c>
      <c r="AW135" s="61" t="e">
        <v>#N/A</v>
      </c>
      <c r="AX135" s="65" t="e">
        <v>#N/A</v>
      </c>
      <c r="AY135" s="66" t="s">
        <v>121</v>
      </c>
      <c r="AZ135" s="61" t="s">
        <v>121</v>
      </c>
      <c r="BA135" s="61">
        <v>83.004999999999995</v>
      </c>
      <c r="BB135" s="61">
        <v>83.004999999999995</v>
      </c>
      <c r="BC135" s="61" t="s">
        <v>121</v>
      </c>
      <c r="BD135" s="61" t="s">
        <v>121</v>
      </c>
      <c r="BE135" s="61" t="s">
        <v>121</v>
      </c>
      <c r="BF135" s="61" t="s">
        <v>121</v>
      </c>
      <c r="BG135" s="61">
        <v>1.863</v>
      </c>
      <c r="BH135" s="61" t="s">
        <v>121</v>
      </c>
      <c r="BI135" s="61">
        <v>0.03</v>
      </c>
      <c r="BJ135" s="61">
        <v>1.893</v>
      </c>
      <c r="BK135" s="66">
        <v>1.893</v>
      </c>
      <c r="BL135" s="67">
        <v>3.4950000000000001</v>
      </c>
      <c r="BM135" s="61" t="s">
        <v>121</v>
      </c>
      <c r="BN135" s="61" t="s">
        <v>121</v>
      </c>
      <c r="BO135" s="61" t="s">
        <v>121</v>
      </c>
      <c r="BP135" s="61">
        <v>3.4950000000000001</v>
      </c>
      <c r="BQ135" s="61">
        <v>310.459</v>
      </c>
      <c r="BR135" s="61">
        <v>5.0940000000000003</v>
      </c>
      <c r="BS135" s="61">
        <v>-1E-3</v>
      </c>
      <c r="BT135" s="61">
        <v>0</v>
      </c>
      <c r="BU135" s="61">
        <v>0.47099999999999997</v>
      </c>
      <c r="BV135" s="61">
        <v>0.14299999999999999</v>
      </c>
      <c r="BW135" s="61">
        <v>0.61399999999999999</v>
      </c>
      <c r="BX135" s="67">
        <v>316.16800000000001</v>
      </c>
      <c r="BY135" s="68">
        <v>80281</v>
      </c>
      <c r="BZ135" s="68">
        <v>109271</v>
      </c>
      <c r="CA135" s="69">
        <v>9257</v>
      </c>
      <c r="CB135" s="68">
        <v>119317</v>
      </c>
      <c r="CC135" s="68">
        <v>1248</v>
      </c>
      <c r="CD135" s="61"/>
      <c r="CE135" s="64"/>
      <c r="CF135" s="64"/>
      <c r="CG135" s="70">
        <f t="shared" si="11"/>
        <v>5011.3140000000003</v>
      </c>
      <c r="CH135" s="70">
        <f t="shared" si="12"/>
        <v>388.79399999999998</v>
      </c>
      <c r="CI135" s="70">
        <f t="shared" si="13"/>
        <v>52.415999999999997</v>
      </c>
      <c r="CJ135" s="70">
        <f t="shared" ref="CJ135:CK198" si="15">BY135*42/1000</f>
        <v>3371.8020000000001</v>
      </c>
      <c r="CK135" s="70">
        <f t="shared" si="15"/>
        <v>4589.3819999999996</v>
      </c>
      <c r="CL135" s="70">
        <f t="shared" si="14"/>
        <v>52.415999999999997</v>
      </c>
      <c r="CM135" s="61"/>
      <c r="CN135" s="61"/>
      <c r="CO135" s="61"/>
      <c r="CP135" s="61"/>
      <c r="CQ135" s="61"/>
      <c r="CR135" s="61"/>
      <c r="CS135" s="61"/>
      <c r="CT135" s="61"/>
      <c r="CU135" s="61"/>
      <c r="CV135" s="61"/>
      <c r="CW135" s="61"/>
      <c r="CX135" s="61"/>
      <c r="CY135" s="61"/>
      <c r="CZ135" s="61"/>
      <c r="DA135" s="61"/>
      <c r="DB135" s="61"/>
      <c r="DC135" s="61"/>
      <c r="DD135" s="61"/>
      <c r="DE135" s="61"/>
      <c r="DF135" s="61"/>
      <c r="DG135" s="61"/>
      <c r="DH135" s="61"/>
      <c r="DI135" s="61"/>
      <c r="DJ135" s="61"/>
      <c r="DK135" s="61"/>
      <c r="DL135" s="61"/>
      <c r="DM135" s="61"/>
      <c r="DN135" s="61"/>
      <c r="DO135" s="61"/>
      <c r="DP135" s="61"/>
      <c r="DQ135" s="61"/>
      <c r="DR135" s="61"/>
      <c r="DS135" s="61"/>
      <c r="DT135" s="61"/>
      <c r="DU135" s="61"/>
      <c r="DV135" s="61"/>
      <c r="DW135" s="61"/>
      <c r="DX135" s="61"/>
      <c r="DY135" s="61"/>
      <c r="DZ135" s="61"/>
      <c r="EA135" s="61"/>
      <c r="EB135" s="61"/>
      <c r="EC135" s="61"/>
      <c r="ED135" s="61"/>
      <c r="EE135" s="61"/>
      <c r="EF135" s="61"/>
      <c r="EG135" s="61"/>
      <c r="EH135" s="61"/>
      <c r="EI135" s="61"/>
      <c r="EJ135" s="61"/>
      <c r="EK135" s="61"/>
      <c r="EL135" s="61"/>
      <c r="EM135" s="61"/>
      <c r="EN135" s="61"/>
      <c r="EO135" s="61"/>
      <c r="EP135" s="61"/>
      <c r="EQ135" s="61"/>
      <c r="ER135" s="61"/>
      <c r="ES135" s="61"/>
      <c r="ET135" s="61"/>
      <c r="EU135" s="61"/>
      <c r="EV135" s="61"/>
      <c r="EW135" s="61"/>
    </row>
    <row r="136" spans="1:153">
      <c r="A136" s="56">
        <v>30713</v>
      </c>
      <c r="B136" s="57"/>
      <c r="C136" s="7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71"/>
      <c r="P136" s="60">
        <v>212.673</v>
      </c>
      <c r="Q136" s="61">
        <v>6.125</v>
      </c>
      <c r="R136" s="61">
        <v>235.16900000000001</v>
      </c>
      <c r="S136" s="61">
        <v>535.23900000000003</v>
      </c>
      <c r="T136" s="61">
        <v>293.84500000000003</v>
      </c>
      <c r="U136" s="61">
        <v>6.2220000000000004</v>
      </c>
      <c r="V136" s="61">
        <v>1E-3</v>
      </c>
      <c r="W136" s="61">
        <v>2E-3</v>
      </c>
      <c r="X136" s="61">
        <v>212.673</v>
      </c>
      <c r="Y136" s="61">
        <v>16.370999999999999</v>
      </c>
      <c r="Z136" s="61">
        <v>6.125</v>
      </c>
      <c r="AA136" s="61">
        <v>235.16900000000001</v>
      </c>
      <c r="AB136" s="60">
        <v>535.23900000000003</v>
      </c>
      <c r="AC136" s="62"/>
      <c r="AD136" s="61"/>
      <c r="AE136" s="61"/>
      <c r="AF136" s="61"/>
      <c r="AG136" s="61"/>
      <c r="AH136" s="61"/>
      <c r="AI136" s="61"/>
      <c r="AJ136" s="61"/>
      <c r="AK136" s="62"/>
      <c r="AL136" s="63"/>
      <c r="AM136" s="64"/>
      <c r="AN136" s="65" t="e">
        <v>#N/A</v>
      </c>
      <c r="AO136" s="61" t="e">
        <v>#N/A</v>
      </c>
      <c r="AP136" s="61" t="e">
        <v>#N/A</v>
      </c>
      <c r="AQ136" s="61" t="e">
        <v>#N/A</v>
      </c>
      <c r="AR136" s="61" t="e">
        <v>#N/A</v>
      </c>
      <c r="AS136" s="61" t="e">
        <v>#N/A</v>
      </c>
      <c r="AT136" s="61" t="e">
        <v>#N/A</v>
      </c>
      <c r="AU136" s="61" t="e">
        <v>#N/A</v>
      </c>
      <c r="AV136" s="61" t="e">
        <v>#N/A</v>
      </c>
      <c r="AW136" s="61" t="e">
        <v>#N/A</v>
      </c>
      <c r="AX136" s="65" t="e">
        <v>#N/A</v>
      </c>
      <c r="AY136" s="66" t="s">
        <v>121</v>
      </c>
      <c r="AZ136" s="61" t="s">
        <v>121</v>
      </c>
      <c r="BA136" s="61">
        <v>77.650000000000006</v>
      </c>
      <c r="BB136" s="61">
        <v>77.650000000000006</v>
      </c>
      <c r="BC136" s="61" t="s">
        <v>121</v>
      </c>
      <c r="BD136" s="61" t="s">
        <v>121</v>
      </c>
      <c r="BE136" s="61" t="s">
        <v>121</v>
      </c>
      <c r="BF136" s="61" t="s">
        <v>121</v>
      </c>
      <c r="BG136" s="61">
        <v>1.7430000000000001</v>
      </c>
      <c r="BH136" s="61" t="s">
        <v>121</v>
      </c>
      <c r="BI136" s="61">
        <v>2.8000000000000001E-2</v>
      </c>
      <c r="BJ136" s="61">
        <v>1.7709999999999999</v>
      </c>
      <c r="BK136" s="66">
        <v>1.7709999999999999</v>
      </c>
      <c r="BL136" s="67">
        <v>3.27</v>
      </c>
      <c r="BM136" s="61" t="s">
        <v>121</v>
      </c>
      <c r="BN136" s="61" t="s">
        <v>121</v>
      </c>
      <c r="BO136" s="61" t="s">
        <v>121</v>
      </c>
      <c r="BP136" s="61">
        <v>3.27</v>
      </c>
      <c r="BQ136" s="61">
        <v>291.27199999999999</v>
      </c>
      <c r="BR136" s="61">
        <v>6.2220000000000004</v>
      </c>
      <c r="BS136" s="61">
        <v>1E-3</v>
      </c>
      <c r="BT136" s="61">
        <v>2E-3</v>
      </c>
      <c r="BU136" s="61">
        <v>0.24399999999999999</v>
      </c>
      <c r="BV136" s="61">
        <v>0.24099999999999999</v>
      </c>
      <c r="BW136" s="61">
        <v>0.48499999999999999</v>
      </c>
      <c r="BX136" s="67">
        <v>297.983</v>
      </c>
      <c r="BY136" s="68">
        <v>83106</v>
      </c>
      <c r="BZ136" s="68">
        <v>82185</v>
      </c>
      <c r="CA136" s="69">
        <v>13167</v>
      </c>
      <c r="CB136" s="68">
        <v>132242</v>
      </c>
      <c r="CC136" s="68">
        <v>1203</v>
      </c>
      <c r="CD136" s="61"/>
      <c r="CE136" s="64"/>
      <c r="CF136" s="64"/>
      <c r="CG136" s="70">
        <f t="shared" si="11"/>
        <v>5554.1639999999998</v>
      </c>
      <c r="CH136" s="70">
        <f t="shared" si="12"/>
        <v>553.01400000000001</v>
      </c>
      <c r="CI136" s="70">
        <f t="shared" si="13"/>
        <v>50.526000000000003</v>
      </c>
      <c r="CJ136" s="70">
        <f t="shared" si="15"/>
        <v>3490.4520000000002</v>
      </c>
      <c r="CK136" s="70">
        <f t="shared" si="15"/>
        <v>3451.77</v>
      </c>
      <c r="CL136" s="70">
        <f t="shared" si="14"/>
        <v>50.526000000000003</v>
      </c>
      <c r="CM136" s="61"/>
      <c r="CN136" s="61"/>
      <c r="CO136" s="61"/>
      <c r="CP136" s="61"/>
      <c r="CQ136" s="61"/>
      <c r="CR136" s="61"/>
      <c r="CS136" s="61"/>
      <c r="CT136" s="61"/>
      <c r="CU136" s="61"/>
      <c r="CV136" s="61"/>
      <c r="CW136" s="61"/>
      <c r="CX136" s="61"/>
      <c r="CY136" s="61"/>
      <c r="CZ136" s="61"/>
      <c r="DA136" s="61"/>
      <c r="DB136" s="61"/>
      <c r="DC136" s="61"/>
      <c r="DD136" s="61"/>
      <c r="DE136" s="61"/>
      <c r="DF136" s="61"/>
      <c r="DG136" s="61"/>
      <c r="DH136" s="61"/>
      <c r="DI136" s="61"/>
      <c r="DJ136" s="61"/>
      <c r="DK136" s="61"/>
      <c r="DL136" s="61"/>
      <c r="DM136" s="61"/>
      <c r="DN136" s="61"/>
      <c r="DO136" s="61"/>
      <c r="DP136" s="61"/>
      <c r="DQ136" s="61"/>
      <c r="DR136" s="61"/>
      <c r="DS136" s="61"/>
      <c r="DT136" s="61"/>
      <c r="DU136" s="61"/>
      <c r="DV136" s="61"/>
      <c r="DW136" s="61"/>
      <c r="DX136" s="61"/>
      <c r="DY136" s="61"/>
      <c r="DZ136" s="61"/>
      <c r="EA136" s="61"/>
      <c r="EB136" s="61"/>
      <c r="EC136" s="61"/>
      <c r="ED136" s="61"/>
      <c r="EE136" s="61"/>
      <c r="EF136" s="61"/>
      <c r="EG136" s="61"/>
      <c r="EH136" s="61"/>
      <c r="EI136" s="61"/>
      <c r="EJ136" s="61"/>
      <c r="EK136" s="61"/>
      <c r="EL136" s="61"/>
      <c r="EM136" s="61"/>
      <c r="EN136" s="61"/>
      <c r="EO136" s="61"/>
      <c r="EP136" s="61"/>
      <c r="EQ136" s="61"/>
      <c r="ER136" s="61"/>
      <c r="ES136" s="61"/>
      <c r="ET136" s="61"/>
      <c r="EU136" s="61"/>
      <c r="EV136" s="61"/>
      <c r="EW136" s="61"/>
    </row>
    <row r="137" spans="1:153">
      <c r="A137" s="56">
        <v>30742</v>
      </c>
      <c r="B137" s="57"/>
      <c r="C137" s="7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71"/>
      <c r="P137" s="60">
        <v>227.37799999999999</v>
      </c>
      <c r="Q137" s="61">
        <v>6.5469999999999997</v>
      </c>
      <c r="R137" s="61">
        <v>251.529</v>
      </c>
      <c r="S137" s="61">
        <v>579.04</v>
      </c>
      <c r="T137" s="61">
        <v>320.67</v>
      </c>
      <c r="U137" s="61">
        <v>6.8380000000000001</v>
      </c>
      <c r="V137" s="61">
        <v>2E-3</v>
      </c>
      <c r="W137" s="61">
        <v>2E-3</v>
      </c>
      <c r="X137" s="61">
        <v>227.37799999999999</v>
      </c>
      <c r="Y137" s="61">
        <v>17.603000000000002</v>
      </c>
      <c r="Z137" s="61">
        <v>6.5469999999999997</v>
      </c>
      <c r="AA137" s="61">
        <v>251.529</v>
      </c>
      <c r="AB137" s="60">
        <v>579.04</v>
      </c>
      <c r="AC137" s="62"/>
      <c r="AD137" s="61"/>
      <c r="AE137" s="61"/>
      <c r="AF137" s="61"/>
      <c r="AG137" s="61"/>
      <c r="AH137" s="61"/>
      <c r="AI137" s="61"/>
      <c r="AJ137" s="61"/>
      <c r="AK137" s="62"/>
      <c r="AL137" s="63"/>
      <c r="AM137" s="64"/>
      <c r="AN137" s="65" t="e">
        <v>#N/A</v>
      </c>
      <c r="AO137" s="61" t="e">
        <v>#N/A</v>
      </c>
      <c r="AP137" s="61" t="e">
        <v>#N/A</v>
      </c>
      <c r="AQ137" s="61" t="e">
        <v>#N/A</v>
      </c>
      <c r="AR137" s="61" t="e">
        <v>#N/A</v>
      </c>
      <c r="AS137" s="61" t="e">
        <v>#N/A</v>
      </c>
      <c r="AT137" s="61" t="e">
        <v>#N/A</v>
      </c>
      <c r="AU137" s="61" t="e">
        <v>#N/A</v>
      </c>
      <c r="AV137" s="61" t="e">
        <v>#N/A</v>
      </c>
      <c r="AW137" s="61" t="e">
        <v>#N/A</v>
      </c>
      <c r="AX137" s="65" t="e">
        <v>#N/A</v>
      </c>
      <c r="AY137" s="66" t="s">
        <v>121</v>
      </c>
      <c r="AZ137" s="61" t="s">
        <v>121</v>
      </c>
      <c r="BA137" s="61">
        <v>83.004999999999995</v>
      </c>
      <c r="BB137" s="61">
        <v>83.004999999999995</v>
      </c>
      <c r="BC137" s="61" t="s">
        <v>121</v>
      </c>
      <c r="BD137" s="61" t="s">
        <v>121</v>
      </c>
      <c r="BE137" s="61" t="s">
        <v>121</v>
      </c>
      <c r="BF137" s="61" t="s">
        <v>121</v>
      </c>
      <c r="BG137" s="61">
        <v>1.863</v>
      </c>
      <c r="BH137" s="61" t="s">
        <v>121</v>
      </c>
      <c r="BI137" s="61">
        <v>0.03</v>
      </c>
      <c r="BJ137" s="61">
        <v>1.893</v>
      </c>
      <c r="BK137" s="66">
        <v>1.893</v>
      </c>
      <c r="BL137" s="67">
        <v>3.4950000000000001</v>
      </c>
      <c r="BM137" s="61" t="s">
        <v>121</v>
      </c>
      <c r="BN137" s="61" t="s">
        <v>121</v>
      </c>
      <c r="BO137" s="61" t="s">
        <v>121</v>
      </c>
      <c r="BP137" s="61">
        <v>3.4950000000000001</v>
      </c>
      <c r="BQ137" s="61">
        <v>317.74099999999999</v>
      </c>
      <c r="BR137" s="61">
        <v>6.8380000000000001</v>
      </c>
      <c r="BS137" s="61">
        <v>2E-3</v>
      </c>
      <c r="BT137" s="61">
        <v>2E-3</v>
      </c>
      <c r="BU137" s="61">
        <v>0.29899999999999999</v>
      </c>
      <c r="BV137" s="61">
        <v>0.36099999999999999</v>
      </c>
      <c r="BW137" s="61">
        <v>0.66</v>
      </c>
      <c r="BX137" s="67">
        <v>325.24299999999999</v>
      </c>
      <c r="BY137" s="68">
        <v>76800</v>
      </c>
      <c r="BZ137" s="68">
        <v>101043</v>
      </c>
      <c r="CA137" s="69">
        <v>3568</v>
      </c>
      <c r="CB137" s="68">
        <v>109572</v>
      </c>
      <c r="CC137" s="68">
        <v>2036</v>
      </c>
      <c r="CD137" s="61"/>
      <c r="CE137" s="64"/>
      <c r="CF137" s="64"/>
      <c r="CG137" s="70">
        <f t="shared" si="11"/>
        <v>4602.0240000000003</v>
      </c>
      <c r="CH137" s="70">
        <f t="shared" si="12"/>
        <v>149.85599999999999</v>
      </c>
      <c r="CI137" s="70">
        <f t="shared" si="13"/>
        <v>85.512</v>
      </c>
      <c r="CJ137" s="70">
        <f t="shared" si="15"/>
        <v>3225.6</v>
      </c>
      <c r="CK137" s="70">
        <f t="shared" si="15"/>
        <v>4243.8059999999996</v>
      </c>
      <c r="CL137" s="70">
        <f t="shared" si="14"/>
        <v>85.512</v>
      </c>
      <c r="CM137" s="61"/>
      <c r="CN137" s="61"/>
      <c r="CO137" s="61"/>
      <c r="CP137" s="61"/>
      <c r="CQ137" s="61"/>
      <c r="CR137" s="61"/>
      <c r="CS137" s="61"/>
      <c r="CT137" s="61"/>
      <c r="CU137" s="61"/>
      <c r="CV137" s="61"/>
      <c r="CW137" s="61"/>
      <c r="CX137" s="61"/>
      <c r="CY137" s="61"/>
      <c r="CZ137" s="61"/>
      <c r="DA137" s="61"/>
      <c r="DB137" s="61"/>
      <c r="DC137" s="61"/>
      <c r="DD137" s="61"/>
      <c r="DE137" s="61"/>
      <c r="DF137" s="61"/>
      <c r="DG137" s="61"/>
      <c r="DH137" s="61"/>
      <c r="DI137" s="61"/>
      <c r="DJ137" s="61"/>
      <c r="DK137" s="61"/>
      <c r="DL137" s="61"/>
      <c r="DM137" s="61"/>
      <c r="DN137" s="61"/>
      <c r="DO137" s="61"/>
      <c r="DP137" s="61"/>
      <c r="DQ137" s="61"/>
      <c r="DR137" s="61"/>
      <c r="DS137" s="61"/>
      <c r="DT137" s="61"/>
      <c r="DU137" s="61"/>
      <c r="DV137" s="61"/>
      <c r="DW137" s="61"/>
      <c r="DX137" s="61"/>
      <c r="DY137" s="61"/>
      <c r="DZ137" s="61"/>
      <c r="EA137" s="61"/>
      <c r="EB137" s="61"/>
      <c r="EC137" s="61"/>
      <c r="ED137" s="61"/>
      <c r="EE137" s="61"/>
      <c r="EF137" s="61"/>
      <c r="EG137" s="61"/>
      <c r="EH137" s="61"/>
      <c r="EI137" s="61"/>
      <c r="EJ137" s="61"/>
      <c r="EK137" s="61"/>
      <c r="EL137" s="61"/>
      <c r="EM137" s="61"/>
      <c r="EN137" s="61"/>
      <c r="EO137" s="61"/>
      <c r="EP137" s="61"/>
      <c r="EQ137" s="61"/>
      <c r="ER137" s="61"/>
      <c r="ES137" s="61"/>
      <c r="ET137" s="61"/>
      <c r="EU137" s="61"/>
      <c r="EV137" s="61"/>
      <c r="EW137" s="61"/>
    </row>
    <row r="138" spans="1:153">
      <c r="A138" s="56">
        <v>30773</v>
      </c>
      <c r="B138" s="57"/>
      <c r="C138" s="7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71"/>
      <c r="P138" s="60">
        <v>219.904</v>
      </c>
      <c r="Q138" s="61">
        <v>6.3360000000000003</v>
      </c>
      <c r="R138" s="61">
        <v>243.27699999999999</v>
      </c>
      <c r="S138" s="61">
        <v>566.01900000000001</v>
      </c>
      <c r="T138" s="61">
        <v>315.98500000000001</v>
      </c>
      <c r="U138" s="61">
        <v>6.7480000000000002</v>
      </c>
      <c r="V138" s="61">
        <v>3.0000000000000001E-3</v>
      </c>
      <c r="W138" s="61">
        <v>6.0000000000000001E-3</v>
      </c>
      <c r="X138" s="61">
        <v>219.904</v>
      </c>
      <c r="Y138" s="61">
        <v>17.036999999999999</v>
      </c>
      <c r="Z138" s="61">
        <v>6.3360000000000003</v>
      </c>
      <c r="AA138" s="61">
        <v>243.27699999999999</v>
      </c>
      <c r="AB138" s="60">
        <v>566.01900000000001</v>
      </c>
      <c r="AC138" s="62"/>
      <c r="AD138" s="61"/>
      <c r="AE138" s="61"/>
      <c r="AF138" s="61"/>
      <c r="AG138" s="61"/>
      <c r="AH138" s="61"/>
      <c r="AI138" s="61"/>
      <c r="AJ138" s="61"/>
      <c r="AK138" s="62"/>
      <c r="AL138" s="63"/>
      <c r="AM138" s="64"/>
      <c r="AN138" s="65" t="e">
        <v>#N/A</v>
      </c>
      <c r="AO138" s="61" t="e">
        <v>#N/A</v>
      </c>
      <c r="AP138" s="61" t="e">
        <v>#N/A</v>
      </c>
      <c r="AQ138" s="61" t="e">
        <v>#N/A</v>
      </c>
      <c r="AR138" s="61" t="e">
        <v>#N/A</v>
      </c>
      <c r="AS138" s="61" t="e">
        <v>#N/A</v>
      </c>
      <c r="AT138" s="61" t="e">
        <v>#N/A</v>
      </c>
      <c r="AU138" s="61" t="e">
        <v>#N/A</v>
      </c>
      <c r="AV138" s="61" t="e">
        <v>#N/A</v>
      </c>
      <c r="AW138" s="61" t="e">
        <v>#N/A</v>
      </c>
      <c r="AX138" s="65" t="e">
        <v>#N/A</v>
      </c>
      <c r="AY138" s="66" t="s">
        <v>121</v>
      </c>
      <c r="AZ138" s="61" t="s">
        <v>121</v>
      </c>
      <c r="BA138" s="61">
        <v>80.328000000000003</v>
      </c>
      <c r="BB138" s="61">
        <v>80.328000000000003</v>
      </c>
      <c r="BC138" s="61" t="s">
        <v>121</v>
      </c>
      <c r="BD138" s="61" t="s">
        <v>121</v>
      </c>
      <c r="BE138" s="61" t="s">
        <v>121</v>
      </c>
      <c r="BF138" s="61" t="s">
        <v>121</v>
      </c>
      <c r="BG138" s="61">
        <v>1.8029999999999999</v>
      </c>
      <c r="BH138" s="61" t="s">
        <v>121</v>
      </c>
      <c r="BI138" s="61">
        <v>2.9000000000000001E-2</v>
      </c>
      <c r="BJ138" s="61">
        <v>1.8320000000000001</v>
      </c>
      <c r="BK138" s="66">
        <v>1.8320000000000001</v>
      </c>
      <c r="BL138" s="67">
        <v>3.3820000000000001</v>
      </c>
      <c r="BM138" s="61" t="s">
        <v>121</v>
      </c>
      <c r="BN138" s="61" t="s">
        <v>121</v>
      </c>
      <c r="BO138" s="61" t="s">
        <v>121</v>
      </c>
      <c r="BP138" s="61">
        <v>3.3820000000000001</v>
      </c>
      <c r="BQ138" s="61">
        <v>312.88600000000002</v>
      </c>
      <c r="BR138" s="61">
        <v>6.7480000000000002</v>
      </c>
      <c r="BS138" s="61">
        <v>3.0000000000000001E-3</v>
      </c>
      <c r="BT138" s="61">
        <v>6.0000000000000001E-3</v>
      </c>
      <c r="BU138" s="61">
        <v>0.15</v>
      </c>
      <c r="BV138" s="61">
        <v>0.35099999999999998</v>
      </c>
      <c r="BW138" s="61">
        <v>0.501</v>
      </c>
      <c r="BX138" s="67">
        <v>320.14400000000001</v>
      </c>
      <c r="BY138" s="68">
        <v>70218</v>
      </c>
      <c r="BZ138" s="68">
        <v>87790</v>
      </c>
      <c r="CA138" s="69">
        <v>6608</v>
      </c>
      <c r="CB138" s="68">
        <v>97690</v>
      </c>
      <c r="CC138" s="68">
        <v>959</v>
      </c>
      <c r="CD138" s="61"/>
      <c r="CE138" s="64"/>
      <c r="CF138" s="64"/>
      <c r="CG138" s="70">
        <f t="shared" si="11"/>
        <v>4102.9799999999996</v>
      </c>
      <c r="CH138" s="70">
        <f t="shared" si="12"/>
        <v>277.536</v>
      </c>
      <c r="CI138" s="70">
        <f t="shared" si="13"/>
        <v>40.277999999999999</v>
      </c>
      <c r="CJ138" s="70">
        <f t="shared" si="15"/>
        <v>2949.1559999999999</v>
      </c>
      <c r="CK138" s="70">
        <f t="shared" si="15"/>
        <v>3687.18</v>
      </c>
      <c r="CL138" s="70">
        <f t="shared" si="14"/>
        <v>40.277999999999999</v>
      </c>
      <c r="CM138" s="61"/>
      <c r="CN138" s="61"/>
      <c r="CO138" s="61"/>
      <c r="CP138" s="61"/>
      <c r="CQ138" s="61"/>
      <c r="CR138" s="61"/>
      <c r="CS138" s="61"/>
      <c r="CT138" s="61"/>
      <c r="CU138" s="61"/>
      <c r="CV138" s="61"/>
      <c r="CW138" s="61"/>
      <c r="CX138" s="61"/>
      <c r="CY138" s="61"/>
      <c r="CZ138" s="61"/>
      <c r="DA138" s="61"/>
      <c r="DB138" s="61"/>
      <c r="DC138" s="61"/>
      <c r="DD138" s="61"/>
      <c r="DE138" s="61"/>
      <c r="DF138" s="61"/>
      <c r="DG138" s="61"/>
      <c r="DH138" s="61"/>
      <c r="DI138" s="61"/>
      <c r="DJ138" s="61"/>
      <c r="DK138" s="61"/>
      <c r="DL138" s="61"/>
      <c r="DM138" s="61"/>
      <c r="DN138" s="61"/>
      <c r="DO138" s="61"/>
      <c r="DP138" s="61"/>
      <c r="DQ138" s="61"/>
      <c r="DR138" s="61"/>
      <c r="DS138" s="61"/>
      <c r="DT138" s="61"/>
      <c r="DU138" s="61"/>
      <c r="DV138" s="61"/>
      <c r="DW138" s="61"/>
      <c r="DX138" s="61"/>
      <c r="DY138" s="61"/>
      <c r="DZ138" s="61"/>
      <c r="EA138" s="61"/>
      <c r="EB138" s="61"/>
      <c r="EC138" s="61"/>
      <c r="ED138" s="61"/>
      <c r="EE138" s="61"/>
      <c r="EF138" s="61"/>
      <c r="EG138" s="61"/>
      <c r="EH138" s="61"/>
      <c r="EI138" s="61"/>
      <c r="EJ138" s="61"/>
      <c r="EK138" s="61"/>
      <c r="EL138" s="61"/>
      <c r="EM138" s="61"/>
      <c r="EN138" s="61"/>
      <c r="EO138" s="61"/>
      <c r="EP138" s="61"/>
      <c r="EQ138" s="61"/>
      <c r="ER138" s="61"/>
      <c r="ES138" s="61"/>
      <c r="ET138" s="61"/>
      <c r="EU138" s="61"/>
      <c r="EV138" s="61"/>
      <c r="EW138" s="61"/>
    </row>
    <row r="139" spans="1:153">
      <c r="A139" s="56">
        <v>30803</v>
      </c>
      <c r="B139" s="57"/>
      <c r="C139" s="7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71"/>
      <c r="P139" s="60">
        <v>227.24199999999999</v>
      </c>
      <c r="Q139" s="61">
        <v>6.5469999999999997</v>
      </c>
      <c r="R139" s="61">
        <v>251.40799999999999</v>
      </c>
      <c r="S139" s="61">
        <v>593.50400000000002</v>
      </c>
      <c r="T139" s="61">
        <v>335.60700000000003</v>
      </c>
      <c r="U139" s="61">
        <v>6.4729999999999999</v>
      </c>
      <c r="V139" s="61">
        <v>7.0000000000000001E-3</v>
      </c>
      <c r="W139" s="61">
        <v>8.0000000000000002E-3</v>
      </c>
      <c r="X139" s="61">
        <v>227.24199999999999</v>
      </c>
      <c r="Y139" s="61">
        <v>17.619</v>
      </c>
      <c r="Z139" s="61">
        <v>6.5469999999999997</v>
      </c>
      <c r="AA139" s="61">
        <v>251.40799999999999</v>
      </c>
      <c r="AB139" s="60">
        <v>593.50400000000002</v>
      </c>
      <c r="AC139" s="62"/>
      <c r="AD139" s="61"/>
      <c r="AE139" s="61"/>
      <c r="AF139" s="61"/>
      <c r="AG139" s="61"/>
      <c r="AH139" s="61"/>
      <c r="AI139" s="61"/>
      <c r="AJ139" s="61"/>
      <c r="AK139" s="62"/>
      <c r="AL139" s="63"/>
      <c r="AM139" s="64"/>
      <c r="AN139" s="65" t="e">
        <v>#N/A</v>
      </c>
      <c r="AO139" s="61" t="e">
        <v>#N/A</v>
      </c>
      <c r="AP139" s="61" t="e">
        <v>#N/A</v>
      </c>
      <c r="AQ139" s="61" t="e">
        <v>#N/A</v>
      </c>
      <c r="AR139" s="61" t="e">
        <v>#N/A</v>
      </c>
      <c r="AS139" s="61" t="e">
        <v>#N/A</v>
      </c>
      <c r="AT139" s="61" t="e">
        <v>#N/A</v>
      </c>
      <c r="AU139" s="61" t="e">
        <v>#N/A</v>
      </c>
      <c r="AV139" s="61" t="e">
        <v>#N/A</v>
      </c>
      <c r="AW139" s="61" t="e">
        <v>#N/A</v>
      </c>
      <c r="AX139" s="65" t="e">
        <v>#N/A</v>
      </c>
      <c r="AY139" s="66" t="s">
        <v>121</v>
      </c>
      <c r="AZ139" s="61" t="s">
        <v>121</v>
      </c>
      <c r="BA139" s="61">
        <v>83.004999999999995</v>
      </c>
      <c r="BB139" s="61">
        <v>83.004999999999995</v>
      </c>
      <c r="BC139" s="61" t="s">
        <v>121</v>
      </c>
      <c r="BD139" s="61" t="s">
        <v>121</v>
      </c>
      <c r="BE139" s="61" t="s">
        <v>121</v>
      </c>
      <c r="BF139" s="61" t="s">
        <v>121</v>
      </c>
      <c r="BG139" s="61">
        <v>1.863</v>
      </c>
      <c r="BH139" s="61" t="s">
        <v>121</v>
      </c>
      <c r="BI139" s="61">
        <v>0.03</v>
      </c>
      <c r="BJ139" s="61">
        <v>1.893</v>
      </c>
      <c r="BK139" s="66">
        <v>1.893</v>
      </c>
      <c r="BL139" s="67">
        <v>3.4950000000000001</v>
      </c>
      <c r="BM139" s="61" t="s">
        <v>121</v>
      </c>
      <c r="BN139" s="61" t="s">
        <v>121</v>
      </c>
      <c r="BO139" s="61" t="s">
        <v>121</v>
      </c>
      <c r="BP139" s="61">
        <v>3.4950000000000001</v>
      </c>
      <c r="BQ139" s="61">
        <v>332.13299999999998</v>
      </c>
      <c r="BR139" s="61">
        <v>6.4729999999999999</v>
      </c>
      <c r="BS139" s="61">
        <v>7.0000000000000001E-3</v>
      </c>
      <c r="BT139" s="61">
        <v>8.0000000000000002E-3</v>
      </c>
      <c r="BU139" s="61">
        <v>0.16300000000000001</v>
      </c>
      <c r="BV139" s="61">
        <v>0.377</v>
      </c>
      <c r="BW139" s="61">
        <v>0.54</v>
      </c>
      <c r="BX139" s="67">
        <v>339.161</v>
      </c>
      <c r="BY139" s="68">
        <v>81298</v>
      </c>
      <c r="BZ139" s="68">
        <v>87223</v>
      </c>
      <c r="CA139" s="69">
        <v>7836</v>
      </c>
      <c r="CB139" s="68">
        <v>98144</v>
      </c>
      <c r="CC139" s="68">
        <v>1498</v>
      </c>
      <c r="CD139" s="61"/>
      <c r="CE139" s="64"/>
      <c r="CF139" s="64"/>
      <c r="CG139" s="70">
        <f t="shared" si="11"/>
        <v>4122.0479999999998</v>
      </c>
      <c r="CH139" s="70">
        <f t="shared" si="12"/>
        <v>329.11200000000002</v>
      </c>
      <c r="CI139" s="70">
        <f t="shared" si="13"/>
        <v>62.915999999999997</v>
      </c>
      <c r="CJ139" s="70">
        <f t="shared" si="15"/>
        <v>3414.5160000000001</v>
      </c>
      <c r="CK139" s="70">
        <f t="shared" si="15"/>
        <v>3663.366</v>
      </c>
      <c r="CL139" s="70">
        <f t="shared" si="14"/>
        <v>62.915999999999997</v>
      </c>
      <c r="CM139" s="61"/>
      <c r="CN139" s="61"/>
      <c r="CO139" s="61"/>
      <c r="CP139" s="61"/>
      <c r="CQ139" s="61"/>
      <c r="CR139" s="61"/>
      <c r="CS139" s="61"/>
      <c r="CT139" s="61"/>
      <c r="CU139" s="61"/>
      <c r="CV139" s="61"/>
      <c r="CW139" s="61"/>
      <c r="CX139" s="61"/>
      <c r="CY139" s="61"/>
      <c r="CZ139" s="61"/>
      <c r="DA139" s="61"/>
      <c r="DB139" s="61"/>
      <c r="DC139" s="61"/>
      <c r="DD139" s="61"/>
      <c r="DE139" s="61"/>
      <c r="DF139" s="61"/>
      <c r="DG139" s="61"/>
      <c r="DH139" s="61"/>
      <c r="DI139" s="61"/>
      <c r="DJ139" s="61"/>
      <c r="DK139" s="61"/>
      <c r="DL139" s="61"/>
      <c r="DM139" s="61"/>
      <c r="DN139" s="61"/>
      <c r="DO139" s="61"/>
      <c r="DP139" s="61"/>
      <c r="DQ139" s="61"/>
      <c r="DR139" s="61"/>
      <c r="DS139" s="61"/>
      <c r="DT139" s="61"/>
      <c r="DU139" s="61"/>
      <c r="DV139" s="61"/>
      <c r="DW139" s="61"/>
      <c r="DX139" s="61"/>
      <c r="DY139" s="61"/>
      <c r="DZ139" s="61"/>
      <c r="EA139" s="61"/>
      <c r="EB139" s="61"/>
      <c r="EC139" s="61"/>
      <c r="ED139" s="61"/>
      <c r="EE139" s="61"/>
      <c r="EF139" s="61"/>
      <c r="EG139" s="61"/>
      <c r="EH139" s="61"/>
      <c r="EI139" s="61"/>
      <c r="EJ139" s="61"/>
      <c r="EK139" s="61"/>
      <c r="EL139" s="61"/>
      <c r="EM139" s="61"/>
      <c r="EN139" s="61"/>
      <c r="EO139" s="61"/>
      <c r="EP139" s="61"/>
      <c r="EQ139" s="61"/>
      <c r="ER139" s="61"/>
      <c r="ES139" s="61"/>
      <c r="ET139" s="61"/>
      <c r="EU139" s="61"/>
      <c r="EV139" s="61"/>
      <c r="EW139" s="61"/>
    </row>
    <row r="140" spans="1:153">
      <c r="A140" s="56">
        <v>30834</v>
      </c>
      <c r="B140" s="57"/>
      <c r="C140" s="7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71"/>
      <c r="P140" s="60">
        <v>219.91399999999999</v>
      </c>
      <c r="Q140" s="61">
        <v>6.3360000000000003</v>
      </c>
      <c r="R140" s="61">
        <v>243.303</v>
      </c>
      <c r="S140" s="61">
        <v>553.32100000000003</v>
      </c>
      <c r="T140" s="61">
        <v>303.71899999999999</v>
      </c>
      <c r="U140" s="61">
        <v>6.2830000000000004</v>
      </c>
      <c r="V140" s="61">
        <v>0.01</v>
      </c>
      <c r="W140" s="61">
        <v>6.0000000000000001E-3</v>
      </c>
      <c r="X140" s="61">
        <v>219.91399999999999</v>
      </c>
      <c r="Y140" s="61">
        <v>17.053000000000001</v>
      </c>
      <c r="Z140" s="61">
        <v>6.3360000000000003</v>
      </c>
      <c r="AA140" s="61">
        <v>243.303</v>
      </c>
      <c r="AB140" s="60">
        <v>553.32100000000003</v>
      </c>
      <c r="AC140" s="62"/>
      <c r="AD140" s="61"/>
      <c r="AE140" s="61"/>
      <c r="AF140" s="61"/>
      <c r="AG140" s="61"/>
      <c r="AH140" s="61"/>
      <c r="AI140" s="61"/>
      <c r="AJ140" s="61"/>
      <c r="AK140" s="62"/>
      <c r="AL140" s="63"/>
      <c r="AM140" s="64"/>
      <c r="AN140" s="65" t="e">
        <v>#N/A</v>
      </c>
      <c r="AO140" s="61" t="e">
        <v>#N/A</v>
      </c>
      <c r="AP140" s="61" t="e">
        <v>#N/A</v>
      </c>
      <c r="AQ140" s="61" t="e">
        <v>#N/A</v>
      </c>
      <c r="AR140" s="61" t="e">
        <v>#N/A</v>
      </c>
      <c r="AS140" s="61" t="e">
        <v>#N/A</v>
      </c>
      <c r="AT140" s="61" t="e">
        <v>#N/A</v>
      </c>
      <c r="AU140" s="61" t="e">
        <v>#N/A</v>
      </c>
      <c r="AV140" s="61" t="e">
        <v>#N/A</v>
      </c>
      <c r="AW140" s="61" t="e">
        <v>#N/A</v>
      </c>
      <c r="AX140" s="65" t="e">
        <v>#N/A</v>
      </c>
      <c r="AY140" s="66" t="s">
        <v>121</v>
      </c>
      <c r="AZ140" s="61" t="s">
        <v>121</v>
      </c>
      <c r="BA140" s="61">
        <v>80.328000000000003</v>
      </c>
      <c r="BB140" s="61">
        <v>80.328000000000003</v>
      </c>
      <c r="BC140" s="61" t="s">
        <v>121</v>
      </c>
      <c r="BD140" s="61" t="s">
        <v>121</v>
      </c>
      <c r="BE140" s="61" t="s">
        <v>121</v>
      </c>
      <c r="BF140" s="61" t="s">
        <v>121</v>
      </c>
      <c r="BG140" s="61">
        <v>1.8029999999999999</v>
      </c>
      <c r="BH140" s="61" t="s">
        <v>121</v>
      </c>
      <c r="BI140" s="61">
        <v>2.9000000000000001E-2</v>
      </c>
      <c r="BJ140" s="61">
        <v>1.8320000000000001</v>
      </c>
      <c r="BK140" s="66">
        <v>1.8320000000000001</v>
      </c>
      <c r="BL140" s="67">
        <v>3.3820000000000001</v>
      </c>
      <c r="BM140" s="61" t="s">
        <v>121</v>
      </c>
      <c r="BN140" s="61" t="s">
        <v>121</v>
      </c>
      <c r="BO140" s="61" t="s">
        <v>121</v>
      </c>
      <c r="BP140" s="61">
        <v>3.3820000000000001</v>
      </c>
      <c r="BQ140" s="61">
        <v>300.39</v>
      </c>
      <c r="BR140" s="61">
        <v>6.2830000000000004</v>
      </c>
      <c r="BS140" s="61">
        <v>0.01</v>
      </c>
      <c r="BT140" s="61">
        <v>6.0000000000000001E-3</v>
      </c>
      <c r="BU140" s="61">
        <v>0.159</v>
      </c>
      <c r="BV140" s="61">
        <v>0.36699999999999999</v>
      </c>
      <c r="BW140" s="61">
        <v>0.52600000000000002</v>
      </c>
      <c r="BX140" s="67">
        <v>307.21600000000001</v>
      </c>
      <c r="BY140" s="68">
        <v>86366</v>
      </c>
      <c r="BZ140" s="68">
        <v>77803</v>
      </c>
      <c r="CA140" s="69">
        <v>7691</v>
      </c>
      <c r="CB140" s="68">
        <v>112849</v>
      </c>
      <c r="CC140" s="68">
        <v>1589</v>
      </c>
      <c r="CD140" s="61"/>
      <c r="CE140" s="64"/>
      <c r="CF140" s="64"/>
      <c r="CG140" s="70">
        <f t="shared" si="11"/>
        <v>4739.6580000000004</v>
      </c>
      <c r="CH140" s="70">
        <f t="shared" si="12"/>
        <v>323.02199999999999</v>
      </c>
      <c r="CI140" s="70">
        <f t="shared" si="13"/>
        <v>66.738</v>
      </c>
      <c r="CJ140" s="70">
        <f t="shared" si="15"/>
        <v>3627.3719999999998</v>
      </c>
      <c r="CK140" s="70">
        <f t="shared" si="15"/>
        <v>3267.7260000000001</v>
      </c>
      <c r="CL140" s="70">
        <f t="shared" si="14"/>
        <v>66.738</v>
      </c>
      <c r="CM140" s="61"/>
      <c r="CN140" s="61"/>
      <c r="CO140" s="61"/>
      <c r="CP140" s="61"/>
      <c r="CQ140" s="61"/>
      <c r="CR140" s="61"/>
      <c r="CS140" s="61"/>
      <c r="CT140" s="61"/>
      <c r="CU140" s="61"/>
      <c r="CV140" s="61"/>
      <c r="CW140" s="61"/>
      <c r="CX140" s="61"/>
      <c r="CY140" s="61"/>
      <c r="CZ140" s="61"/>
      <c r="DA140" s="61"/>
      <c r="DB140" s="61"/>
      <c r="DC140" s="61"/>
      <c r="DD140" s="61"/>
      <c r="DE140" s="61"/>
      <c r="DF140" s="61"/>
      <c r="DG140" s="61"/>
      <c r="DH140" s="61"/>
      <c r="DI140" s="61"/>
      <c r="DJ140" s="61"/>
      <c r="DK140" s="61"/>
      <c r="DL140" s="61"/>
      <c r="DM140" s="61"/>
      <c r="DN140" s="61"/>
      <c r="DO140" s="61"/>
      <c r="DP140" s="61"/>
      <c r="DQ140" s="61"/>
      <c r="DR140" s="61"/>
      <c r="DS140" s="61"/>
      <c r="DT140" s="61"/>
      <c r="DU140" s="61"/>
      <c r="DV140" s="61"/>
      <c r="DW140" s="61"/>
      <c r="DX140" s="61"/>
      <c r="DY140" s="61"/>
      <c r="DZ140" s="61"/>
      <c r="EA140" s="61"/>
      <c r="EB140" s="61"/>
      <c r="EC140" s="61"/>
      <c r="ED140" s="61"/>
      <c r="EE140" s="61"/>
      <c r="EF140" s="61"/>
      <c r="EG140" s="61"/>
      <c r="EH140" s="61"/>
      <c r="EI140" s="61"/>
      <c r="EJ140" s="61"/>
      <c r="EK140" s="61"/>
      <c r="EL140" s="61"/>
      <c r="EM140" s="61"/>
      <c r="EN140" s="61"/>
      <c r="EO140" s="61"/>
      <c r="EP140" s="61"/>
      <c r="EQ140" s="61"/>
      <c r="ER140" s="61"/>
      <c r="ES140" s="61"/>
      <c r="ET140" s="61"/>
      <c r="EU140" s="61"/>
      <c r="EV140" s="61"/>
      <c r="EW140" s="61"/>
    </row>
    <row r="141" spans="1:153">
      <c r="A141" s="56">
        <v>30864</v>
      </c>
      <c r="B141" s="57"/>
      <c r="C141" s="7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71"/>
      <c r="P141" s="60">
        <v>227.458</v>
      </c>
      <c r="Q141" s="61">
        <v>6.5469999999999997</v>
      </c>
      <c r="R141" s="61">
        <v>251.63200000000001</v>
      </c>
      <c r="S141" s="61">
        <v>547.61800000000005</v>
      </c>
      <c r="T141" s="61">
        <v>289.98200000000003</v>
      </c>
      <c r="U141" s="61">
        <v>5.9969999999999999</v>
      </c>
      <c r="V141" s="61">
        <v>3.0000000000000001E-3</v>
      </c>
      <c r="W141" s="61">
        <v>5.0000000000000001E-3</v>
      </c>
      <c r="X141" s="61">
        <v>227.458</v>
      </c>
      <c r="Y141" s="61">
        <v>17.626999999999999</v>
      </c>
      <c r="Z141" s="61">
        <v>6.5469999999999997</v>
      </c>
      <c r="AA141" s="61">
        <v>251.63200000000001</v>
      </c>
      <c r="AB141" s="60">
        <v>547.61800000000005</v>
      </c>
      <c r="AC141" s="62"/>
      <c r="AD141" s="61"/>
      <c r="AE141" s="61"/>
      <c r="AF141" s="61"/>
      <c r="AG141" s="61"/>
      <c r="AH141" s="61"/>
      <c r="AI141" s="61"/>
      <c r="AJ141" s="61"/>
      <c r="AK141" s="62"/>
      <c r="AL141" s="63"/>
      <c r="AM141" s="64"/>
      <c r="AN141" s="65" t="e">
        <v>#N/A</v>
      </c>
      <c r="AO141" s="61" t="e">
        <v>#N/A</v>
      </c>
      <c r="AP141" s="61" t="e">
        <v>#N/A</v>
      </c>
      <c r="AQ141" s="61" t="e">
        <v>#N/A</v>
      </c>
      <c r="AR141" s="61" t="e">
        <v>#N/A</v>
      </c>
      <c r="AS141" s="61" t="e">
        <v>#N/A</v>
      </c>
      <c r="AT141" s="61" t="e">
        <v>#N/A</v>
      </c>
      <c r="AU141" s="61" t="e">
        <v>#N/A</v>
      </c>
      <c r="AV141" s="61" t="e">
        <v>#N/A</v>
      </c>
      <c r="AW141" s="61" t="e">
        <v>#N/A</v>
      </c>
      <c r="AX141" s="65" t="e">
        <v>#N/A</v>
      </c>
      <c r="AY141" s="66" t="s">
        <v>121</v>
      </c>
      <c r="AZ141" s="61" t="s">
        <v>121</v>
      </c>
      <c r="BA141" s="61">
        <v>83.004999999999995</v>
      </c>
      <c r="BB141" s="61">
        <v>83.004999999999995</v>
      </c>
      <c r="BC141" s="61" t="s">
        <v>121</v>
      </c>
      <c r="BD141" s="61" t="s">
        <v>121</v>
      </c>
      <c r="BE141" s="61" t="s">
        <v>121</v>
      </c>
      <c r="BF141" s="61" t="s">
        <v>121</v>
      </c>
      <c r="BG141" s="61">
        <v>1.863</v>
      </c>
      <c r="BH141" s="61" t="s">
        <v>121</v>
      </c>
      <c r="BI141" s="61">
        <v>0.03</v>
      </c>
      <c r="BJ141" s="61">
        <v>1.893</v>
      </c>
      <c r="BK141" s="66">
        <v>1.893</v>
      </c>
      <c r="BL141" s="67">
        <v>3.4950000000000001</v>
      </c>
      <c r="BM141" s="61" t="s">
        <v>121</v>
      </c>
      <c r="BN141" s="61" t="s">
        <v>121</v>
      </c>
      <c r="BO141" s="61" t="s">
        <v>121</v>
      </c>
      <c r="BP141" s="61">
        <v>3.4950000000000001</v>
      </c>
      <c r="BQ141" s="61">
        <v>287.04300000000001</v>
      </c>
      <c r="BR141" s="61">
        <v>5.9969999999999999</v>
      </c>
      <c r="BS141" s="61">
        <v>3.0000000000000001E-3</v>
      </c>
      <c r="BT141" s="61">
        <v>5.0000000000000001E-3</v>
      </c>
      <c r="BU141" s="61">
        <v>0.379</v>
      </c>
      <c r="BV141" s="61">
        <v>0.38400000000000001</v>
      </c>
      <c r="BW141" s="61">
        <v>0.76300000000000001</v>
      </c>
      <c r="BX141" s="67">
        <v>293.81099999999998</v>
      </c>
      <c r="BY141" s="68">
        <v>84245</v>
      </c>
      <c r="BZ141" s="68">
        <v>77622</v>
      </c>
      <c r="CA141" s="69">
        <v>6156</v>
      </c>
      <c r="CB141" s="68">
        <v>124421</v>
      </c>
      <c r="CC141" s="68">
        <v>1245</v>
      </c>
      <c r="CD141" s="61"/>
      <c r="CE141" s="64"/>
      <c r="CF141" s="64"/>
      <c r="CG141" s="70">
        <f t="shared" si="11"/>
        <v>5225.6819999999998</v>
      </c>
      <c r="CH141" s="70">
        <f t="shared" si="12"/>
        <v>258.55200000000002</v>
      </c>
      <c r="CI141" s="70">
        <f t="shared" si="13"/>
        <v>52.29</v>
      </c>
      <c r="CJ141" s="70">
        <f t="shared" si="15"/>
        <v>3538.29</v>
      </c>
      <c r="CK141" s="70">
        <f t="shared" si="15"/>
        <v>3260.1239999999998</v>
      </c>
      <c r="CL141" s="70">
        <f t="shared" si="14"/>
        <v>52.29</v>
      </c>
      <c r="CM141" s="61"/>
      <c r="CN141" s="61"/>
      <c r="CO141" s="61"/>
      <c r="CP141" s="61"/>
      <c r="CQ141" s="61"/>
      <c r="CR141" s="61"/>
      <c r="CS141" s="61"/>
      <c r="CT141" s="61"/>
      <c r="CU141" s="61"/>
      <c r="CV141" s="61"/>
      <c r="CW141" s="61"/>
      <c r="CX141" s="61"/>
      <c r="CY141" s="61"/>
      <c r="CZ141" s="61"/>
      <c r="DA141" s="61"/>
      <c r="DB141" s="61"/>
      <c r="DC141" s="61"/>
      <c r="DD141" s="61"/>
      <c r="DE141" s="61"/>
      <c r="DF141" s="61"/>
      <c r="DG141" s="61"/>
      <c r="DH141" s="61"/>
      <c r="DI141" s="61"/>
      <c r="DJ141" s="61"/>
      <c r="DK141" s="61"/>
      <c r="DL141" s="61"/>
      <c r="DM141" s="61"/>
      <c r="DN141" s="61"/>
      <c r="DO141" s="61"/>
      <c r="DP141" s="61"/>
      <c r="DQ141" s="61"/>
      <c r="DR141" s="61"/>
      <c r="DS141" s="61"/>
      <c r="DT141" s="61"/>
      <c r="DU141" s="61"/>
      <c r="DV141" s="61"/>
      <c r="DW141" s="61"/>
      <c r="DX141" s="61"/>
      <c r="DY141" s="61"/>
      <c r="DZ141" s="61"/>
      <c r="EA141" s="61"/>
      <c r="EB141" s="61"/>
      <c r="EC141" s="61"/>
      <c r="ED141" s="61"/>
      <c r="EE141" s="61"/>
      <c r="EF141" s="61"/>
      <c r="EG141" s="61"/>
      <c r="EH141" s="61"/>
      <c r="EI141" s="61"/>
      <c r="EJ141" s="61"/>
      <c r="EK141" s="61"/>
      <c r="EL141" s="61"/>
      <c r="EM141" s="61"/>
      <c r="EN141" s="61"/>
      <c r="EO141" s="61"/>
      <c r="EP141" s="61"/>
      <c r="EQ141" s="61"/>
      <c r="ER141" s="61"/>
      <c r="ES141" s="61"/>
      <c r="ET141" s="61"/>
      <c r="EU141" s="61"/>
      <c r="EV141" s="61"/>
      <c r="EW141" s="61"/>
    </row>
    <row r="142" spans="1:153">
      <c r="A142" s="56">
        <v>30895</v>
      </c>
      <c r="B142" s="57"/>
      <c r="C142" s="7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71"/>
      <c r="P142" s="60">
        <v>227.48099999999999</v>
      </c>
      <c r="Q142" s="61">
        <v>6.5469999999999997</v>
      </c>
      <c r="R142" s="61">
        <v>251.63800000000001</v>
      </c>
      <c r="S142" s="61">
        <v>524.053</v>
      </c>
      <c r="T142" s="61">
        <v>264.89400000000001</v>
      </c>
      <c r="U142" s="61">
        <v>7.5090000000000003</v>
      </c>
      <c r="V142" s="61">
        <v>8.9999999999999993E-3</v>
      </c>
      <c r="W142" s="61">
        <v>3.0000000000000001E-3</v>
      </c>
      <c r="X142" s="61">
        <v>227.48099999999999</v>
      </c>
      <c r="Y142" s="61">
        <v>17.61</v>
      </c>
      <c r="Z142" s="61">
        <v>6.5469999999999997</v>
      </c>
      <c r="AA142" s="61">
        <v>251.63800000000001</v>
      </c>
      <c r="AB142" s="60">
        <v>524.053</v>
      </c>
      <c r="AC142" s="62"/>
      <c r="AD142" s="61"/>
      <c r="AE142" s="61"/>
      <c r="AF142" s="61"/>
      <c r="AG142" s="61"/>
      <c r="AH142" s="61"/>
      <c r="AI142" s="61"/>
      <c r="AJ142" s="61"/>
      <c r="AK142" s="62"/>
      <c r="AL142" s="63"/>
      <c r="AM142" s="64"/>
      <c r="AN142" s="65" t="e">
        <v>#N/A</v>
      </c>
      <c r="AO142" s="61" t="e">
        <v>#N/A</v>
      </c>
      <c r="AP142" s="61" t="e">
        <v>#N/A</v>
      </c>
      <c r="AQ142" s="61" t="e">
        <v>#N/A</v>
      </c>
      <c r="AR142" s="61" t="e">
        <v>#N/A</v>
      </c>
      <c r="AS142" s="61" t="e">
        <v>#N/A</v>
      </c>
      <c r="AT142" s="61" t="e">
        <v>#N/A</v>
      </c>
      <c r="AU142" s="61" t="e">
        <v>#N/A</v>
      </c>
      <c r="AV142" s="61" t="e">
        <v>#N/A</v>
      </c>
      <c r="AW142" s="61" t="e">
        <v>#N/A</v>
      </c>
      <c r="AX142" s="65" t="e">
        <v>#N/A</v>
      </c>
      <c r="AY142" s="66" t="s">
        <v>121</v>
      </c>
      <c r="AZ142" s="61" t="s">
        <v>121</v>
      </c>
      <c r="BA142" s="61">
        <v>83.004999999999995</v>
      </c>
      <c r="BB142" s="61">
        <v>83.004999999999995</v>
      </c>
      <c r="BC142" s="61" t="s">
        <v>121</v>
      </c>
      <c r="BD142" s="61" t="s">
        <v>121</v>
      </c>
      <c r="BE142" s="61" t="s">
        <v>121</v>
      </c>
      <c r="BF142" s="61" t="s">
        <v>121</v>
      </c>
      <c r="BG142" s="61">
        <v>1.863</v>
      </c>
      <c r="BH142" s="61" t="s">
        <v>121</v>
      </c>
      <c r="BI142" s="61">
        <v>0.03</v>
      </c>
      <c r="BJ142" s="61">
        <v>1.893</v>
      </c>
      <c r="BK142" s="66">
        <v>1.893</v>
      </c>
      <c r="BL142" s="67">
        <v>3.4950000000000001</v>
      </c>
      <c r="BM142" s="61" t="s">
        <v>121</v>
      </c>
      <c r="BN142" s="61" t="s">
        <v>121</v>
      </c>
      <c r="BO142" s="61" t="s">
        <v>121</v>
      </c>
      <c r="BP142" s="61">
        <v>3.4950000000000001</v>
      </c>
      <c r="BQ142" s="61">
        <v>262.43</v>
      </c>
      <c r="BR142" s="61">
        <v>7.5090000000000003</v>
      </c>
      <c r="BS142" s="61">
        <v>8.9999999999999993E-3</v>
      </c>
      <c r="BT142" s="61">
        <v>3.0000000000000001E-3</v>
      </c>
      <c r="BU142" s="61">
        <v>0.40200000000000002</v>
      </c>
      <c r="BV142" s="61">
        <v>0.36799999999999999</v>
      </c>
      <c r="BW142" s="61">
        <v>0.76900000000000002</v>
      </c>
      <c r="BX142" s="67">
        <v>270.72000000000003</v>
      </c>
      <c r="BY142" s="68">
        <v>82447</v>
      </c>
      <c r="BZ142" s="68">
        <v>79322</v>
      </c>
      <c r="CA142" s="69">
        <v>8034</v>
      </c>
      <c r="CB142" s="68">
        <v>133317</v>
      </c>
      <c r="CC142" s="68">
        <v>2305</v>
      </c>
      <c r="CD142" s="61"/>
      <c r="CE142" s="64"/>
      <c r="CF142" s="64"/>
      <c r="CG142" s="70">
        <f t="shared" si="11"/>
        <v>5599.3140000000003</v>
      </c>
      <c r="CH142" s="70">
        <f t="shared" si="12"/>
        <v>337.428</v>
      </c>
      <c r="CI142" s="70">
        <f t="shared" si="13"/>
        <v>96.81</v>
      </c>
      <c r="CJ142" s="70">
        <f t="shared" si="15"/>
        <v>3462.7739999999999</v>
      </c>
      <c r="CK142" s="70">
        <f t="shared" si="15"/>
        <v>3331.5239999999999</v>
      </c>
      <c r="CL142" s="70">
        <f t="shared" si="14"/>
        <v>96.81</v>
      </c>
      <c r="CM142" s="61"/>
      <c r="CN142" s="61"/>
      <c r="CO142" s="61"/>
      <c r="CP142" s="61"/>
      <c r="CQ142" s="61"/>
      <c r="CR142" s="61"/>
      <c r="CS142" s="61"/>
      <c r="CT142" s="61"/>
      <c r="CU142" s="61"/>
      <c r="CV142" s="61"/>
      <c r="CW142" s="61"/>
      <c r="CX142" s="61"/>
      <c r="CY142" s="61"/>
      <c r="CZ142" s="61"/>
      <c r="DA142" s="61"/>
      <c r="DB142" s="61"/>
      <c r="DC142" s="61"/>
      <c r="DD142" s="61"/>
      <c r="DE142" s="61"/>
      <c r="DF142" s="61"/>
      <c r="DG142" s="61"/>
      <c r="DH142" s="61"/>
      <c r="DI142" s="61"/>
      <c r="DJ142" s="61"/>
      <c r="DK142" s="61"/>
      <c r="DL142" s="61"/>
      <c r="DM142" s="61"/>
      <c r="DN142" s="61"/>
      <c r="DO142" s="61"/>
      <c r="DP142" s="61"/>
      <c r="DQ142" s="61"/>
      <c r="DR142" s="61"/>
      <c r="DS142" s="61"/>
      <c r="DT142" s="61"/>
      <c r="DU142" s="61"/>
      <c r="DV142" s="61"/>
      <c r="DW142" s="61"/>
      <c r="DX142" s="61"/>
      <c r="DY142" s="61"/>
      <c r="DZ142" s="61"/>
      <c r="EA142" s="61"/>
      <c r="EB142" s="61"/>
      <c r="EC142" s="61"/>
      <c r="ED142" s="61"/>
      <c r="EE142" s="61"/>
      <c r="EF142" s="61"/>
      <c r="EG142" s="61"/>
      <c r="EH142" s="61"/>
      <c r="EI142" s="61"/>
      <c r="EJ142" s="61"/>
      <c r="EK142" s="61"/>
      <c r="EL142" s="61"/>
      <c r="EM142" s="61"/>
      <c r="EN142" s="61"/>
      <c r="EO142" s="61"/>
      <c r="EP142" s="61"/>
      <c r="EQ142" s="61"/>
      <c r="ER142" s="61"/>
      <c r="ES142" s="61"/>
      <c r="ET142" s="61"/>
      <c r="EU142" s="61"/>
      <c r="EV142" s="61"/>
      <c r="EW142" s="61"/>
    </row>
    <row r="143" spans="1:153">
      <c r="A143" s="56">
        <v>30926</v>
      </c>
      <c r="B143" s="57"/>
      <c r="C143" s="7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71"/>
      <c r="P143" s="60">
        <v>220.21</v>
      </c>
      <c r="Q143" s="61">
        <v>6.3360000000000003</v>
      </c>
      <c r="R143" s="61">
        <v>243.596</v>
      </c>
      <c r="S143" s="61">
        <v>470.91</v>
      </c>
      <c r="T143" s="61">
        <v>220.536</v>
      </c>
      <c r="U143" s="61">
        <v>6.7629999999999999</v>
      </c>
      <c r="V143" s="61">
        <v>0.01</v>
      </c>
      <c r="W143" s="61">
        <v>5.0000000000000001E-3</v>
      </c>
      <c r="X143" s="61">
        <v>220.21</v>
      </c>
      <c r="Y143" s="61">
        <v>17.048999999999999</v>
      </c>
      <c r="Z143" s="61">
        <v>6.3360000000000003</v>
      </c>
      <c r="AA143" s="61">
        <v>243.596</v>
      </c>
      <c r="AB143" s="60">
        <v>470.91</v>
      </c>
      <c r="AC143" s="62"/>
      <c r="AD143" s="61"/>
      <c r="AE143" s="61"/>
      <c r="AF143" s="61"/>
      <c r="AG143" s="61"/>
      <c r="AH143" s="61"/>
      <c r="AI143" s="61"/>
      <c r="AJ143" s="61"/>
      <c r="AK143" s="62"/>
      <c r="AL143" s="63"/>
      <c r="AM143" s="64"/>
      <c r="AN143" s="65" t="e">
        <v>#N/A</v>
      </c>
      <c r="AO143" s="61" t="e">
        <v>#N/A</v>
      </c>
      <c r="AP143" s="61" t="e">
        <v>#N/A</v>
      </c>
      <c r="AQ143" s="61" t="e">
        <v>#N/A</v>
      </c>
      <c r="AR143" s="61" t="e">
        <v>#N/A</v>
      </c>
      <c r="AS143" s="61" t="e">
        <v>#N/A</v>
      </c>
      <c r="AT143" s="61" t="e">
        <v>#N/A</v>
      </c>
      <c r="AU143" s="61" t="e">
        <v>#N/A</v>
      </c>
      <c r="AV143" s="61" t="e">
        <v>#N/A</v>
      </c>
      <c r="AW143" s="61" t="e">
        <v>#N/A</v>
      </c>
      <c r="AX143" s="65" t="e">
        <v>#N/A</v>
      </c>
      <c r="AY143" s="66" t="s">
        <v>121</v>
      </c>
      <c r="AZ143" s="61" t="s">
        <v>121</v>
      </c>
      <c r="BA143" s="61">
        <v>80.328000000000003</v>
      </c>
      <c r="BB143" s="61">
        <v>80.328000000000003</v>
      </c>
      <c r="BC143" s="61" t="s">
        <v>121</v>
      </c>
      <c r="BD143" s="61" t="s">
        <v>121</v>
      </c>
      <c r="BE143" s="61" t="s">
        <v>121</v>
      </c>
      <c r="BF143" s="61" t="s">
        <v>121</v>
      </c>
      <c r="BG143" s="61">
        <v>1.8029999999999999</v>
      </c>
      <c r="BH143" s="61" t="s">
        <v>121</v>
      </c>
      <c r="BI143" s="61">
        <v>2.9000000000000001E-2</v>
      </c>
      <c r="BJ143" s="61">
        <v>1.8320000000000001</v>
      </c>
      <c r="BK143" s="66">
        <v>1.8320000000000001</v>
      </c>
      <c r="BL143" s="67">
        <v>3.3820000000000001</v>
      </c>
      <c r="BM143" s="61" t="s">
        <v>121</v>
      </c>
      <c r="BN143" s="61" t="s">
        <v>121</v>
      </c>
      <c r="BO143" s="61" t="s">
        <v>121</v>
      </c>
      <c r="BP143" s="61">
        <v>3.3820000000000001</v>
      </c>
      <c r="BQ143" s="61">
        <v>218.31100000000001</v>
      </c>
      <c r="BR143" s="61">
        <v>6.7629999999999999</v>
      </c>
      <c r="BS143" s="61">
        <v>0.01</v>
      </c>
      <c r="BT143" s="61">
        <v>5.0000000000000001E-3</v>
      </c>
      <c r="BU143" s="61">
        <v>0.45600000000000002</v>
      </c>
      <c r="BV143" s="61">
        <v>0.36399999999999999</v>
      </c>
      <c r="BW143" s="61">
        <v>0.81899999999999995</v>
      </c>
      <c r="BX143" s="67">
        <v>225.90899999999999</v>
      </c>
      <c r="BY143" s="68">
        <v>81148</v>
      </c>
      <c r="BZ143" s="68">
        <v>79634</v>
      </c>
      <c r="CA143" s="69">
        <v>8720</v>
      </c>
      <c r="CB143" s="68">
        <v>142943</v>
      </c>
      <c r="CC143" s="68">
        <v>655</v>
      </c>
      <c r="CD143" s="61"/>
      <c r="CE143" s="64"/>
      <c r="CF143" s="64"/>
      <c r="CG143" s="70">
        <f t="shared" si="11"/>
        <v>6003.6059999999998</v>
      </c>
      <c r="CH143" s="70">
        <f t="shared" si="12"/>
        <v>366.24</v>
      </c>
      <c r="CI143" s="70">
        <f t="shared" si="13"/>
        <v>27.51</v>
      </c>
      <c r="CJ143" s="70">
        <f t="shared" si="15"/>
        <v>3408.2159999999999</v>
      </c>
      <c r="CK143" s="70">
        <f t="shared" si="15"/>
        <v>3344.6280000000002</v>
      </c>
      <c r="CL143" s="70">
        <f t="shared" si="14"/>
        <v>27.51</v>
      </c>
      <c r="CM143" s="61"/>
      <c r="CN143" s="61"/>
      <c r="CO143" s="61"/>
      <c r="CP143" s="61"/>
      <c r="CQ143" s="61"/>
      <c r="CR143" s="61"/>
      <c r="CS143" s="61"/>
      <c r="CT143" s="61"/>
      <c r="CU143" s="61"/>
      <c r="CV143" s="61"/>
      <c r="CW143" s="61"/>
      <c r="CX143" s="61"/>
      <c r="CY143" s="61"/>
      <c r="CZ143" s="61"/>
      <c r="DA143" s="61"/>
      <c r="DB143" s="61"/>
      <c r="DC143" s="61"/>
      <c r="DD143" s="61"/>
      <c r="DE143" s="61"/>
      <c r="DF143" s="61"/>
      <c r="DG143" s="61"/>
      <c r="DH143" s="61"/>
      <c r="DI143" s="61"/>
      <c r="DJ143" s="61"/>
      <c r="DK143" s="61"/>
      <c r="DL143" s="61"/>
      <c r="DM143" s="61"/>
      <c r="DN143" s="61"/>
      <c r="DO143" s="61"/>
      <c r="DP143" s="61"/>
      <c r="DQ143" s="61"/>
      <c r="DR143" s="61"/>
      <c r="DS143" s="61"/>
      <c r="DT143" s="61"/>
      <c r="DU143" s="61"/>
      <c r="DV143" s="61"/>
      <c r="DW143" s="61"/>
      <c r="DX143" s="61"/>
      <c r="DY143" s="61"/>
      <c r="DZ143" s="61"/>
      <c r="EA143" s="61"/>
      <c r="EB143" s="61"/>
      <c r="EC143" s="61"/>
      <c r="ED143" s="61"/>
      <c r="EE143" s="61"/>
      <c r="EF143" s="61"/>
      <c r="EG143" s="61"/>
      <c r="EH143" s="61"/>
      <c r="EI143" s="61"/>
      <c r="EJ143" s="61"/>
      <c r="EK143" s="61"/>
      <c r="EL143" s="61"/>
      <c r="EM143" s="61"/>
      <c r="EN143" s="61"/>
      <c r="EO143" s="61"/>
      <c r="EP143" s="61"/>
      <c r="EQ143" s="61"/>
      <c r="ER143" s="61"/>
      <c r="ES143" s="61"/>
      <c r="ET143" s="61"/>
      <c r="EU143" s="61"/>
      <c r="EV143" s="61"/>
      <c r="EW143" s="61"/>
    </row>
    <row r="144" spans="1:153">
      <c r="A144" s="56">
        <v>30956</v>
      </c>
      <c r="B144" s="57"/>
      <c r="C144" s="7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71"/>
      <c r="P144" s="60">
        <v>227.64</v>
      </c>
      <c r="Q144" s="61">
        <v>6.5469999999999997</v>
      </c>
      <c r="R144" s="61">
        <v>251.97399999999999</v>
      </c>
      <c r="S144" s="61">
        <v>479.62</v>
      </c>
      <c r="T144" s="61">
        <v>220.20500000000001</v>
      </c>
      <c r="U144" s="61">
        <v>7.4240000000000004</v>
      </c>
      <c r="V144" s="61">
        <v>7.0000000000000001E-3</v>
      </c>
      <c r="W144" s="61">
        <v>8.9999999999999993E-3</v>
      </c>
      <c r="X144" s="61">
        <v>227.64</v>
      </c>
      <c r="Y144" s="61">
        <v>17.786000000000001</v>
      </c>
      <c r="Z144" s="61">
        <v>6.5469999999999997</v>
      </c>
      <c r="AA144" s="61">
        <v>251.97399999999999</v>
      </c>
      <c r="AB144" s="60">
        <v>479.62</v>
      </c>
      <c r="AC144" s="62"/>
      <c r="AD144" s="61"/>
      <c r="AE144" s="61"/>
      <c r="AF144" s="61"/>
      <c r="AG144" s="61"/>
      <c r="AH144" s="61"/>
      <c r="AI144" s="61"/>
      <c r="AJ144" s="61"/>
      <c r="AK144" s="62"/>
      <c r="AL144" s="63"/>
      <c r="AM144" s="64"/>
      <c r="AN144" s="65" t="e">
        <v>#N/A</v>
      </c>
      <c r="AO144" s="61" t="e">
        <v>#N/A</v>
      </c>
      <c r="AP144" s="61" t="e">
        <v>#N/A</v>
      </c>
      <c r="AQ144" s="61" t="e">
        <v>#N/A</v>
      </c>
      <c r="AR144" s="61" t="e">
        <v>#N/A</v>
      </c>
      <c r="AS144" s="61" t="e">
        <v>#N/A</v>
      </c>
      <c r="AT144" s="61" t="e">
        <v>#N/A</v>
      </c>
      <c r="AU144" s="61" t="e">
        <v>#N/A</v>
      </c>
      <c r="AV144" s="61" t="e">
        <v>#N/A</v>
      </c>
      <c r="AW144" s="61" t="e">
        <v>#N/A</v>
      </c>
      <c r="AX144" s="65" t="e">
        <v>#N/A</v>
      </c>
      <c r="AY144" s="66" t="s">
        <v>121</v>
      </c>
      <c r="AZ144" s="61" t="s">
        <v>121</v>
      </c>
      <c r="BA144" s="61">
        <v>83.004999999999995</v>
      </c>
      <c r="BB144" s="61">
        <v>83.004999999999995</v>
      </c>
      <c r="BC144" s="61" t="s">
        <v>121</v>
      </c>
      <c r="BD144" s="61" t="s">
        <v>121</v>
      </c>
      <c r="BE144" s="61" t="s">
        <v>121</v>
      </c>
      <c r="BF144" s="61" t="s">
        <v>121</v>
      </c>
      <c r="BG144" s="61">
        <v>1.863</v>
      </c>
      <c r="BH144" s="61" t="s">
        <v>121</v>
      </c>
      <c r="BI144" s="61">
        <v>0.03</v>
      </c>
      <c r="BJ144" s="61">
        <v>1.893</v>
      </c>
      <c r="BK144" s="66">
        <v>1.893</v>
      </c>
      <c r="BL144" s="67">
        <v>3.4950000000000001</v>
      </c>
      <c r="BM144" s="61" t="s">
        <v>121</v>
      </c>
      <c r="BN144" s="61" t="s">
        <v>121</v>
      </c>
      <c r="BO144" s="61" t="s">
        <v>121</v>
      </c>
      <c r="BP144" s="61">
        <v>3.4950000000000001</v>
      </c>
      <c r="BQ144" s="61">
        <v>218.05500000000001</v>
      </c>
      <c r="BR144" s="61">
        <v>7.4240000000000004</v>
      </c>
      <c r="BS144" s="61">
        <v>7.0000000000000001E-3</v>
      </c>
      <c r="BT144" s="61">
        <v>8.9999999999999993E-3</v>
      </c>
      <c r="BU144" s="61">
        <v>0.56100000000000005</v>
      </c>
      <c r="BV144" s="61">
        <v>0.54400000000000004</v>
      </c>
      <c r="BW144" s="61">
        <v>1.105</v>
      </c>
      <c r="BX144" s="67">
        <v>226.601</v>
      </c>
      <c r="BY144" s="68">
        <v>83388</v>
      </c>
      <c r="BZ144" s="68">
        <v>85719</v>
      </c>
      <c r="CA144" s="69">
        <v>13037</v>
      </c>
      <c r="CB144" s="68">
        <v>152236</v>
      </c>
      <c r="CC144" s="68">
        <v>1460</v>
      </c>
      <c r="CD144" s="61"/>
      <c r="CE144" s="64"/>
      <c r="CF144" s="64"/>
      <c r="CG144" s="70">
        <f t="shared" si="11"/>
        <v>6393.9120000000003</v>
      </c>
      <c r="CH144" s="70">
        <f t="shared" si="12"/>
        <v>547.55399999999997</v>
      </c>
      <c r="CI144" s="70">
        <f t="shared" si="13"/>
        <v>61.32</v>
      </c>
      <c r="CJ144" s="70">
        <f t="shared" si="15"/>
        <v>3502.2959999999998</v>
      </c>
      <c r="CK144" s="70">
        <f t="shared" si="15"/>
        <v>3600.1979999999999</v>
      </c>
      <c r="CL144" s="70">
        <f t="shared" si="14"/>
        <v>61.32</v>
      </c>
      <c r="CM144" s="61"/>
      <c r="CN144" s="61"/>
      <c r="CO144" s="61"/>
      <c r="CP144" s="61"/>
      <c r="CQ144" s="61"/>
      <c r="CR144" s="61"/>
      <c r="CS144" s="61"/>
      <c r="CT144" s="61"/>
      <c r="CU144" s="61"/>
      <c r="CV144" s="61"/>
      <c r="CW144" s="61"/>
      <c r="CX144" s="61"/>
      <c r="CY144" s="61"/>
      <c r="CZ144" s="61"/>
      <c r="DA144" s="61"/>
      <c r="DB144" s="61"/>
      <c r="DC144" s="61"/>
      <c r="DD144" s="61"/>
      <c r="DE144" s="61"/>
      <c r="DF144" s="61"/>
      <c r="DG144" s="61"/>
      <c r="DH144" s="61"/>
      <c r="DI144" s="61"/>
      <c r="DJ144" s="61"/>
      <c r="DK144" s="61"/>
      <c r="DL144" s="61"/>
      <c r="DM144" s="61"/>
      <c r="DN144" s="61"/>
      <c r="DO144" s="61"/>
      <c r="DP144" s="61"/>
      <c r="DQ144" s="61"/>
      <c r="DR144" s="61"/>
      <c r="DS144" s="61"/>
      <c r="DT144" s="61"/>
      <c r="DU144" s="61"/>
      <c r="DV144" s="61"/>
      <c r="DW144" s="61"/>
      <c r="DX144" s="61"/>
      <c r="DY144" s="61"/>
      <c r="DZ144" s="61"/>
      <c r="EA144" s="61"/>
      <c r="EB144" s="61"/>
      <c r="EC144" s="61"/>
      <c r="ED144" s="61"/>
      <c r="EE144" s="61"/>
      <c r="EF144" s="61"/>
      <c r="EG144" s="61"/>
      <c r="EH144" s="61"/>
      <c r="EI144" s="61"/>
      <c r="EJ144" s="61"/>
      <c r="EK144" s="61"/>
      <c r="EL144" s="61"/>
      <c r="EM144" s="61"/>
      <c r="EN144" s="61"/>
      <c r="EO144" s="61"/>
      <c r="EP144" s="61"/>
      <c r="EQ144" s="61"/>
      <c r="ER144" s="61"/>
      <c r="ES144" s="61"/>
      <c r="ET144" s="61"/>
      <c r="EU144" s="61"/>
      <c r="EV144" s="61"/>
      <c r="EW144" s="61"/>
    </row>
    <row r="145" spans="1:153">
      <c r="A145" s="56">
        <v>30987</v>
      </c>
      <c r="B145" s="57"/>
      <c r="C145" s="7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71"/>
      <c r="P145" s="60">
        <v>220.55500000000001</v>
      </c>
      <c r="Q145" s="61">
        <v>6.3360000000000003</v>
      </c>
      <c r="R145" s="61">
        <v>244.06800000000001</v>
      </c>
      <c r="S145" s="61">
        <v>486.11</v>
      </c>
      <c r="T145" s="61">
        <v>234.69900000000001</v>
      </c>
      <c r="U145" s="61">
        <v>7.3310000000000004</v>
      </c>
      <c r="V145" s="61">
        <v>4.0000000000000001E-3</v>
      </c>
      <c r="W145" s="61">
        <v>8.9999999999999993E-3</v>
      </c>
      <c r="X145" s="61">
        <v>220.55500000000001</v>
      </c>
      <c r="Y145" s="61">
        <v>17.177</v>
      </c>
      <c r="Z145" s="61">
        <v>6.3360000000000003</v>
      </c>
      <c r="AA145" s="61">
        <v>244.06800000000001</v>
      </c>
      <c r="AB145" s="60">
        <v>486.11</v>
      </c>
      <c r="AC145" s="62"/>
      <c r="AD145" s="61"/>
      <c r="AE145" s="61"/>
      <c r="AF145" s="61"/>
      <c r="AG145" s="61"/>
      <c r="AH145" s="61"/>
      <c r="AI145" s="61"/>
      <c r="AJ145" s="61"/>
      <c r="AK145" s="62"/>
      <c r="AL145" s="63"/>
      <c r="AM145" s="64"/>
      <c r="AN145" s="65" t="e">
        <v>#N/A</v>
      </c>
      <c r="AO145" s="61" t="e">
        <v>#N/A</v>
      </c>
      <c r="AP145" s="61" t="e">
        <v>#N/A</v>
      </c>
      <c r="AQ145" s="61" t="e">
        <v>#N/A</v>
      </c>
      <c r="AR145" s="61" t="e">
        <v>#N/A</v>
      </c>
      <c r="AS145" s="61" t="e">
        <v>#N/A</v>
      </c>
      <c r="AT145" s="61" t="e">
        <v>#N/A</v>
      </c>
      <c r="AU145" s="61" t="e">
        <v>#N/A</v>
      </c>
      <c r="AV145" s="61" t="e">
        <v>#N/A</v>
      </c>
      <c r="AW145" s="61" t="e">
        <v>#N/A</v>
      </c>
      <c r="AX145" s="65" t="e">
        <v>#N/A</v>
      </c>
      <c r="AY145" s="66" t="s">
        <v>121</v>
      </c>
      <c r="AZ145" s="61" t="s">
        <v>121</v>
      </c>
      <c r="BA145" s="61">
        <v>80.328000000000003</v>
      </c>
      <c r="BB145" s="61">
        <v>80.328000000000003</v>
      </c>
      <c r="BC145" s="61" t="s">
        <v>121</v>
      </c>
      <c r="BD145" s="61" t="s">
        <v>121</v>
      </c>
      <c r="BE145" s="61" t="s">
        <v>121</v>
      </c>
      <c r="BF145" s="61" t="s">
        <v>121</v>
      </c>
      <c r="BG145" s="61">
        <v>1.8029999999999999</v>
      </c>
      <c r="BH145" s="61" t="s">
        <v>121</v>
      </c>
      <c r="BI145" s="61">
        <v>2.9000000000000001E-2</v>
      </c>
      <c r="BJ145" s="61">
        <v>1.8320000000000001</v>
      </c>
      <c r="BK145" s="66">
        <v>1.8320000000000001</v>
      </c>
      <c r="BL145" s="67">
        <v>3.3820000000000001</v>
      </c>
      <c r="BM145" s="61" t="s">
        <v>121</v>
      </c>
      <c r="BN145" s="61" t="s">
        <v>121</v>
      </c>
      <c r="BO145" s="61" t="s">
        <v>121</v>
      </c>
      <c r="BP145" s="61">
        <v>3.3820000000000001</v>
      </c>
      <c r="BQ145" s="61">
        <v>232.386</v>
      </c>
      <c r="BR145" s="61">
        <v>7.3310000000000004</v>
      </c>
      <c r="BS145" s="61">
        <v>4.0000000000000001E-3</v>
      </c>
      <c r="BT145" s="61">
        <v>8.9999999999999993E-3</v>
      </c>
      <c r="BU145" s="61">
        <v>0.8</v>
      </c>
      <c r="BV145" s="61">
        <v>0.49099999999999999</v>
      </c>
      <c r="BW145" s="61">
        <v>1.2909999999999999</v>
      </c>
      <c r="BX145" s="67">
        <v>241.02099999999999</v>
      </c>
      <c r="BY145" s="68">
        <v>84743</v>
      </c>
      <c r="BZ145" s="68">
        <v>84799</v>
      </c>
      <c r="CA145" s="69">
        <v>9465</v>
      </c>
      <c r="CB145" s="68">
        <v>160970</v>
      </c>
      <c r="CC145" s="68">
        <v>715</v>
      </c>
      <c r="CD145" s="61"/>
      <c r="CE145" s="64"/>
      <c r="CF145" s="64"/>
      <c r="CG145" s="70">
        <f t="shared" si="11"/>
        <v>6760.74</v>
      </c>
      <c r="CH145" s="70">
        <f t="shared" si="12"/>
        <v>397.53</v>
      </c>
      <c r="CI145" s="70">
        <f t="shared" si="13"/>
        <v>30.03</v>
      </c>
      <c r="CJ145" s="70">
        <f t="shared" si="15"/>
        <v>3559.2060000000001</v>
      </c>
      <c r="CK145" s="70">
        <f t="shared" si="15"/>
        <v>3561.558</v>
      </c>
      <c r="CL145" s="70">
        <f t="shared" si="14"/>
        <v>30.03</v>
      </c>
      <c r="CM145" s="61"/>
      <c r="CN145" s="61"/>
      <c r="CO145" s="61"/>
      <c r="CP145" s="61"/>
      <c r="CQ145" s="61"/>
      <c r="CR145" s="61"/>
      <c r="CS145" s="61"/>
      <c r="CT145" s="61"/>
      <c r="CU145" s="61"/>
      <c r="CV145" s="61"/>
      <c r="CW145" s="61"/>
      <c r="CX145" s="61"/>
      <c r="CY145" s="61"/>
      <c r="CZ145" s="61"/>
      <c r="DA145" s="61"/>
      <c r="DB145" s="61"/>
      <c r="DC145" s="61"/>
      <c r="DD145" s="61"/>
      <c r="DE145" s="61"/>
      <c r="DF145" s="61"/>
      <c r="DG145" s="61"/>
      <c r="DH145" s="61"/>
      <c r="DI145" s="61"/>
      <c r="DJ145" s="61"/>
      <c r="DK145" s="61"/>
      <c r="DL145" s="61"/>
      <c r="DM145" s="61"/>
      <c r="DN145" s="61"/>
      <c r="DO145" s="61"/>
      <c r="DP145" s="61"/>
      <c r="DQ145" s="61"/>
      <c r="DR145" s="61"/>
      <c r="DS145" s="61"/>
      <c r="DT145" s="61"/>
      <c r="DU145" s="61"/>
      <c r="DV145" s="61"/>
      <c r="DW145" s="61"/>
      <c r="DX145" s="61"/>
      <c r="DY145" s="61"/>
      <c r="DZ145" s="61"/>
      <c r="EA145" s="61"/>
      <c r="EB145" s="61"/>
      <c r="EC145" s="61"/>
      <c r="ED145" s="61"/>
      <c r="EE145" s="61"/>
      <c r="EF145" s="61"/>
      <c r="EG145" s="61"/>
      <c r="EH145" s="61"/>
      <c r="EI145" s="61"/>
      <c r="EJ145" s="61"/>
      <c r="EK145" s="61"/>
      <c r="EL145" s="61"/>
      <c r="EM145" s="61"/>
      <c r="EN145" s="61"/>
      <c r="EO145" s="61"/>
      <c r="EP145" s="61"/>
      <c r="EQ145" s="61"/>
      <c r="ER145" s="61"/>
      <c r="ES145" s="61"/>
      <c r="ET145" s="61"/>
      <c r="EU145" s="61"/>
      <c r="EV145" s="61"/>
      <c r="EW145" s="61"/>
    </row>
    <row r="146" spans="1:153">
      <c r="A146" s="56">
        <v>31017</v>
      </c>
      <c r="B146" s="57"/>
      <c r="C146" s="7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71"/>
      <c r="P146" s="60">
        <v>227.81100000000001</v>
      </c>
      <c r="Q146" s="61">
        <v>6.5469999999999997</v>
      </c>
      <c r="R146" s="61">
        <v>252.042</v>
      </c>
      <c r="S146" s="61">
        <v>532.34699999999998</v>
      </c>
      <c r="T146" s="61">
        <v>272.166</v>
      </c>
      <c r="U146" s="61">
        <v>8.1270000000000007</v>
      </c>
      <c r="V146" s="61">
        <v>0</v>
      </c>
      <c r="W146" s="61">
        <v>1.2999999999999999E-2</v>
      </c>
      <c r="X146" s="61">
        <v>227.81100000000001</v>
      </c>
      <c r="Y146" s="61">
        <v>17.684000000000001</v>
      </c>
      <c r="Z146" s="61">
        <v>6.5469999999999997</v>
      </c>
      <c r="AA146" s="61">
        <v>252.042</v>
      </c>
      <c r="AB146" s="60">
        <v>532.34699999999998</v>
      </c>
      <c r="AC146" s="62"/>
      <c r="AD146" s="61"/>
      <c r="AE146" s="61"/>
      <c r="AF146" s="61"/>
      <c r="AG146" s="61"/>
      <c r="AH146" s="61"/>
      <c r="AI146" s="61"/>
      <c r="AJ146" s="61"/>
      <c r="AK146" s="62"/>
      <c r="AL146" s="63"/>
      <c r="AM146" s="64"/>
      <c r="AN146" s="65" t="e">
        <v>#N/A</v>
      </c>
      <c r="AO146" s="61" t="e">
        <v>#N/A</v>
      </c>
      <c r="AP146" s="61" t="e">
        <v>#N/A</v>
      </c>
      <c r="AQ146" s="61" t="e">
        <v>#N/A</v>
      </c>
      <c r="AR146" s="61" t="e">
        <v>#N/A</v>
      </c>
      <c r="AS146" s="61" t="e">
        <v>#N/A</v>
      </c>
      <c r="AT146" s="61" t="e">
        <v>#N/A</v>
      </c>
      <c r="AU146" s="61" t="e">
        <v>#N/A</v>
      </c>
      <c r="AV146" s="61" t="e">
        <v>#N/A</v>
      </c>
      <c r="AW146" s="61" t="e">
        <v>#N/A</v>
      </c>
      <c r="AX146" s="65" t="e">
        <v>#N/A</v>
      </c>
      <c r="AY146" s="66" t="s">
        <v>121</v>
      </c>
      <c r="AZ146" s="61" t="s">
        <v>121</v>
      </c>
      <c r="BA146" s="61">
        <v>83.004999999999995</v>
      </c>
      <c r="BB146" s="61">
        <v>83.004999999999995</v>
      </c>
      <c r="BC146" s="61" t="s">
        <v>121</v>
      </c>
      <c r="BD146" s="61" t="s">
        <v>121</v>
      </c>
      <c r="BE146" s="61" t="s">
        <v>121</v>
      </c>
      <c r="BF146" s="61" t="s">
        <v>121</v>
      </c>
      <c r="BG146" s="61">
        <v>1.863</v>
      </c>
      <c r="BH146" s="61" t="s">
        <v>121</v>
      </c>
      <c r="BI146" s="61">
        <v>0.03</v>
      </c>
      <c r="BJ146" s="61">
        <v>1.893</v>
      </c>
      <c r="BK146" s="66">
        <v>1.893</v>
      </c>
      <c r="BL146" s="67">
        <v>3.4950000000000001</v>
      </c>
      <c r="BM146" s="61" t="s">
        <v>121</v>
      </c>
      <c r="BN146" s="61" t="s">
        <v>121</v>
      </c>
      <c r="BO146" s="61" t="s">
        <v>121</v>
      </c>
      <c r="BP146" s="61">
        <v>3.4950000000000001</v>
      </c>
      <c r="BQ146" s="61">
        <v>269.70299999999997</v>
      </c>
      <c r="BR146" s="61">
        <v>8.1270000000000007</v>
      </c>
      <c r="BS146" s="61">
        <v>0</v>
      </c>
      <c r="BT146" s="61">
        <v>1.2999999999999999E-2</v>
      </c>
      <c r="BU146" s="61">
        <v>0.73199999999999998</v>
      </c>
      <c r="BV146" s="61">
        <v>0.442</v>
      </c>
      <c r="BW146" s="61">
        <v>1.1739999999999999</v>
      </c>
      <c r="BX146" s="67">
        <v>279.01499999999999</v>
      </c>
      <c r="BY146" s="68">
        <v>86687</v>
      </c>
      <c r="BZ146" s="68">
        <v>88806</v>
      </c>
      <c r="CA146" s="69">
        <v>5900</v>
      </c>
      <c r="CB146" s="68">
        <v>161072</v>
      </c>
      <c r="CC146" s="68">
        <v>3724</v>
      </c>
      <c r="CD146" s="61"/>
      <c r="CE146" s="64"/>
      <c r="CF146" s="64"/>
      <c r="CG146" s="70">
        <f t="shared" si="11"/>
        <v>6765.0240000000003</v>
      </c>
      <c r="CH146" s="70">
        <f t="shared" si="12"/>
        <v>247.8</v>
      </c>
      <c r="CI146" s="70">
        <f t="shared" si="13"/>
        <v>156.40799999999999</v>
      </c>
      <c r="CJ146" s="70">
        <f t="shared" si="15"/>
        <v>3640.8539999999998</v>
      </c>
      <c r="CK146" s="70">
        <f t="shared" si="15"/>
        <v>3729.8519999999999</v>
      </c>
      <c r="CL146" s="70">
        <f t="shared" si="14"/>
        <v>156.40799999999999</v>
      </c>
      <c r="CM146" s="61"/>
      <c r="CN146" s="61"/>
      <c r="CO146" s="61"/>
      <c r="CP146" s="61"/>
      <c r="CQ146" s="61"/>
      <c r="CR146" s="61"/>
      <c r="CS146" s="61"/>
      <c r="CT146" s="61"/>
      <c r="CU146" s="61"/>
      <c r="CV146" s="61"/>
      <c r="CW146" s="61"/>
      <c r="CX146" s="61"/>
      <c r="CY146" s="61"/>
      <c r="CZ146" s="61"/>
      <c r="DA146" s="61"/>
      <c r="DB146" s="61"/>
      <c r="DC146" s="61"/>
      <c r="DD146" s="61"/>
      <c r="DE146" s="61"/>
      <c r="DF146" s="61"/>
      <c r="DG146" s="61"/>
      <c r="DH146" s="61"/>
      <c r="DI146" s="61"/>
      <c r="DJ146" s="61"/>
      <c r="DK146" s="61"/>
      <c r="DL146" s="61"/>
      <c r="DM146" s="61"/>
      <c r="DN146" s="61"/>
      <c r="DO146" s="61"/>
      <c r="DP146" s="61"/>
      <c r="DQ146" s="61"/>
      <c r="DR146" s="61"/>
      <c r="DS146" s="61"/>
      <c r="DT146" s="61"/>
      <c r="DU146" s="61"/>
      <c r="DV146" s="61"/>
      <c r="DW146" s="61"/>
      <c r="DX146" s="61"/>
      <c r="DY146" s="61"/>
      <c r="DZ146" s="61"/>
      <c r="EA146" s="61"/>
      <c r="EB146" s="61"/>
      <c r="EC146" s="61"/>
      <c r="ED146" s="61"/>
      <c r="EE146" s="61"/>
      <c r="EF146" s="61"/>
      <c r="EG146" s="61"/>
      <c r="EH146" s="61"/>
      <c r="EI146" s="61"/>
      <c r="EJ146" s="61"/>
      <c r="EK146" s="61"/>
      <c r="EL146" s="61"/>
      <c r="EM146" s="61"/>
      <c r="EN146" s="61"/>
      <c r="EO146" s="61"/>
      <c r="EP146" s="61"/>
      <c r="EQ146" s="61"/>
      <c r="ER146" s="61"/>
      <c r="ES146" s="61"/>
      <c r="ET146" s="61"/>
      <c r="EU146" s="61"/>
      <c r="EV146" s="61"/>
      <c r="EW146" s="61"/>
    </row>
    <row r="147" spans="1:153">
      <c r="A147" s="56">
        <v>31048</v>
      </c>
      <c r="B147" s="57"/>
      <c r="C147" s="7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71"/>
      <c r="P147" s="60">
        <v>228.39400000000001</v>
      </c>
      <c r="Q147" s="61">
        <v>7.9109999999999996</v>
      </c>
      <c r="R147" s="61">
        <v>256.315</v>
      </c>
      <c r="S147" s="61">
        <v>555.20500000000004</v>
      </c>
      <c r="T147" s="61">
        <v>290.79300000000001</v>
      </c>
      <c r="U147" s="61">
        <v>8.0860000000000003</v>
      </c>
      <c r="V147" s="61">
        <v>5.0000000000000001E-3</v>
      </c>
      <c r="W147" s="61">
        <v>7.0000000000000001E-3</v>
      </c>
      <c r="X147" s="61">
        <v>228.39400000000001</v>
      </c>
      <c r="Y147" s="61">
        <v>20.009</v>
      </c>
      <c r="Z147" s="61">
        <v>7.9109999999999996</v>
      </c>
      <c r="AA147" s="61">
        <v>256.315</v>
      </c>
      <c r="AB147" s="60">
        <v>555.20500000000004</v>
      </c>
      <c r="AC147" s="62"/>
      <c r="AD147" s="61"/>
      <c r="AE147" s="61"/>
      <c r="AF147" s="61"/>
      <c r="AG147" s="61"/>
      <c r="AH147" s="61"/>
      <c r="AI147" s="61"/>
      <c r="AJ147" s="61"/>
      <c r="AK147" s="62"/>
      <c r="AL147" s="63"/>
      <c r="AM147" s="64"/>
      <c r="AN147" s="65" t="e">
        <v>#N/A</v>
      </c>
      <c r="AO147" s="61" t="e">
        <v>#N/A</v>
      </c>
      <c r="AP147" s="61" t="e">
        <v>#N/A</v>
      </c>
      <c r="AQ147" s="61" t="e">
        <v>#N/A</v>
      </c>
      <c r="AR147" s="61" t="e">
        <v>#N/A</v>
      </c>
      <c r="AS147" s="61" t="e">
        <v>#N/A</v>
      </c>
      <c r="AT147" s="61" t="e">
        <v>#N/A</v>
      </c>
      <c r="AU147" s="61" t="e">
        <v>#N/A</v>
      </c>
      <c r="AV147" s="61" t="e">
        <v>#N/A</v>
      </c>
      <c r="AW147" s="61" t="e">
        <v>#N/A</v>
      </c>
      <c r="AX147" s="65" t="e">
        <v>#N/A</v>
      </c>
      <c r="AY147" s="66" t="s">
        <v>121</v>
      </c>
      <c r="AZ147" s="61" t="s">
        <v>121</v>
      </c>
      <c r="BA147" s="61">
        <v>85.781000000000006</v>
      </c>
      <c r="BB147" s="61">
        <v>85.781000000000006</v>
      </c>
      <c r="BC147" s="61" t="s">
        <v>121</v>
      </c>
      <c r="BD147" s="61" t="s">
        <v>121</v>
      </c>
      <c r="BE147" s="61" t="s">
        <v>121</v>
      </c>
      <c r="BF147" s="61" t="s">
        <v>121</v>
      </c>
      <c r="BG147" s="61">
        <v>2.0379999999999998</v>
      </c>
      <c r="BH147" s="61" t="s">
        <v>121</v>
      </c>
      <c r="BI147" s="61">
        <v>3.2000000000000001E-2</v>
      </c>
      <c r="BJ147" s="61">
        <v>2.0699999999999998</v>
      </c>
      <c r="BK147" s="66">
        <v>2.0699999999999998</v>
      </c>
      <c r="BL147" s="67">
        <v>4.2240000000000002</v>
      </c>
      <c r="BM147" s="61" t="s">
        <v>121</v>
      </c>
      <c r="BN147" s="61" t="s">
        <v>121</v>
      </c>
      <c r="BO147" s="61" t="s">
        <v>121</v>
      </c>
      <c r="BP147" s="61">
        <v>4.2240000000000002</v>
      </c>
      <c r="BQ147" s="61">
        <v>287.74599999999998</v>
      </c>
      <c r="BR147" s="61">
        <v>8.0860000000000003</v>
      </c>
      <c r="BS147" s="61">
        <v>5.0000000000000001E-3</v>
      </c>
      <c r="BT147" s="61">
        <v>7.0000000000000001E-3</v>
      </c>
      <c r="BU147" s="61">
        <v>0.86299999999999999</v>
      </c>
      <c r="BV147" s="61">
        <v>0.50600000000000001</v>
      </c>
      <c r="BW147" s="61">
        <v>1.369</v>
      </c>
      <c r="BX147" s="67">
        <v>297.21199999999999</v>
      </c>
      <c r="BY147" s="68">
        <v>81531</v>
      </c>
      <c r="BZ147" s="68">
        <v>107419</v>
      </c>
      <c r="CA147" s="69">
        <v>8418</v>
      </c>
      <c r="CB147" s="68">
        <v>142384</v>
      </c>
      <c r="CC147" s="68">
        <v>1260</v>
      </c>
      <c r="CD147" s="61"/>
      <c r="CE147" s="64"/>
      <c r="CF147" s="64"/>
      <c r="CG147" s="70">
        <f t="shared" si="11"/>
        <v>5980.1279999999997</v>
      </c>
      <c r="CH147" s="70">
        <f t="shared" si="12"/>
        <v>353.55599999999998</v>
      </c>
      <c r="CI147" s="70">
        <f t="shared" si="13"/>
        <v>52.92</v>
      </c>
      <c r="CJ147" s="70">
        <f t="shared" si="15"/>
        <v>3424.3020000000001</v>
      </c>
      <c r="CK147" s="70">
        <f t="shared" si="15"/>
        <v>4511.598</v>
      </c>
      <c r="CL147" s="70">
        <f t="shared" si="14"/>
        <v>52.92</v>
      </c>
      <c r="CM147" s="61"/>
      <c r="CN147" s="61"/>
      <c r="CO147" s="61"/>
      <c r="CP147" s="61"/>
      <c r="CQ147" s="61"/>
      <c r="CR147" s="61"/>
      <c r="CS147" s="61"/>
      <c r="CT147" s="61"/>
      <c r="CU147" s="61"/>
      <c r="CV147" s="61"/>
      <c r="CW147" s="61"/>
      <c r="CX147" s="61"/>
      <c r="CY147" s="61"/>
      <c r="CZ147" s="61"/>
      <c r="DA147" s="61"/>
      <c r="DB147" s="61"/>
      <c r="DC147" s="61"/>
      <c r="DD147" s="61"/>
      <c r="DE147" s="61"/>
      <c r="DF147" s="61"/>
      <c r="DG147" s="61"/>
      <c r="DH147" s="61"/>
      <c r="DI147" s="61"/>
      <c r="DJ147" s="61"/>
      <c r="DK147" s="61"/>
      <c r="DL147" s="61"/>
      <c r="DM147" s="61"/>
      <c r="DN147" s="61"/>
      <c r="DO147" s="61"/>
      <c r="DP147" s="61"/>
      <c r="DQ147" s="61"/>
      <c r="DR147" s="61"/>
      <c r="DS147" s="61"/>
      <c r="DT147" s="61"/>
      <c r="DU147" s="61"/>
      <c r="DV147" s="61"/>
      <c r="DW147" s="61"/>
      <c r="DX147" s="61"/>
      <c r="DY147" s="61"/>
      <c r="DZ147" s="61"/>
      <c r="EA147" s="61"/>
      <c r="EB147" s="61"/>
      <c r="EC147" s="61"/>
      <c r="ED147" s="61"/>
      <c r="EE147" s="61"/>
      <c r="EF147" s="61"/>
      <c r="EG147" s="61"/>
      <c r="EH147" s="61"/>
      <c r="EI147" s="61"/>
      <c r="EJ147" s="61"/>
      <c r="EK147" s="61"/>
      <c r="EL147" s="61"/>
      <c r="EM147" s="61"/>
      <c r="EN147" s="61"/>
      <c r="EO147" s="61"/>
      <c r="EP147" s="61"/>
      <c r="EQ147" s="61"/>
      <c r="ER147" s="61"/>
      <c r="ES147" s="61"/>
      <c r="ET147" s="61"/>
      <c r="EU147" s="61"/>
      <c r="EV147" s="61"/>
      <c r="EW147" s="61"/>
    </row>
    <row r="148" spans="1:153">
      <c r="A148" s="56">
        <v>31079</v>
      </c>
      <c r="B148" s="57"/>
      <c r="C148" s="7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71"/>
      <c r="P148" s="60">
        <v>206.29400000000001</v>
      </c>
      <c r="Q148" s="61">
        <v>7.1459999999999999</v>
      </c>
      <c r="R148" s="61">
        <v>231.512</v>
      </c>
      <c r="S148" s="61">
        <v>511.83800000000002</v>
      </c>
      <c r="T148" s="61">
        <v>273.17500000000001</v>
      </c>
      <c r="U148" s="61">
        <v>7.141</v>
      </c>
      <c r="V148" s="61">
        <v>-1E-3</v>
      </c>
      <c r="W148" s="61">
        <v>1.0999999999999999E-2</v>
      </c>
      <c r="X148" s="61">
        <v>206.29400000000001</v>
      </c>
      <c r="Y148" s="61">
        <v>18.071999999999999</v>
      </c>
      <c r="Z148" s="61">
        <v>7.1459999999999999</v>
      </c>
      <c r="AA148" s="61">
        <v>231.512</v>
      </c>
      <c r="AB148" s="60">
        <v>511.83800000000002</v>
      </c>
      <c r="AC148" s="62"/>
      <c r="AD148" s="61"/>
      <c r="AE148" s="61"/>
      <c r="AF148" s="61"/>
      <c r="AG148" s="61"/>
      <c r="AH148" s="61"/>
      <c r="AI148" s="61"/>
      <c r="AJ148" s="61"/>
      <c r="AK148" s="62"/>
      <c r="AL148" s="63"/>
      <c r="AM148" s="64"/>
      <c r="AN148" s="65" t="e">
        <v>#N/A</v>
      </c>
      <c r="AO148" s="61" t="e">
        <v>#N/A</v>
      </c>
      <c r="AP148" s="61" t="e">
        <v>#N/A</v>
      </c>
      <c r="AQ148" s="61" t="e">
        <v>#N/A</v>
      </c>
      <c r="AR148" s="61" t="e">
        <v>#N/A</v>
      </c>
      <c r="AS148" s="61" t="e">
        <v>#N/A</v>
      </c>
      <c r="AT148" s="61" t="e">
        <v>#N/A</v>
      </c>
      <c r="AU148" s="61" t="e">
        <v>#N/A</v>
      </c>
      <c r="AV148" s="61" t="e">
        <v>#N/A</v>
      </c>
      <c r="AW148" s="61" t="e">
        <v>#N/A</v>
      </c>
      <c r="AX148" s="65" t="e">
        <v>#N/A</v>
      </c>
      <c r="AY148" s="66" t="s">
        <v>121</v>
      </c>
      <c r="AZ148" s="61" t="s">
        <v>121</v>
      </c>
      <c r="BA148" s="61">
        <v>77.478999999999999</v>
      </c>
      <c r="BB148" s="61">
        <v>77.478999999999999</v>
      </c>
      <c r="BC148" s="61" t="s">
        <v>121</v>
      </c>
      <c r="BD148" s="61" t="s">
        <v>121</v>
      </c>
      <c r="BE148" s="61" t="s">
        <v>121</v>
      </c>
      <c r="BF148" s="61" t="s">
        <v>121</v>
      </c>
      <c r="BG148" s="61">
        <v>1.841</v>
      </c>
      <c r="BH148" s="61" t="s">
        <v>121</v>
      </c>
      <c r="BI148" s="61">
        <v>2.9000000000000001E-2</v>
      </c>
      <c r="BJ148" s="61">
        <v>1.87</v>
      </c>
      <c r="BK148" s="66">
        <v>1.87</v>
      </c>
      <c r="BL148" s="67">
        <v>3.8159999999999998</v>
      </c>
      <c r="BM148" s="61" t="s">
        <v>121</v>
      </c>
      <c r="BN148" s="61" t="s">
        <v>121</v>
      </c>
      <c r="BO148" s="61" t="s">
        <v>121</v>
      </c>
      <c r="BP148" s="61">
        <v>3.8159999999999998</v>
      </c>
      <c r="BQ148" s="61">
        <v>270.60000000000002</v>
      </c>
      <c r="BR148" s="61">
        <v>7.141</v>
      </c>
      <c r="BS148" s="61">
        <v>-1E-3</v>
      </c>
      <c r="BT148" s="61">
        <v>1.0999999999999999E-2</v>
      </c>
      <c r="BU148" s="61">
        <v>0.78200000000000003</v>
      </c>
      <c r="BV148" s="61">
        <v>0.45600000000000002</v>
      </c>
      <c r="BW148" s="61">
        <v>1.238</v>
      </c>
      <c r="BX148" s="67">
        <v>278.99</v>
      </c>
      <c r="BY148" s="68">
        <v>70058</v>
      </c>
      <c r="BZ148" s="68">
        <v>93248</v>
      </c>
      <c r="CA148" s="69">
        <v>4004</v>
      </c>
      <c r="CB148" s="68">
        <v>121439</v>
      </c>
      <c r="CC148" s="68">
        <v>1800</v>
      </c>
      <c r="CD148" s="61"/>
      <c r="CE148" s="64"/>
      <c r="CF148" s="64"/>
      <c r="CG148" s="70">
        <f t="shared" si="11"/>
        <v>5100.4380000000001</v>
      </c>
      <c r="CH148" s="70">
        <f t="shared" si="12"/>
        <v>168.16800000000001</v>
      </c>
      <c r="CI148" s="70">
        <f t="shared" si="13"/>
        <v>75.599999999999994</v>
      </c>
      <c r="CJ148" s="70">
        <f t="shared" si="15"/>
        <v>2942.4360000000001</v>
      </c>
      <c r="CK148" s="70">
        <f t="shared" si="15"/>
        <v>3916.4160000000002</v>
      </c>
      <c r="CL148" s="70">
        <f t="shared" si="14"/>
        <v>75.599999999999994</v>
      </c>
      <c r="CM148" s="61"/>
      <c r="CN148" s="61"/>
      <c r="CO148" s="61"/>
      <c r="CP148" s="61"/>
      <c r="CQ148" s="61"/>
      <c r="CR148" s="61"/>
      <c r="CS148" s="61"/>
      <c r="CT148" s="61"/>
      <c r="CU148" s="61"/>
      <c r="CV148" s="61"/>
      <c r="CW148" s="61"/>
      <c r="CX148" s="61"/>
      <c r="CY148" s="61"/>
      <c r="CZ148" s="61"/>
      <c r="DA148" s="61"/>
      <c r="DB148" s="61"/>
      <c r="DC148" s="61"/>
      <c r="DD148" s="61"/>
      <c r="DE148" s="61"/>
      <c r="DF148" s="61"/>
      <c r="DG148" s="61"/>
      <c r="DH148" s="61"/>
      <c r="DI148" s="61"/>
      <c r="DJ148" s="61"/>
      <c r="DK148" s="61"/>
      <c r="DL148" s="61"/>
      <c r="DM148" s="61"/>
      <c r="DN148" s="61"/>
      <c r="DO148" s="61"/>
      <c r="DP148" s="61"/>
      <c r="DQ148" s="61"/>
      <c r="DR148" s="61"/>
      <c r="DS148" s="61"/>
      <c r="DT148" s="61"/>
      <c r="DU148" s="61"/>
      <c r="DV148" s="61"/>
      <c r="DW148" s="61"/>
      <c r="DX148" s="61"/>
      <c r="DY148" s="61"/>
      <c r="DZ148" s="61"/>
      <c r="EA148" s="61"/>
      <c r="EB148" s="61"/>
      <c r="EC148" s="61"/>
      <c r="ED148" s="61"/>
      <c r="EE148" s="61"/>
      <c r="EF148" s="61"/>
      <c r="EG148" s="61"/>
      <c r="EH148" s="61"/>
      <c r="EI148" s="61"/>
      <c r="EJ148" s="61"/>
      <c r="EK148" s="61"/>
      <c r="EL148" s="61"/>
      <c r="EM148" s="61"/>
      <c r="EN148" s="61"/>
      <c r="EO148" s="61"/>
      <c r="EP148" s="61"/>
      <c r="EQ148" s="61"/>
      <c r="ER148" s="61"/>
      <c r="ES148" s="61"/>
      <c r="ET148" s="61"/>
      <c r="EU148" s="61"/>
      <c r="EV148" s="61"/>
      <c r="EW148" s="61"/>
    </row>
    <row r="149" spans="1:153">
      <c r="A149" s="56">
        <v>31107</v>
      </c>
      <c r="B149" s="57"/>
      <c r="C149" s="7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71"/>
      <c r="P149" s="60">
        <v>228.374</v>
      </c>
      <c r="Q149" s="61">
        <v>7.9109999999999996</v>
      </c>
      <c r="R149" s="61">
        <v>256.33600000000001</v>
      </c>
      <c r="S149" s="61">
        <v>525.00199999999995</v>
      </c>
      <c r="T149" s="61">
        <v>260.34399999999999</v>
      </c>
      <c r="U149" s="61">
        <v>8.3140000000000001</v>
      </c>
      <c r="V149" s="61">
        <v>1E-3</v>
      </c>
      <c r="W149" s="61">
        <v>7.0000000000000001E-3</v>
      </c>
      <c r="X149" s="61">
        <v>228.374</v>
      </c>
      <c r="Y149" s="61">
        <v>20.05</v>
      </c>
      <c r="Z149" s="61">
        <v>7.9109999999999996</v>
      </c>
      <c r="AA149" s="61">
        <v>256.33600000000001</v>
      </c>
      <c r="AB149" s="60">
        <v>525.00199999999995</v>
      </c>
      <c r="AC149" s="62"/>
      <c r="AD149" s="61"/>
      <c r="AE149" s="61"/>
      <c r="AF149" s="61"/>
      <c r="AG149" s="61"/>
      <c r="AH149" s="61"/>
      <c r="AI149" s="61"/>
      <c r="AJ149" s="61"/>
      <c r="AK149" s="62"/>
      <c r="AL149" s="63"/>
      <c r="AM149" s="64"/>
      <c r="AN149" s="65" t="e">
        <v>#N/A</v>
      </c>
      <c r="AO149" s="61" t="e">
        <v>#N/A</v>
      </c>
      <c r="AP149" s="61" t="e">
        <v>#N/A</v>
      </c>
      <c r="AQ149" s="61" t="e">
        <v>#N/A</v>
      </c>
      <c r="AR149" s="61" t="e">
        <v>#N/A</v>
      </c>
      <c r="AS149" s="61" t="e">
        <v>#N/A</v>
      </c>
      <c r="AT149" s="61" t="e">
        <v>#N/A</v>
      </c>
      <c r="AU149" s="61" t="e">
        <v>#N/A</v>
      </c>
      <c r="AV149" s="61" t="e">
        <v>#N/A</v>
      </c>
      <c r="AW149" s="61" t="e">
        <v>#N/A</v>
      </c>
      <c r="AX149" s="65" t="e">
        <v>#N/A</v>
      </c>
      <c r="AY149" s="66" t="s">
        <v>121</v>
      </c>
      <c r="AZ149" s="61" t="s">
        <v>121</v>
      </c>
      <c r="BA149" s="61">
        <v>85.781000000000006</v>
      </c>
      <c r="BB149" s="61">
        <v>85.781000000000006</v>
      </c>
      <c r="BC149" s="61" t="s">
        <v>121</v>
      </c>
      <c r="BD149" s="61" t="s">
        <v>121</v>
      </c>
      <c r="BE149" s="61" t="s">
        <v>121</v>
      </c>
      <c r="BF149" s="61" t="s">
        <v>121</v>
      </c>
      <c r="BG149" s="61">
        <v>2.0379999999999998</v>
      </c>
      <c r="BH149" s="61" t="s">
        <v>121</v>
      </c>
      <c r="BI149" s="61">
        <v>3.2000000000000001E-2</v>
      </c>
      <c r="BJ149" s="61">
        <v>2.0699999999999998</v>
      </c>
      <c r="BK149" s="66">
        <v>2.0699999999999998</v>
      </c>
      <c r="BL149" s="67">
        <v>4.2240000000000002</v>
      </c>
      <c r="BM149" s="61" t="s">
        <v>121</v>
      </c>
      <c r="BN149" s="61" t="s">
        <v>121</v>
      </c>
      <c r="BO149" s="61" t="s">
        <v>121</v>
      </c>
      <c r="BP149" s="61">
        <v>4.2240000000000002</v>
      </c>
      <c r="BQ149" s="61">
        <v>257.41300000000001</v>
      </c>
      <c r="BR149" s="61">
        <v>8.3140000000000001</v>
      </c>
      <c r="BS149" s="61">
        <v>1E-3</v>
      </c>
      <c r="BT149" s="61">
        <v>7.0000000000000001E-3</v>
      </c>
      <c r="BU149" s="61">
        <v>0.84199999999999997</v>
      </c>
      <c r="BV149" s="61">
        <v>0.54700000000000004</v>
      </c>
      <c r="BW149" s="61">
        <v>1.39</v>
      </c>
      <c r="BX149" s="67">
        <v>267.12599999999998</v>
      </c>
      <c r="BY149" s="68">
        <v>70214</v>
      </c>
      <c r="BZ149" s="68">
        <v>95890</v>
      </c>
      <c r="CA149" s="69">
        <v>4834</v>
      </c>
      <c r="CB149" s="68">
        <v>99293</v>
      </c>
      <c r="CC149" s="68">
        <v>1354</v>
      </c>
      <c r="CD149" s="61"/>
      <c r="CE149" s="64"/>
      <c r="CF149" s="64"/>
      <c r="CG149" s="70">
        <f t="shared" si="11"/>
        <v>4170.3059999999996</v>
      </c>
      <c r="CH149" s="70">
        <f t="shared" si="12"/>
        <v>203.02799999999999</v>
      </c>
      <c r="CI149" s="70">
        <f t="shared" si="13"/>
        <v>56.868000000000002</v>
      </c>
      <c r="CJ149" s="70">
        <f t="shared" si="15"/>
        <v>2948.9879999999998</v>
      </c>
      <c r="CK149" s="70">
        <f t="shared" si="15"/>
        <v>4027.38</v>
      </c>
      <c r="CL149" s="70">
        <f t="shared" si="14"/>
        <v>56.868000000000002</v>
      </c>
      <c r="CM149" s="61"/>
      <c r="CN149" s="61"/>
      <c r="CO149" s="61"/>
      <c r="CP149" s="61"/>
      <c r="CQ149" s="61"/>
      <c r="CR149" s="61"/>
      <c r="CS149" s="61"/>
      <c r="CT149" s="61"/>
      <c r="CU149" s="61"/>
      <c r="CV149" s="61"/>
      <c r="CW149" s="61"/>
      <c r="CX149" s="61"/>
      <c r="CY149" s="61"/>
      <c r="CZ149" s="61"/>
      <c r="DA149" s="61"/>
      <c r="DB149" s="61"/>
      <c r="DC149" s="61"/>
      <c r="DD149" s="61"/>
      <c r="DE149" s="61"/>
      <c r="DF149" s="61"/>
      <c r="DG149" s="61"/>
      <c r="DH149" s="61"/>
      <c r="DI149" s="61"/>
      <c r="DJ149" s="61"/>
      <c r="DK149" s="61"/>
      <c r="DL149" s="61"/>
      <c r="DM149" s="61"/>
      <c r="DN149" s="61"/>
      <c r="DO149" s="61"/>
      <c r="DP149" s="61"/>
      <c r="DQ149" s="61"/>
      <c r="DR149" s="61"/>
      <c r="DS149" s="61"/>
      <c r="DT149" s="61"/>
      <c r="DU149" s="61"/>
      <c r="DV149" s="61"/>
      <c r="DW149" s="61"/>
      <c r="DX149" s="61"/>
      <c r="DY149" s="61"/>
      <c r="DZ149" s="61"/>
      <c r="EA149" s="61"/>
      <c r="EB149" s="61"/>
      <c r="EC149" s="61"/>
      <c r="ED149" s="61"/>
      <c r="EE149" s="61"/>
      <c r="EF149" s="61"/>
      <c r="EG149" s="61"/>
      <c r="EH149" s="61"/>
      <c r="EI149" s="61"/>
      <c r="EJ149" s="61"/>
      <c r="EK149" s="61"/>
      <c r="EL149" s="61"/>
      <c r="EM149" s="61"/>
      <c r="EN149" s="61"/>
      <c r="EO149" s="61"/>
      <c r="EP149" s="61"/>
      <c r="EQ149" s="61"/>
      <c r="ER149" s="61"/>
      <c r="ES149" s="61"/>
      <c r="ET149" s="61"/>
      <c r="EU149" s="61"/>
      <c r="EV149" s="61"/>
      <c r="EW149" s="61"/>
    </row>
    <row r="150" spans="1:153">
      <c r="A150" s="56">
        <v>31138</v>
      </c>
      <c r="B150" s="57"/>
      <c r="C150" s="7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71"/>
      <c r="P150" s="60">
        <v>220.46299999999999</v>
      </c>
      <c r="Q150" s="61">
        <v>7.6559999999999997</v>
      </c>
      <c r="R150" s="61">
        <v>247.59899999999999</v>
      </c>
      <c r="S150" s="61">
        <v>512.93700000000001</v>
      </c>
      <c r="T150" s="61">
        <v>258.03899999999999</v>
      </c>
      <c r="U150" s="61">
        <v>7.2809999999999997</v>
      </c>
      <c r="V150" s="61">
        <v>1.2999999999999999E-2</v>
      </c>
      <c r="W150" s="61">
        <v>6.0000000000000001E-3</v>
      </c>
      <c r="X150" s="61">
        <v>220.46299999999999</v>
      </c>
      <c r="Y150" s="61">
        <v>19.48</v>
      </c>
      <c r="Z150" s="61">
        <v>7.6559999999999997</v>
      </c>
      <c r="AA150" s="61">
        <v>247.59899999999999</v>
      </c>
      <c r="AB150" s="60">
        <v>512.93700000000001</v>
      </c>
      <c r="AC150" s="62"/>
      <c r="AD150" s="61"/>
      <c r="AE150" s="61"/>
      <c r="AF150" s="61"/>
      <c r="AG150" s="61"/>
      <c r="AH150" s="61"/>
      <c r="AI150" s="61"/>
      <c r="AJ150" s="61"/>
      <c r="AK150" s="62"/>
      <c r="AL150" s="63"/>
      <c r="AM150" s="64"/>
      <c r="AN150" s="65" t="e">
        <v>#N/A</v>
      </c>
      <c r="AO150" s="61" t="e">
        <v>#N/A</v>
      </c>
      <c r="AP150" s="61" t="e">
        <v>#N/A</v>
      </c>
      <c r="AQ150" s="61" t="e">
        <v>#N/A</v>
      </c>
      <c r="AR150" s="61" t="e">
        <v>#N/A</v>
      </c>
      <c r="AS150" s="61" t="e">
        <v>#N/A</v>
      </c>
      <c r="AT150" s="61" t="e">
        <v>#N/A</v>
      </c>
      <c r="AU150" s="61" t="e">
        <v>#N/A</v>
      </c>
      <c r="AV150" s="61" t="e">
        <v>#N/A</v>
      </c>
      <c r="AW150" s="61" t="e">
        <v>#N/A</v>
      </c>
      <c r="AX150" s="65" t="e">
        <v>#N/A</v>
      </c>
      <c r="AY150" s="66" t="s">
        <v>121</v>
      </c>
      <c r="AZ150" s="61" t="s">
        <v>121</v>
      </c>
      <c r="BA150" s="61">
        <v>83.013999999999996</v>
      </c>
      <c r="BB150" s="61">
        <v>83.013999999999996</v>
      </c>
      <c r="BC150" s="61" t="s">
        <v>121</v>
      </c>
      <c r="BD150" s="61" t="s">
        <v>121</v>
      </c>
      <c r="BE150" s="61" t="s">
        <v>121</v>
      </c>
      <c r="BF150" s="61" t="s">
        <v>121</v>
      </c>
      <c r="BG150" s="61">
        <v>1.9730000000000001</v>
      </c>
      <c r="BH150" s="61" t="s">
        <v>121</v>
      </c>
      <c r="BI150" s="61">
        <v>3.1E-2</v>
      </c>
      <c r="BJ150" s="61">
        <v>2.0030000000000001</v>
      </c>
      <c r="BK150" s="66">
        <v>2.0030000000000001</v>
      </c>
      <c r="BL150" s="67">
        <v>4.0880000000000001</v>
      </c>
      <c r="BM150" s="61" t="s">
        <v>121</v>
      </c>
      <c r="BN150" s="61" t="s">
        <v>121</v>
      </c>
      <c r="BO150" s="61" t="s">
        <v>121</v>
      </c>
      <c r="BP150" s="61">
        <v>4.0880000000000001</v>
      </c>
      <c r="BQ150" s="61">
        <v>254.93799999999999</v>
      </c>
      <c r="BR150" s="61">
        <v>7.2809999999999997</v>
      </c>
      <c r="BS150" s="61">
        <v>1.2999999999999999E-2</v>
      </c>
      <c r="BT150" s="61">
        <v>6.0000000000000001E-3</v>
      </c>
      <c r="BU150" s="61">
        <v>0.27100000000000002</v>
      </c>
      <c r="BV150" s="61">
        <v>0.60599999999999998</v>
      </c>
      <c r="BW150" s="61">
        <v>0.877</v>
      </c>
      <c r="BX150" s="67">
        <v>263.11399999999998</v>
      </c>
      <c r="BY150" s="68">
        <v>74645</v>
      </c>
      <c r="BZ150" s="68">
        <v>83934</v>
      </c>
      <c r="CA150" s="69">
        <v>7600</v>
      </c>
      <c r="CB150" s="68">
        <v>96845</v>
      </c>
      <c r="CC150" s="68">
        <v>808</v>
      </c>
      <c r="CD150" s="61"/>
      <c r="CE150" s="64"/>
      <c r="CF150" s="64"/>
      <c r="CG150" s="70">
        <f t="shared" si="11"/>
        <v>4067.49</v>
      </c>
      <c r="CH150" s="70">
        <f t="shared" si="12"/>
        <v>319.2</v>
      </c>
      <c r="CI150" s="70">
        <f t="shared" si="13"/>
        <v>33.936</v>
      </c>
      <c r="CJ150" s="70">
        <f t="shared" si="15"/>
        <v>3135.09</v>
      </c>
      <c r="CK150" s="70">
        <f t="shared" si="15"/>
        <v>3525.2280000000001</v>
      </c>
      <c r="CL150" s="70">
        <f t="shared" si="14"/>
        <v>33.936</v>
      </c>
      <c r="CM150" s="61"/>
      <c r="CN150" s="61"/>
      <c r="CO150" s="61"/>
      <c r="CP150" s="61"/>
      <c r="CQ150" s="61"/>
      <c r="CR150" s="61"/>
      <c r="CS150" s="61"/>
      <c r="CT150" s="61"/>
      <c r="CU150" s="61"/>
      <c r="CV150" s="61"/>
      <c r="CW150" s="61"/>
      <c r="CX150" s="61"/>
      <c r="CY150" s="61"/>
      <c r="CZ150" s="61"/>
      <c r="DA150" s="61"/>
      <c r="DB150" s="61"/>
      <c r="DC150" s="61"/>
      <c r="DD150" s="61"/>
      <c r="DE150" s="61"/>
      <c r="DF150" s="61"/>
      <c r="DG150" s="61"/>
      <c r="DH150" s="61"/>
      <c r="DI150" s="61"/>
      <c r="DJ150" s="61"/>
      <c r="DK150" s="61"/>
      <c r="DL150" s="61"/>
      <c r="DM150" s="61"/>
      <c r="DN150" s="61"/>
      <c r="DO150" s="61"/>
      <c r="DP150" s="61"/>
      <c r="DQ150" s="61"/>
      <c r="DR150" s="61"/>
      <c r="DS150" s="61"/>
      <c r="DT150" s="61"/>
      <c r="DU150" s="61"/>
      <c r="DV150" s="61"/>
      <c r="DW150" s="61"/>
      <c r="DX150" s="61"/>
      <c r="DY150" s="61"/>
      <c r="DZ150" s="61"/>
      <c r="EA150" s="61"/>
      <c r="EB150" s="61"/>
      <c r="EC150" s="61"/>
      <c r="ED150" s="61"/>
      <c r="EE150" s="61"/>
      <c r="EF150" s="61"/>
      <c r="EG150" s="61"/>
      <c r="EH150" s="61"/>
      <c r="EI150" s="61"/>
      <c r="EJ150" s="61"/>
      <c r="EK150" s="61"/>
      <c r="EL150" s="61"/>
      <c r="EM150" s="61"/>
      <c r="EN150" s="61"/>
      <c r="EO150" s="61"/>
      <c r="EP150" s="61"/>
      <c r="EQ150" s="61"/>
      <c r="ER150" s="61"/>
      <c r="ES150" s="61"/>
      <c r="ET150" s="61"/>
      <c r="EU150" s="61"/>
      <c r="EV150" s="61"/>
      <c r="EW150" s="61"/>
    </row>
    <row r="151" spans="1:153">
      <c r="A151" s="56">
        <v>31168</v>
      </c>
      <c r="B151" s="57"/>
      <c r="C151" s="7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71"/>
      <c r="P151" s="60">
        <v>227.858</v>
      </c>
      <c r="Q151" s="61">
        <v>7.9109999999999996</v>
      </c>
      <c r="R151" s="61">
        <v>255.881</v>
      </c>
      <c r="S151" s="61">
        <v>542.96799999999996</v>
      </c>
      <c r="T151" s="61">
        <v>279.49799999999999</v>
      </c>
      <c r="U151" s="61">
        <v>7.5709999999999997</v>
      </c>
      <c r="V151" s="61">
        <v>1.4999999999999999E-2</v>
      </c>
      <c r="W151" s="61">
        <v>4.0000000000000001E-3</v>
      </c>
      <c r="X151" s="61">
        <v>227.858</v>
      </c>
      <c r="Y151" s="61">
        <v>20.111000000000001</v>
      </c>
      <c r="Z151" s="61">
        <v>7.9109999999999996</v>
      </c>
      <c r="AA151" s="61">
        <v>255.881</v>
      </c>
      <c r="AB151" s="60">
        <v>542.96799999999996</v>
      </c>
      <c r="AC151" s="62"/>
      <c r="AD151" s="61"/>
      <c r="AE151" s="61"/>
      <c r="AF151" s="61"/>
      <c r="AG151" s="61"/>
      <c r="AH151" s="61"/>
      <c r="AI151" s="61"/>
      <c r="AJ151" s="61"/>
      <c r="AK151" s="62"/>
      <c r="AL151" s="63"/>
      <c r="AM151" s="64"/>
      <c r="AN151" s="65" t="e">
        <v>#N/A</v>
      </c>
      <c r="AO151" s="61" t="e">
        <v>#N/A</v>
      </c>
      <c r="AP151" s="61" t="e">
        <v>#N/A</v>
      </c>
      <c r="AQ151" s="61" t="e">
        <v>#N/A</v>
      </c>
      <c r="AR151" s="61" t="e">
        <v>#N/A</v>
      </c>
      <c r="AS151" s="61" t="e">
        <v>#N/A</v>
      </c>
      <c r="AT151" s="61" t="e">
        <v>#N/A</v>
      </c>
      <c r="AU151" s="61" t="e">
        <v>#N/A</v>
      </c>
      <c r="AV151" s="61" t="e">
        <v>#N/A</v>
      </c>
      <c r="AW151" s="61" t="e">
        <v>#N/A</v>
      </c>
      <c r="AX151" s="65" t="e">
        <v>#N/A</v>
      </c>
      <c r="AY151" s="66" t="s">
        <v>121</v>
      </c>
      <c r="AZ151" s="61" t="s">
        <v>121</v>
      </c>
      <c r="BA151" s="61">
        <v>85.781000000000006</v>
      </c>
      <c r="BB151" s="61">
        <v>85.781000000000006</v>
      </c>
      <c r="BC151" s="61" t="s">
        <v>121</v>
      </c>
      <c r="BD151" s="61" t="s">
        <v>121</v>
      </c>
      <c r="BE151" s="61" t="s">
        <v>121</v>
      </c>
      <c r="BF151" s="61" t="s">
        <v>121</v>
      </c>
      <c r="BG151" s="61">
        <v>2.0379999999999998</v>
      </c>
      <c r="BH151" s="61" t="s">
        <v>121</v>
      </c>
      <c r="BI151" s="61">
        <v>3.2000000000000001E-2</v>
      </c>
      <c r="BJ151" s="61">
        <v>2.0699999999999998</v>
      </c>
      <c r="BK151" s="66">
        <v>2.0699999999999998</v>
      </c>
      <c r="BL151" s="67">
        <v>4.2240000000000002</v>
      </c>
      <c r="BM151" s="61" t="s">
        <v>121</v>
      </c>
      <c r="BN151" s="61" t="s">
        <v>121</v>
      </c>
      <c r="BO151" s="61" t="s">
        <v>121</v>
      </c>
      <c r="BP151" s="61">
        <v>4.2240000000000002</v>
      </c>
      <c r="BQ151" s="61">
        <v>276.02199999999999</v>
      </c>
      <c r="BR151" s="61">
        <v>7.5709999999999997</v>
      </c>
      <c r="BS151" s="61">
        <v>1.4999999999999999E-2</v>
      </c>
      <c r="BT151" s="61">
        <v>4.0000000000000001E-3</v>
      </c>
      <c r="BU151" s="61">
        <v>0.32700000000000001</v>
      </c>
      <c r="BV151" s="61">
        <v>0.60799999999999998</v>
      </c>
      <c r="BW151" s="61">
        <v>0.93400000000000005</v>
      </c>
      <c r="BX151" s="67">
        <v>284.54599999999999</v>
      </c>
      <c r="BY151" s="68">
        <v>83198</v>
      </c>
      <c r="BZ151" s="68">
        <v>80820</v>
      </c>
      <c r="CA151" s="69">
        <v>6110</v>
      </c>
      <c r="CB151" s="68">
        <v>104432</v>
      </c>
      <c r="CC151" s="68">
        <v>957</v>
      </c>
      <c r="CD151" s="61"/>
      <c r="CE151" s="64"/>
      <c r="CF151" s="64"/>
      <c r="CG151" s="70">
        <f t="shared" si="11"/>
        <v>4386.1440000000002</v>
      </c>
      <c r="CH151" s="70">
        <f t="shared" si="12"/>
        <v>256.62</v>
      </c>
      <c r="CI151" s="70">
        <f t="shared" si="13"/>
        <v>40.194000000000003</v>
      </c>
      <c r="CJ151" s="70">
        <f t="shared" si="15"/>
        <v>3494.3159999999998</v>
      </c>
      <c r="CK151" s="70">
        <f t="shared" si="15"/>
        <v>3394.44</v>
      </c>
      <c r="CL151" s="70">
        <f t="shared" si="14"/>
        <v>40.194000000000003</v>
      </c>
      <c r="CM151" s="61"/>
      <c r="CN151" s="61"/>
      <c r="CO151" s="61"/>
      <c r="CP151" s="61"/>
      <c r="CQ151" s="61"/>
      <c r="CR151" s="61"/>
      <c r="CS151" s="61"/>
      <c r="CT151" s="61"/>
      <c r="CU151" s="61"/>
      <c r="CV151" s="61"/>
      <c r="CW151" s="61"/>
      <c r="CX151" s="61"/>
      <c r="CY151" s="61"/>
      <c r="CZ151" s="61"/>
      <c r="DA151" s="61"/>
      <c r="DB151" s="61"/>
      <c r="DC151" s="61"/>
      <c r="DD151" s="61"/>
      <c r="DE151" s="61"/>
      <c r="DF151" s="61"/>
      <c r="DG151" s="61"/>
      <c r="DH151" s="61"/>
      <c r="DI151" s="61"/>
      <c r="DJ151" s="61"/>
      <c r="DK151" s="61"/>
      <c r="DL151" s="61"/>
      <c r="DM151" s="61"/>
      <c r="DN151" s="61"/>
      <c r="DO151" s="61"/>
      <c r="DP151" s="61"/>
      <c r="DQ151" s="61"/>
      <c r="DR151" s="61"/>
      <c r="DS151" s="61"/>
      <c r="DT151" s="61"/>
      <c r="DU151" s="61"/>
      <c r="DV151" s="61"/>
      <c r="DW151" s="61"/>
      <c r="DX151" s="61"/>
      <c r="DY151" s="61"/>
      <c r="DZ151" s="61"/>
      <c r="EA151" s="61"/>
      <c r="EB151" s="61"/>
      <c r="EC151" s="61"/>
      <c r="ED151" s="61"/>
      <c r="EE151" s="61"/>
      <c r="EF151" s="61"/>
      <c r="EG151" s="61"/>
      <c r="EH151" s="61"/>
      <c r="EI151" s="61"/>
      <c r="EJ151" s="61"/>
      <c r="EK151" s="61"/>
      <c r="EL151" s="61"/>
      <c r="EM151" s="61"/>
      <c r="EN151" s="61"/>
      <c r="EO151" s="61"/>
      <c r="EP151" s="61"/>
      <c r="EQ151" s="61"/>
      <c r="ER151" s="61"/>
      <c r="ES151" s="61"/>
      <c r="ET151" s="61"/>
      <c r="EU151" s="61"/>
      <c r="EV151" s="61"/>
      <c r="EW151" s="61"/>
    </row>
    <row r="152" spans="1:153">
      <c r="A152" s="56">
        <v>31199</v>
      </c>
      <c r="B152" s="57"/>
      <c r="C152" s="7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71"/>
      <c r="P152" s="60">
        <v>220.471</v>
      </c>
      <c r="Q152" s="61">
        <v>7.6559999999999997</v>
      </c>
      <c r="R152" s="61">
        <v>247.643</v>
      </c>
      <c r="S152" s="61">
        <v>507.33</v>
      </c>
      <c r="T152" s="61">
        <v>252.37299999999999</v>
      </c>
      <c r="U152" s="61">
        <v>7.2939999999999996</v>
      </c>
      <c r="V152" s="61">
        <v>1.6E-2</v>
      </c>
      <c r="W152" s="61">
        <v>4.0000000000000001E-3</v>
      </c>
      <c r="X152" s="61">
        <v>220.471</v>
      </c>
      <c r="Y152" s="61">
        <v>19.516999999999999</v>
      </c>
      <c r="Z152" s="61">
        <v>7.6559999999999997</v>
      </c>
      <c r="AA152" s="61">
        <v>247.643</v>
      </c>
      <c r="AB152" s="60">
        <v>507.33</v>
      </c>
      <c r="AC152" s="62"/>
      <c r="AD152" s="61"/>
      <c r="AE152" s="61"/>
      <c r="AF152" s="61"/>
      <c r="AG152" s="61"/>
      <c r="AH152" s="61"/>
      <c r="AI152" s="61"/>
      <c r="AJ152" s="61"/>
      <c r="AK152" s="62"/>
      <c r="AL152" s="63"/>
      <c r="AM152" s="64"/>
      <c r="AN152" s="65" t="e">
        <v>#N/A</v>
      </c>
      <c r="AO152" s="61" t="e">
        <v>#N/A</v>
      </c>
      <c r="AP152" s="61" t="e">
        <v>#N/A</v>
      </c>
      <c r="AQ152" s="61" t="e">
        <v>#N/A</v>
      </c>
      <c r="AR152" s="61" t="e">
        <v>#N/A</v>
      </c>
      <c r="AS152" s="61" t="e">
        <v>#N/A</v>
      </c>
      <c r="AT152" s="61" t="e">
        <v>#N/A</v>
      </c>
      <c r="AU152" s="61" t="e">
        <v>#N/A</v>
      </c>
      <c r="AV152" s="61" t="e">
        <v>#N/A</v>
      </c>
      <c r="AW152" s="61" t="e">
        <v>#N/A</v>
      </c>
      <c r="AX152" s="65" t="e">
        <v>#N/A</v>
      </c>
      <c r="AY152" s="66" t="s">
        <v>121</v>
      </c>
      <c r="AZ152" s="61" t="s">
        <v>121</v>
      </c>
      <c r="BA152" s="61">
        <v>83.013999999999996</v>
      </c>
      <c r="BB152" s="61">
        <v>83.013999999999996</v>
      </c>
      <c r="BC152" s="61" t="s">
        <v>121</v>
      </c>
      <c r="BD152" s="61" t="s">
        <v>121</v>
      </c>
      <c r="BE152" s="61" t="s">
        <v>121</v>
      </c>
      <c r="BF152" s="61" t="s">
        <v>121</v>
      </c>
      <c r="BG152" s="61">
        <v>1.9730000000000001</v>
      </c>
      <c r="BH152" s="61" t="s">
        <v>121</v>
      </c>
      <c r="BI152" s="61">
        <v>3.1E-2</v>
      </c>
      <c r="BJ152" s="61">
        <v>2.0030000000000001</v>
      </c>
      <c r="BK152" s="66">
        <v>2.0030000000000001</v>
      </c>
      <c r="BL152" s="67">
        <v>4.0880000000000001</v>
      </c>
      <c r="BM152" s="61" t="s">
        <v>121</v>
      </c>
      <c r="BN152" s="61" t="s">
        <v>121</v>
      </c>
      <c r="BO152" s="61" t="s">
        <v>121</v>
      </c>
      <c r="BP152" s="61">
        <v>4.0880000000000001</v>
      </c>
      <c r="BQ152" s="61">
        <v>249.042</v>
      </c>
      <c r="BR152" s="61">
        <v>7.2939999999999996</v>
      </c>
      <c r="BS152" s="61">
        <v>1.6E-2</v>
      </c>
      <c r="BT152" s="61">
        <v>4.0000000000000001E-3</v>
      </c>
      <c r="BU152" s="61">
        <v>0.27900000000000003</v>
      </c>
      <c r="BV152" s="61">
        <v>0.64200000000000002</v>
      </c>
      <c r="BW152" s="61">
        <v>0.92100000000000004</v>
      </c>
      <c r="BX152" s="67">
        <v>257.27699999999999</v>
      </c>
      <c r="BY152" s="68">
        <v>79351</v>
      </c>
      <c r="BZ152" s="68">
        <v>77816</v>
      </c>
      <c r="CA152" s="69">
        <v>4558</v>
      </c>
      <c r="CB152" s="68">
        <v>109688</v>
      </c>
      <c r="CC152" s="68">
        <v>894</v>
      </c>
      <c r="CD152" s="61"/>
      <c r="CE152" s="64"/>
      <c r="CF152" s="64"/>
      <c r="CG152" s="70">
        <f t="shared" si="11"/>
        <v>4606.8959999999997</v>
      </c>
      <c r="CH152" s="70">
        <f t="shared" si="12"/>
        <v>191.43600000000001</v>
      </c>
      <c r="CI152" s="70">
        <f t="shared" si="13"/>
        <v>37.548000000000002</v>
      </c>
      <c r="CJ152" s="70">
        <f t="shared" si="15"/>
        <v>3332.7420000000002</v>
      </c>
      <c r="CK152" s="70">
        <f t="shared" si="15"/>
        <v>3268.2719999999999</v>
      </c>
      <c r="CL152" s="70">
        <f t="shared" si="14"/>
        <v>37.548000000000002</v>
      </c>
      <c r="CM152" s="61"/>
      <c r="CN152" s="61"/>
      <c r="CO152" s="61"/>
      <c r="CP152" s="61"/>
      <c r="CQ152" s="61"/>
      <c r="CR152" s="61"/>
      <c r="CS152" s="61"/>
      <c r="CT152" s="61"/>
      <c r="CU152" s="61"/>
      <c r="CV152" s="61"/>
      <c r="CW152" s="61"/>
      <c r="CX152" s="61"/>
      <c r="CY152" s="61"/>
      <c r="CZ152" s="61"/>
      <c r="DA152" s="61"/>
      <c r="DB152" s="61"/>
      <c r="DC152" s="61"/>
      <c r="DD152" s="61"/>
      <c r="DE152" s="61"/>
      <c r="DF152" s="61"/>
      <c r="DG152" s="61"/>
      <c r="DH152" s="61"/>
      <c r="DI152" s="61"/>
      <c r="DJ152" s="61"/>
      <c r="DK152" s="61"/>
      <c r="DL152" s="61"/>
      <c r="DM152" s="61"/>
      <c r="DN152" s="61"/>
      <c r="DO152" s="61"/>
      <c r="DP152" s="61"/>
      <c r="DQ152" s="61"/>
      <c r="DR152" s="61"/>
      <c r="DS152" s="61"/>
      <c r="DT152" s="61"/>
      <c r="DU152" s="61"/>
      <c r="DV152" s="61"/>
      <c r="DW152" s="61"/>
      <c r="DX152" s="61"/>
      <c r="DY152" s="61"/>
      <c r="DZ152" s="61"/>
      <c r="EA152" s="61"/>
      <c r="EB152" s="61"/>
      <c r="EC152" s="61"/>
      <c r="ED152" s="61"/>
      <c r="EE152" s="61"/>
      <c r="EF152" s="61"/>
      <c r="EG152" s="61"/>
      <c r="EH152" s="61"/>
      <c r="EI152" s="61"/>
      <c r="EJ152" s="61"/>
      <c r="EK152" s="61"/>
      <c r="EL152" s="61"/>
      <c r="EM152" s="61"/>
      <c r="EN152" s="61"/>
      <c r="EO152" s="61"/>
      <c r="EP152" s="61"/>
      <c r="EQ152" s="61"/>
      <c r="ER152" s="61"/>
      <c r="ES152" s="61"/>
      <c r="ET152" s="61"/>
      <c r="EU152" s="61"/>
      <c r="EV152" s="61"/>
      <c r="EW152" s="61"/>
    </row>
    <row r="153" spans="1:153">
      <c r="A153" s="56">
        <v>31229</v>
      </c>
      <c r="B153" s="57"/>
      <c r="C153" s="7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71"/>
      <c r="P153" s="60">
        <v>228.09100000000001</v>
      </c>
      <c r="Q153" s="61">
        <v>7.9109999999999996</v>
      </c>
      <c r="R153" s="61">
        <v>256.15899999999999</v>
      </c>
      <c r="S153" s="61">
        <v>489.577</v>
      </c>
      <c r="T153" s="61">
        <v>225.387</v>
      </c>
      <c r="U153" s="61">
        <v>8.0190000000000001</v>
      </c>
      <c r="V153" s="61">
        <v>1.0999999999999999E-2</v>
      </c>
      <c r="W153" s="61">
        <v>1E-3</v>
      </c>
      <c r="X153" s="61">
        <v>228.09100000000001</v>
      </c>
      <c r="Y153" s="61">
        <v>20.155999999999999</v>
      </c>
      <c r="Z153" s="61">
        <v>7.9109999999999996</v>
      </c>
      <c r="AA153" s="61">
        <v>256.15899999999999</v>
      </c>
      <c r="AB153" s="60">
        <v>489.577</v>
      </c>
      <c r="AC153" s="62"/>
      <c r="AD153" s="61"/>
      <c r="AE153" s="61"/>
      <c r="AF153" s="61"/>
      <c r="AG153" s="61"/>
      <c r="AH153" s="61"/>
      <c r="AI153" s="61"/>
      <c r="AJ153" s="61"/>
      <c r="AK153" s="62"/>
      <c r="AL153" s="63"/>
      <c r="AM153" s="64"/>
      <c r="AN153" s="65" t="e">
        <v>#N/A</v>
      </c>
      <c r="AO153" s="61" t="e">
        <v>#N/A</v>
      </c>
      <c r="AP153" s="61" t="e">
        <v>#N/A</v>
      </c>
      <c r="AQ153" s="61" t="e">
        <v>#N/A</v>
      </c>
      <c r="AR153" s="61" t="e">
        <v>#N/A</v>
      </c>
      <c r="AS153" s="61" t="e">
        <v>#N/A</v>
      </c>
      <c r="AT153" s="61" t="e">
        <v>#N/A</v>
      </c>
      <c r="AU153" s="61" t="e">
        <v>#N/A</v>
      </c>
      <c r="AV153" s="61" t="e">
        <v>#N/A</v>
      </c>
      <c r="AW153" s="61" t="e">
        <v>#N/A</v>
      </c>
      <c r="AX153" s="65" t="e">
        <v>#N/A</v>
      </c>
      <c r="AY153" s="66" t="s">
        <v>121</v>
      </c>
      <c r="AZ153" s="61" t="s">
        <v>121</v>
      </c>
      <c r="BA153" s="61">
        <v>85.781000000000006</v>
      </c>
      <c r="BB153" s="61">
        <v>85.781000000000006</v>
      </c>
      <c r="BC153" s="61" t="s">
        <v>121</v>
      </c>
      <c r="BD153" s="61" t="s">
        <v>121</v>
      </c>
      <c r="BE153" s="61" t="s">
        <v>121</v>
      </c>
      <c r="BF153" s="61" t="s">
        <v>121</v>
      </c>
      <c r="BG153" s="61">
        <v>2.0379999999999998</v>
      </c>
      <c r="BH153" s="61" t="s">
        <v>121</v>
      </c>
      <c r="BI153" s="61">
        <v>3.2000000000000001E-2</v>
      </c>
      <c r="BJ153" s="61">
        <v>2.0699999999999998</v>
      </c>
      <c r="BK153" s="66">
        <v>2.0699999999999998</v>
      </c>
      <c r="BL153" s="67">
        <v>4.2240000000000002</v>
      </c>
      <c r="BM153" s="61" t="s">
        <v>121</v>
      </c>
      <c r="BN153" s="61" t="s">
        <v>121</v>
      </c>
      <c r="BO153" s="61" t="s">
        <v>121</v>
      </c>
      <c r="BP153" s="61">
        <v>4.2240000000000002</v>
      </c>
      <c r="BQ153" s="61">
        <v>222.446</v>
      </c>
      <c r="BR153" s="61">
        <v>8.0190000000000001</v>
      </c>
      <c r="BS153" s="61">
        <v>1.0999999999999999E-2</v>
      </c>
      <c r="BT153" s="61">
        <v>1E-3</v>
      </c>
      <c r="BU153" s="61">
        <v>0.55900000000000005</v>
      </c>
      <c r="BV153" s="61">
        <v>0.65300000000000002</v>
      </c>
      <c r="BW153" s="61">
        <v>1.212</v>
      </c>
      <c r="BX153" s="67">
        <v>231.69</v>
      </c>
      <c r="BY153" s="68">
        <v>81973</v>
      </c>
      <c r="BZ153" s="68">
        <v>75518</v>
      </c>
      <c r="CA153" s="69">
        <v>2954</v>
      </c>
      <c r="CB153" s="68">
        <v>115683</v>
      </c>
      <c r="CC153" s="68">
        <v>3460</v>
      </c>
      <c r="CD153" s="61"/>
      <c r="CE153" s="64"/>
      <c r="CF153" s="64"/>
      <c r="CG153" s="70">
        <f t="shared" si="11"/>
        <v>4858.6859999999997</v>
      </c>
      <c r="CH153" s="70">
        <f t="shared" si="12"/>
        <v>124.068</v>
      </c>
      <c r="CI153" s="70">
        <f t="shared" si="13"/>
        <v>145.32</v>
      </c>
      <c r="CJ153" s="70">
        <f t="shared" si="15"/>
        <v>3442.866</v>
      </c>
      <c r="CK153" s="70">
        <f t="shared" si="15"/>
        <v>3171.7559999999999</v>
      </c>
      <c r="CL153" s="70">
        <f t="shared" si="14"/>
        <v>145.32</v>
      </c>
      <c r="CM153" s="61"/>
      <c r="CN153" s="61"/>
      <c r="CO153" s="61"/>
      <c r="CP153" s="61"/>
      <c r="CQ153" s="61"/>
      <c r="CR153" s="61"/>
      <c r="CS153" s="61"/>
      <c r="CT153" s="61"/>
      <c r="CU153" s="61"/>
      <c r="CV153" s="61"/>
      <c r="CW153" s="61"/>
      <c r="CX153" s="61"/>
      <c r="CY153" s="61"/>
      <c r="CZ153" s="61"/>
      <c r="DA153" s="61"/>
      <c r="DB153" s="61"/>
      <c r="DC153" s="61"/>
      <c r="DD153" s="61"/>
      <c r="DE153" s="61"/>
      <c r="DF153" s="61"/>
      <c r="DG153" s="61"/>
      <c r="DH153" s="61"/>
      <c r="DI153" s="61"/>
      <c r="DJ153" s="61"/>
      <c r="DK153" s="61"/>
      <c r="DL153" s="61"/>
      <c r="DM153" s="61"/>
      <c r="DN153" s="61"/>
      <c r="DO153" s="61"/>
      <c r="DP153" s="61"/>
      <c r="DQ153" s="61"/>
      <c r="DR153" s="61"/>
      <c r="DS153" s="61"/>
      <c r="DT153" s="61"/>
      <c r="DU153" s="61"/>
      <c r="DV153" s="61"/>
      <c r="DW153" s="61"/>
      <c r="DX153" s="61"/>
      <c r="DY153" s="61"/>
      <c r="DZ153" s="61"/>
      <c r="EA153" s="61"/>
      <c r="EB153" s="61"/>
      <c r="EC153" s="61"/>
      <c r="ED153" s="61"/>
      <c r="EE153" s="61"/>
      <c r="EF153" s="61"/>
      <c r="EG153" s="61"/>
      <c r="EH153" s="61"/>
      <c r="EI153" s="61"/>
      <c r="EJ153" s="61"/>
      <c r="EK153" s="61"/>
      <c r="EL153" s="61"/>
      <c r="EM153" s="61"/>
      <c r="EN153" s="61"/>
      <c r="EO153" s="61"/>
      <c r="EP153" s="61"/>
      <c r="EQ153" s="61"/>
      <c r="ER153" s="61"/>
      <c r="ES153" s="61"/>
      <c r="ET153" s="61"/>
      <c r="EU153" s="61"/>
      <c r="EV153" s="61"/>
      <c r="EW153" s="61"/>
    </row>
    <row r="154" spans="1:153">
      <c r="A154" s="56">
        <v>31260</v>
      </c>
      <c r="B154" s="57"/>
      <c r="C154" s="7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71"/>
      <c r="P154" s="60">
        <v>228.27600000000001</v>
      </c>
      <c r="Q154" s="61">
        <v>7.9109999999999996</v>
      </c>
      <c r="R154" s="61">
        <v>256.30099999999999</v>
      </c>
      <c r="S154" s="61">
        <v>475.91199999999998</v>
      </c>
      <c r="T154" s="61">
        <v>211.20599999999999</v>
      </c>
      <c r="U154" s="61">
        <v>8.3810000000000002</v>
      </c>
      <c r="V154" s="61">
        <v>2.1000000000000001E-2</v>
      </c>
      <c r="W154" s="61">
        <v>4.0000000000000001E-3</v>
      </c>
      <c r="X154" s="61">
        <v>228.27600000000001</v>
      </c>
      <c r="Y154" s="61">
        <v>20.113</v>
      </c>
      <c r="Z154" s="61">
        <v>7.9109999999999996</v>
      </c>
      <c r="AA154" s="61">
        <v>256.30099999999999</v>
      </c>
      <c r="AB154" s="60">
        <v>475.91199999999998</v>
      </c>
      <c r="AC154" s="62"/>
      <c r="AD154" s="61"/>
      <c r="AE154" s="61"/>
      <c r="AF154" s="61"/>
      <c r="AG154" s="61"/>
      <c r="AH154" s="61"/>
      <c r="AI154" s="61"/>
      <c r="AJ154" s="61"/>
      <c r="AK154" s="62"/>
      <c r="AL154" s="63"/>
      <c r="AM154" s="64"/>
      <c r="AN154" s="65" t="e">
        <v>#N/A</v>
      </c>
      <c r="AO154" s="61" t="e">
        <v>#N/A</v>
      </c>
      <c r="AP154" s="61" t="e">
        <v>#N/A</v>
      </c>
      <c r="AQ154" s="61" t="e">
        <v>#N/A</v>
      </c>
      <c r="AR154" s="61" t="e">
        <v>#N/A</v>
      </c>
      <c r="AS154" s="61" t="e">
        <v>#N/A</v>
      </c>
      <c r="AT154" s="61" t="e">
        <v>#N/A</v>
      </c>
      <c r="AU154" s="61" t="e">
        <v>#N/A</v>
      </c>
      <c r="AV154" s="61" t="e">
        <v>#N/A</v>
      </c>
      <c r="AW154" s="61" t="e">
        <v>#N/A</v>
      </c>
      <c r="AX154" s="65" t="e">
        <v>#N/A</v>
      </c>
      <c r="AY154" s="66" t="s">
        <v>121</v>
      </c>
      <c r="AZ154" s="61" t="s">
        <v>121</v>
      </c>
      <c r="BA154" s="61">
        <v>85.781000000000006</v>
      </c>
      <c r="BB154" s="61">
        <v>85.781000000000006</v>
      </c>
      <c r="BC154" s="61" t="s">
        <v>121</v>
      </c>
      <c r="BD154" s="61" t="s">
        <v>121</v>
      </c>
      <c r="BE154" s="61" t="s">
        <v>121</v>
      </c>
      <c r="BF154" s="61" t="s">
        <v>121</v>
      </c>
      <c r="BG154" s="61">
        <v>2.0379999999999998</v>
      </c>
      <c r="BH154" s="61" t="s">
        <v>121</v>
      </c>
      <c r="BI154" s="61">
        <v>3.2000000000000001E-2</v>
      </c>
      <c r="BJ154" s="61">
        <v>2.0699999999999998</v>
      </c>
      <c r="BK154" s="66">
        <v>2.0699999999999998</v>
      </c>
      <c r="BL154" s="67">
        <v>4.2240000000000002</v>
      </c>
      <c r="BM154" s="61" t="s">
        <v>121</v>
      </c>
      <c r="BN154" s="61" t="s">
        <v>121</v>
      </c>
      <c r="BO154" s="61" t="s">
        <v>121</v>
      </c>
      <c r="BP154" s="61">
        <v>4.2240000000000002</v>
      </c>
      <c r="BQ154" s="61">
        <v>208.74</v>
      </c>
      <c r="BR154" s="61">
        <v>8.3810000000000002</v>
      </c>
      <c r="BS154" s="61">
        <v>2.1000000000000001E-2</v>
      </c>
      <c r="BT154" s="61">
        <v>4.0000000000000001E-3</v>
      </c>
      <c r="BU154" s="61">
        <v>0.745</v>
      </c>
      <c r="BV154" s="61">
        <v>0.61</v>
      </c>
      <c r="BW154" s="61">
        <v>1.3540000000000001</v>
      </c>
      <c r="BX154" s="67">
        <v>218.5</v>
      </c>
      <c r="BY154" s="68">
        <v>80306</v>
      </c>
      <c r="BZ154" s="68">
        <v>81719</v>
      </c>
      <c r="CA154" s="69">
        <v>2526</v>
      </c>
      <c r="CB154" s="68">
        <v>113755</v>
      </c>
      <c r="CC154" s="68">
        <v>3087</v>
      </c>
      <c r="CD154" s="61"/>
      <c r="CE154" s="64"/>
      <c r="CF154" s="64"/>
      <c r="CG154" s="70">
        <f t="shared" si="11"/>
        <v>4777.71</v>
      </c>
      <c r="CH154" s="70">
        <f t="shared" si="12"/>
        <v>106.092</v>
      </c>
      <c r="CI154" s="70">
        <f t="shared" si="13"/>
        <v>129.654</v>
      </c>
      <c r="CJ154" s="70">
        <f t="shared" si="15"/>
        <v>3372.8519999999999</v>
      </c>
      <c r="CK154" s="70">
        <f t="shared" si="15"/>
        <v>3432.1979999999999</v>
      </c>
      <c r="CL154" s="70">
        <f t="shared" si="14"/>
        <v>129.654</v>
      </c>
      <c r="CM154" s="61"/>
      <c r="CN154" s="61"/>
      <c r="CO154" s="61"/>
      <c r="CP154" s="61"/>
      <c r="CQ154" s="61"/>
      <c r="CR154" s="61"/>
      <c r="CS154" s="61"/>
      <c r="CT154" s="61"/>
      <c r="CU154" s="61"/>
      <c r="CV154" s="61"/>
      <c r="CW154" s="61"/>
      <c r="CX154" s="61"/>
      <c r="CY154" s="61"/>
      <c r="CZ154" s="61"/>
      <c r="DA154" s="61"/>
      <c r="DB154" s="61"/>
      <c r="DC154" s="61"/>
      <c r="DD154" s="61"/>
      <c r="DE154" s="61"/>
      <c r="DF154" s="61"/>
      <c r="DG154" s="61"/>
      <c r="DH154" s="61"/>
      <c r="DI154" s="61"/>
      <c r="DJ154" s="61"/>
      <c r="DK154" s="61"/>
      <c r="DL154" s="61"/>
      <c r="DM154" s="61"/>
      <c r="DN154" s="61"/>
      <c r="DO154" s="61"/>
      <c r="DP154" s="61"/>
      <c r="DQ154" s="61"/>
      <c r="DR154" s="61"/>
      <c r="DS154" s="61"/>
      <c r="DT154" s="61"/>
      <c r="DU154" s="61"/>
      <c r="DV154" s="61"/>
      <c r="DW154" s="61"/>
      <c r="DX154" s="61"/>
      <c r="DY154" s="61"/>
      <c r="DZ154" s="61"/>
      <c r="EA154" s="61"/>
      <c r="EB154" s="61"/>
      <c r="EC154" s="61"/>
      <c r="ED154" s="61"/>
      <c r="EE154" s="61"/>
      <c r="EF154" s="61"/>
      <c r="EG154" s="61"/>
      <c r="EH154" s="61"/>
      <c r="EI154" s="61"/>
      <c r="EJ154" s="61"/>
      <c r="EK154" s="61"/>
      <c r="EL154" s="61"/>
      <c r="EM154" s="61"/>
      <c r="EN154" s="61"/>
      <c r="EO154" s="61"/>
      <c r="EP154" s="61"/>
      <c r="EQ154" s="61"/>
      <c r="ER154" s="61"/>
      <c r="ES154" s="61"/>
      <c r="ET154" s="61"/>
      <c r="EU154" s="61"/>
      <c r="EV154" s="61"/>
      <c r="EW154" s="61"/>
    </row>
    <row r="155" spans="1:153">
      <c r="A155" s="56">
        <v>31291</v>
      </c>
      <c r="B155" s="57"/>
      <c r="C155" s="7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71"/>
      <c r="P155" s="60">
        <v>221.006</v>
      </c>
      <c r="Q155" s="61">
        <v>7.6559999999999997</v>
      </c>
      <c r="R155" s="61">
        <v>247.99700000000001</v>
      </c>
      <c r="S155" s="61">
        <v>454.274</v>
      </c>
      <c r="T155" s="61">
        <v>198.28800000000001</v>
      </c>
      <c r="U155" s="61">
        <v>7.9660000000000002</v>
      </c>
      <c r="V155" s="61">
        <v>1.4E-2</v>
      </c>
      <c r="W155" s="61">
        <v>8.9999999999999993E-3</v>
      </c>
      <c r="X155" s="61">
        <v>221.006</v>
      </c>
      <c r="Y155" s="61">
        <v>19.334</v>
      </c>
      <c r="Z155" s="61">
        <v>7.6559999999999997</v>
      </c>
      <c r="AA155" s="61">
        <v>247.99700000000001</v>
      </c>
      <c r="AB155" s="60">
        <v>454.274</v>
      </c>
      <c r="AC155" s="62"/>
      <c r="AD155" s="61"/>
      <c r="AE155" s="61"/>
      <c r="AF155" s="61"/>
      <c r="AG155" s="61"/>
      <c r="AH155" s="61"/>
      <c r="AI155" s="61"/>
      <c r="AJ155" s="61"/>
      <c r="AK155" s="62"/>
      <c r="AL155" s="63"/>
      <c r="AM155" s="64"/>
      <c r="AN155" s="65" t="e">
        <v>#N/A</v>
      </c>
      <c r="AO155" s="61" t="e">
        <v>#N/A</v>
      </c>
      <c r="AP155" s="61" t="e">
        <v>#N/A</v>
      </c>
      <c r="AQ155" s="61" t="e">
        <v>#N/A</v>
      </c>
      <c r="AR155" s="61" t="e">
        <v>#N/A</v>
      </c>
      <c r="AS155" s="61" t="e">
        <v>#N/A</v>
      </c>
      <c r="AT155" s="61" t="e">
        <v>#N/A</v>
      </c>
      <c r="AU155" s="61" t="e">
        <v>#N/A</v>
      </c>
      <c r="AV155" s="61" t="e">
        <v>#N/A</v>
      </c>
      <c r="AW155" s="61" t="e">
        <v>#N/A</v>
      </c>
      <c r="AX155" s="65" t="e">
        <v>#N/A</v>
      </c>
      <c r="AY155" s="66" t="s">
        <v>121</v>
      </c>
      <c r="AZ155" s="61" t="s">
        <v>121</v>
      </c>
      <c r="BA155" s="61">
        <v>83.013999999999996</v>
      </c>
      <c r="BB155" s="61">
        <v>83.013999999999996</v>
      </c>
      <c r="BC155" s="61" t="s">
        <v>121</v>
      </c>
      <c r="BD155" s="61" t="s">
        <v>121</v>
      </c>
      <c r="BE155" s="61" t="s">
        <v>121</v>
      </c>
      <c r="BF155" s="61" t="s">
        <v>121</v>
      </c>
      <c r="BG155" s="61">
        <v>1.9730000000000001</v>
      </c>
      <c r="BH155" s="61" t="s">
        <v>121</v>
      </c>
      <c r="BI155" s="61">
        <v>3.1E-2</v>
      </c>
      <c r="BJ155" s="61">
        <v>2.0030000000000001</v>
      </c>
      <c r="BK155" s="66">
        <v>2.0030000000000001</v>
      </c>
      <c r="BL155" s="67">
        <v>4.0880000000000001</v>
      </c>
      <c r="BM155" s="61" t="s">
        <v>121</v>
      </c>
      <c r="BN155" s="61" t="s">
        <v>121</v>
      </c>
      <c r="BO155" s="61" t="s">
        <v>121</v>
      </c>
      <c r="BP155" s="61">
        <v>4.0880000000000001</v>
      </c>
      <c r="BQ155" s="61">
        <v>196.06100000000001</v>
      </c>
      <c r="BR155" s="61">
        <v>7.9660000000000002</v>
      </c>
      <c r="BS155" s="61">
        <v>1.4E-2</v>
      </c>
      <c r="BT155" s="61">
        <v>8.9999999999999993E-3</v>
      </c>
      <c r="BU155" s="61">
        <v>0.81399999999999995</v>
      </c>
      <c r="BV155" s="61">
        <v>0.46</v>
      </c>
      <c r="BW155" s="61">
        <v>1.274</v>
      </c>
      <c r="BX155" s="67">
        <v>205.32499999999999</v>
      </c>
      <c r="BY155" s="68">
        <v>77759</v>
      </c>
      <c r="BZ155" s="68">
        <v>77251</v>
      </c>
      <c r="CA155" s="69">
        <v>6675</v>
      </c>
      <c r="CB155" s="68">
        <v>117367</v>
      </c>
      <c r="CC155" s="68">
        <v>3619</v>
      </c>
      <c r="CD155" s="61"/>
      <c r="CE155" s="64"/>
      <c r="CF155" s="64"/>
      <c r="CG155" s="70">
        <f t="shared" si="11"/>
        <v>4929.4139999999998</v>
      </c>
      <c r="CH155" s="70">
        <f t="shared" si="12"/>
        <v>280.35000000000002</v>
      </c>
      <c r="CI155" s="70">
        <f t="shared" si="13"/>
        <v>151.99799999999999</v>
      </c>
      <c r="CJ155" s="70">
        <f t="shared" si="15"/>
        <v>3265.8780000000002</v>
      </c>
      <c r="CK155" s="70">
        <f t="shared" si="15"/>
        <v>3244.5419999999999</v>
      </c>
      <c r="CL155" s="70">
        <f t="shared" si="14"/>
        <v>151.99799999999999</v>
      </c>
      <c r="CM155" s="61"/>
      <c r="CN155" s="61"/>
      <c r="CO155" s="61"/>
      <c r="CP155" s="61"/>
      <c r="CQ155" s="61"/>
      <c r="CR155" s="61"/>
      <c r="CS155" s="61"/>
      <c r="CT155" s="61"/>
      <c r="CU155" s="61"/>
      <c r="CV155" s="61"/>
      <c r="CW155" s="61"/>
      <c r="CX155" s="61"/>
      <c r="CY155" s="61"/>
      <c r="CZ155" s="61"/>
      <c r="DA155" s="61"/>
      <c r="DB155" s="61"/>
      <c r="DC155" s="61"/>
      <c r="DD155" s="61"/>
      <c r="DE155" s="61"/>
      <c r="DF155" s="61"/>
      <c r="DG155" s="61"/>
      <c r="DH155" s="61"/>
      <c r="DI155" s="61"/>
      <c r="DJ155" s="61"/>
      <c r="DK155" s="61"/>
      <c r="DL155" s="61"/>
      <c r="DM155" s="61"/>
      <c r="DN155" s="61"/>
      <c r="DO155" s="61"/>
      <c r="DP155" s="61"/>
      <c r="DQ155" s="61"/>
      <c r="DR155" s="61"/>
      <c r="DS155" s="61"/>
      <c r="DT155" s="61"/>
      <c r="DU155" s="61"/>
      <c r="DV155" s="61"/>
      <c r="DW155" s="61"/>
      <c r="DX155" s="61"/>
      <c r="DY155" s="61"/>
      <c r="DZ155" s="61"/>
      <c r="EA155" s="61"/>
      <c r="EB155" s="61"/>
      <c r="EC155" s="61"/>
      <c r="ED155" s="61"/>
      <c r="EE155" s="61"/>
      <c r="EF155" s="61"/>
      <c r="EG155" s="61"/>
      <c r="EH155" s="61"/>
      <c r="EI155" s="61"/>
      <c r="EJ155" s="61"/>
      <c r="EK155" s="61"/>
      <c r="EL155" s="61"/>
      <c r="EM155" s="61"/>
      <c r="EN155" s="61"/>
      <c r="EO155" s="61"/>
      <c r="EP155" s="61"/>
      <c r="EQ155" s="61"/>
      <c r="ER155" s="61"/>
      <c r="ES155" s="61"/>
      <c r="ET155" s="61"/>
      <c r="EU155" s="61"/>
      <c r="EV155" s="61"/>
      <c r="EW155" s="61"/>
    </row>
    <row r="156" spans="1:153">
      <c r="A156" s="56">
        <v>31321</v>
      </c>
      <c r="B156" s="57"/>
      <c r="C156" s="7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71"/>
      <c r="P156" s="60">
        <v>228.28700000000001</v>
      </c>
      <c r="Q156" s="61">
        <v>7.9109999999999996</v>
      </c>
      <c r="R156" s="61">
        <v>256.17500000000001</v>
      </c>
      <c r="S156" s="61">
        <v>475.40600000000001</v>
      </c>
      <c r="T156" s="61">
        <v>211.589</v>
      </c>
      <c r="U156" s="61">
        <v>7.6260000000000003</v>
      </c>
      <c r="V156" s="61">
        <v>0.01</v>
      </c>
      <c r="W156" s="61">
        <v>5.0000000000000001E-3</v>
      </c>
      <c r="X156" s="61">
        <v>228.28700000000001</v>
      </c>
      <c r="Y156" s="61">
        <v>19.977</v>
      </c>
      <c r="Z156" s="61">
        <v>7.9109999999999996</v>
      </c>
      <c r="AA156" s="61">
        <v>256.17500000000001</v>
      </c>
      <c r="AB156" s="60">
        <v>475.40600000000001</v>
      </c>
      <c r="AC156" s="62"/>
      <c r="AD156" s="61"/>
      <c r="AE156" s="61"/>
      <c r="AF156" s="61"/>
      <c r="AG156" s="61"/>
      <c r="AH156" s="61"/>
      <c r="AI156" s="61"/>
      <c r="AJ156" s="61"/>
      <c r="AK156" s="62"/>
      <c r="AL156" s="63"/>
      <c r="AM156" s="64"/>
      <c r="AN156" s="65" t="e">
        <v>#N/A</v>
      </c>
      <c r="AO156" s="61" t="e">
        <v>#N/A</v>
      </c>
      <c r="AP156" s="61" t="e">
        <v>#N/A</v>
      </c>
      <c r="AQ156" s="61" t="e">
        <v>#N/A</v>
      </c>
      <c r="AR156" s="61" t="e">
        <v>#N/A</v>
      </c>
      <c r="AS156" s="61" t="e">
        <v>#N/A</v>
      </c>
      <c r="AT156" s="61" t="e">
        <v>#N/A</v>
      </c>
      <c r="AU156" s="61" t="e">
        <v>#N/A</v>
      </c>
      <c r="AV156" s="61" t="e">
        <v>#N/A</v>
      </c>
      <c r="AW156" s="61" t="e">
        <v>#N/A</v>
      </c>
      <c r="AX156" s="65" t="e">
        <v>#N/A</v>
      </c>
      <c r="AY156" s="66" t="s">
        <v>121</v>
      </c>
      <c r="AZ156" s="61" t="s">
        <v>121</v>
      </c>
      <c r="BA156" s="61">
        <v>85.781000000000006</v>
      </c>
      <c r="BB156" s="61">
        <v>85.781000000000006</v>
      </c>
      <c r="BC156" s="61" t="s">
        <v>121</v>
      </c>
      <c r="BD156" s="61" t="s">
        <v>121</v>
      </c>
      <c r="BE156" s="61" t="s">
        <v>121</v>
      </c>
      <c r="BF156" s="61" t="s">
        <v>121</v>
      </c>
      <c r="BG156" s="61">
        <v>2.0379999999999998</v>
      </c>
      <c r="BH156" s="61" t="s">
        <v>121</v>
      </c>
      <c r="BI156" s="61">
        <v>3.2000000000000001E-2</v>
      </c>
      <c r="BJ156" s="61">
        <v>2.0699999999999998</v>
      </c>
      <c r="BK156" s="66">
        <v>2.0699999999999998</v>
      </c>
      <c r="BL156" s="67">
        <v>4.2240000000000002</v>
      </c>
      <c r="BM156" s="61" t="s">
        <v>121</v>
      </c>
      <c r="BN156" s="61" t="s">
        <v>121</v>
      </c>
      <c r="BO156" s="61" t="s">
        <v>121</v>
      </c>
      <c r="BP156" s="61">
        <v>4.2240000000000002</v>
      </c>
      <c r="BQ156" s="61">
        <v>209.43799999999999</v>
      </c>
      <c r="BR156" s="61">
        <v>7.6260000000000003</v>
      </c>
      <c r="BS156" s="61">
        <v>0.01</v>
      </c>
      <c r="BT156" s="61">
        <v>5.0000000000000001E-3</v>
      </c>
      <c r="BU156" s="61">
        <v>0.755</v>
      </c>
      <c r="BV156" s="61">
        <v>0.47399999999999998</v>
      </c>
      <c r="BW156" s="61">
        <v>1.2290000000000001</v>
      </c>
      <c r="BX156" s="67">
        <v>218.30799999999999</v>
      </c>
      <c r="BY156" s="68">
        <v>89904</v>
      </c>
      <c r="BZ156" s="68">
        <v>89927</v>
      </c>
      <c r="CA156" s="69">
        <v>8107</v>
      </c>
      <c r="CB156" s="68">
        <v>123417</v>
      </c>
      <c r="CC156" s="68">
        <v>2085</v>
      </c>
      <c r="CD156" s="61"/>
      <c r="CE156" s="64"/>
      <c r="CF156" s="64"/>
      <c r="CG156" s="70">
        <f t="shared" si="11"/>
        <v>5183.5140000000001</v>
      </c>
      <c r="CH156" s="70">
        <f t="shared" si="12"/>
        <v>340.49400000000003</v>
      </c>
      <c r="CI156" s="70">
        <f t="shared" si="13"/>
        <v>87.57</v>
      </c>
      <c r="CJ156" s="70">
        <f t="shared" si="15"/>
        <v>3775.9679999999998</v>
      </c>
      <c r="CK156" s="70">
        <f t="shared" si="15"/>
        <v>3776.9340000000002</v>
      </c>
      <c r="CL156" s="70">
        <f t="shared" si="14"/>
        <v>87.57</v>
      </c>
      <c r="CM156" s="61"/>
      <c r="CN156" s="61"/>
      <c r="CO156" s="61"/>
      <c r="CP156" s="61"/>
      <c r="CQ156" s="61"/>
      <c r="CR156" s="61"/>
      <c r="CS156" s="61"/>
      <c r="CT156" s="61"/>
      <c r="CU156" s="61"/>
      <c r="CV156" s="61"/>
      <c r="CW156" s="61"/>
      <c r="CX156" s="61"/>
      <c r="CY156" s="61"/>
      <c r="CZ156" s="61"/>
      <c r="DA156" s="61"/>
      <c r="DB156" s="61"/>
      <c r="DC156" s="61"/>
      <c r="DD156" s="61"/>
      <c r="DE156" s="61"/>
      <c r="DF156" s="61"/>
      <c r="DG156" s="61"/>
      <c r="DH156" s="61"/>
      <c r="DI156" s="61"/>
      <c r="DJ156" s="61"/>
      <c r="DK156" s="61"/>
      <c r="DL156" s="61"/>
      <c r="DM156" s="61"/>
      <c r="DN156" s="61"/>
      <c r="DO156" s="61"/>
      <c r="DP156" s="61"/>
      <c r="DQ156" s="61"/>
      <c r="DR156" s="61"/>
      <c r="DS156" s="61"/>
      <c r="DT156" s="61"/>
      <c r="DU156" s="61"/>
      <c r="DV156" s="61"/>
      <c r="DW156" s="61"/>
      <c r="DX156" s="61"/>
      <c r="DY156" s="61"/>
      <c r="DZ156" s="61"/>
      <c r="EA156" s="61"/>
      <c r="EB156" s="61"/>
      <c r="EC156" s="61"/>
      <c r="ED156" s="61"/>
      <c r="EE156" s="61"/>
      <c r="EF156" s="61"/>
      <c r="EG156" s="61"/>
      <c r="EH156" s="61"/>
      <c r="EI156" s="61"/>
      <c r="EJ156" s="61"/>
      <c r="EK156" s="61"/>
      <c r="EL156" s="61"/>
      <c r="EM156" s="61"/>
      <c r="EN156" s="61"/>
      <c r="EO156" s="61"/>
      <c r="EP156" s="61"/>
      <c r="EQ156" s="61"/>
      <c r="ER156" s="61"/>
      <c r="ES156" s="61"/>
      <c r="ET156" s="61"/>
      <c r="EU156" s="61"/>
      <c r="EV156" s="61"/>
      <c r="EW156" s="61"/>
    </row>
    <row r="157" spans="1:153">
      <c r="A157" s="56">
        <v>31352</v>
      </c>
      <c r="B157" s="57"/>
      <c r="C157" s="7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71"/>
      <c r="P157" s="60">
        <v>220.96199999999999</v>
      </c>
      <c r="Q157" s="61">
        <v>7.6559999999999997</v>
      </c>
      <c r="R157" s="61">
        <v>248.07</v>
      </c>
      <c r="S157" s="61">
        <v>499.60599999999999</v>
      </c>
      <c r="T157" s="61">
        <v>242.11500000000001</v>
      </c>
      <c r="U157" s="61">
        <v>9.4160000000000004</v>
      </c>
      <c r="V157" s="61">
        <v>3.0000000000000001E-3</v>
      </c>
      <c r="W157" s="61">
        <v>2E-3</v>
      </c>
      <c r="X157" s="61">
        <v>220.96199999999999</v>
      </c>
      <c r="Y157" s="61">
        <v>19.452000000000002</v>
      </c>
      <c r="Z157" s="61">
        <v>7.6559999999999997</v>
      </c>
      <c r="AA157" s="61">
        <v>248.07</v>
      </c>
      <c r="AB157" s="60">
        <v>499.60599999999999</v>
      </c>
      <c r="AC157" s="62"/>
      <c r="AD157" s="61"/>
      <c r="AE157" s="61"/>
      <c r="AF157" s="61"/>
      <c r="AG157" s="61"/>
      <c r="AH157" s="61"/>
      <c r="AI157" s="61"/>
      <c r="AJ157" s="61"/>
      <c r="AK157" s="62"/>
      <c r="AL157" s="63"/>
      <c r="AM157" s="64"/>
      <c r="AN157" s="65" t="e">
        <v>#N/A</v>
      </c>
      <c r="AO157" s="61" t="e">
        <v>#N/A</v>
      </c>
      <c r="AP157" s="61" t="e">
        <v>#N/A</v>
      </c>
      <c r="AQ157" s="61" t="e">
        <v>#N/A</v>
      </c>
      <c r="AR157" s="61" t="e">
        <v>#N/A</v>
      </c>
      <c r="AS157" s="61" t="e">
        <v>#N/A</v>
      </c>
      <c r="AT157" s="61" t="e">
        <v>#N/A</v>
      </c>
      <c r="AU157" s="61" t="e">
        <v>#N/A</v>
      </c>
      <c r="AV157" s="61" t="e">
        <v>#N/A</v>
      </c>
      <c r="AW157" s="61" t="e">
        <v>#N/A</v>
      </c>
      <c r="AX157" s="65" t="e">
        <v>#N/A</v>
      </c>
      <c r="AY157" s="66" t="s">
        <v>121</v>
      </c>
      <c r="AZ157" s="61" t="s">
        <v>121</v>
      </c>
      <c r="BA157" s="61">
        <v>83.013999999999996</v>
      </c>
      <c r="BB157" s="61">
        <v>83.013999999999996</v>
      </c>
      <c r="BC157" s="61" t="s">
        <v>121</v>
      </c>
      <c r="BD157" s="61" t="s">
        <v>121</v>
      </c>
      <c r="BE157" s="61" t="s">
        <v>121</v>
      </c>
      <c r="BF157" s="61" t="s">
        <v>121</v>
      </c>
      <c r="BG157" s="61">
        <v>1.9730000000000001</v>
      </c>
      <c r="BH157" s="61" t="s">
        <v>121</v>
      </c>
      <c r="BI157" s="61">
        <v>3.1E-2</v>
      </c>
      <c r="BJ157" s="61">
        <v>2.0030000000000001</v>
      </c>
      <c r="BK157" s="66">
        <v>2.0030000000000001</v>
      </c>
      <c r="BL157" s="67">
        <v>4.0880000000000001</v>
      </c>
      <c r="BM157" s="61" t="s">
        <v>121</v>
      </c>
      <c r="BN157" s="61" t="s">
        <v>121</v>
      </c>
      <c r="BO157" s="61" t="s">
        <v>121</v>
      </c>
      <c r="BP157" s="61">
        <v>4.0880000000000001</v>
      </c>
      <c r="BQ157" s="61">
        <v>239.80099999999999</v>
      </c>
      <c r="BR157" s="61">
        <v>9.4160000000000004</v>
      </c>
      <c r="BS157" s="61">
        <v>3.0000000000000001E-3</v>
      </c>
      <c r="BT157" s="61">
        <v>2E-3</v>
      </c>
      <c r="BU157" s="61">
        <v>0.77</v>
      </c>
      <c r="BV157" s="61">
        <v>0.57799999999999996</v>
      </c>
      <c r="BW157" s="61">
        <v>1.3480000000000001</v>
      </c>
      <c r="BX157" s="67">
        <v>250.57</v>
      </c>
      <c r="BY157" s="68">
        <v>93015</v>
      </c>
      <c r="BZ157" s="68">
        <v>82413</v>
      </c>
      <c r="CA157" s="69">
        <v>8413</v>
      </c>
      <c r="CB157" s="68">
        <v>139719</v>
      </c>
      <c r="CC157" s="68">
        <v>2765</v>
      </c>
      <c r="CD157" s="61"/>
      <c r="CE157" s="64"/>
      <c r="CF157" s="64"/>
      <c r="CG157" s="70">
        <f t="shared" si="11"/>
        <v>5868.1980000000003</v>
      </c>
      <c r="CH157" s="70">
        <f t="shared" si="12"/>
        <v>353.346</v>
      </c>
      <c r="CI157" s="70">
        <f t="shared" si="13"/>
        <v>116.13</v>
      </c>
      <c r="CJ157" s="70">
        <f t="shared" si="15"/>
        <v>3906.63</v>
      </c>
      <c r="CK157" s="70">
        <f t="shared" si="15"/>
        <v>3461.346</v>
      </c>
      <c r="CL157" s="70">
        <f t="shared" si="14"/>
        <v>116.13</v>
      </c>
      <c r="CM157" s="61"/>
      <c r="CN157" s="61"/>
      <c r="CO157" s="61"/>
      <c r="CP157" s="61"/>
      <c r="CQ157" s="61"/>
      <c r="CR157" s="61"/>
      <c r="CS157" s="61"/>
      <c r="CT157" s="61"/>
      <c r="CU157" s="61"/>
      <c r="CV157" s="61"/>
      <c r="CW157" s="61"/>
      <c r="CX157" s="61"/>
      <c r="CY157" s="61"/>
      <c r="CZ157" s="61"/>
      <c r="DA157" s="61"/>
      <c r="DB157" s="61"/>
      <c r="DC157" s="61"/>
      <c r="DD157" s="61"/>
      <c r="DE157" s="61"/>
      <c r="DF157" s="61"/>
      <c r="DG157" s="61"/>
      <c r="DH157" s="61"/>
      <c r="DI157" s="61"/>
      <c r="DJ157" s="61"/>
      <c r="DK157" s="61"/>
      <c r="DL157" s="61"/>
      <c r="DM157" s="61"/>
      <c r="DN157" s="61"/>
      <c r="DO157" s="61"/>
      <c r="DP157" s="61"/>
      <c r="DQ157" s="61"/>
      <c r="DR157" s="61"/>
      <c r="DS157" s="61"/>
      <c r="DT157" s="61"/>
      <c r="DU157" s="61"/>
      <c r="DV157" s="61"/>
      <c r="DW157" s="61"/>
      <c r="DX157" s="61"/>
      <c r="DY157" s="61"/>
      <c r="DZ157" s="61"/>
      <c r="EA157" s="61"/>
      <c r="EB157" s="61"/>
      <c r="EC157" s="61"/>
      <c r="ED157" s="61"/>
      <c r="EE157" s="61"/>
      <c r="EF157" s="61"/>
      <c r="EG157" s="61"/>
      <c r="EH157" s="61"/>
      <c r="EI157" s="61"/>
      <c r="EJ157" s="61"/>
      <c r="EK157" s="61"/>
      <c r="EL157" s="61"/>
      <c r="EM157" s="61"/>
      <c r="EN157" s="61"/>
      <c r="EO157" s="61"/>
      <c r="EP157" s="61"/>
      <c r="EQ157" s="61"/>
      <c r="ER157" s="61"/>
      <c r="ES157" s="61"/>
      <c r="ET157" s="61"/>
      <c r="EU157" s="61"/>
      <c r="EV157" s="61"/>
      <c r="EW157" s="61"/>
    </row>
    <row r="158" spans="1:153">
      <c r="A158" s="56">
        <v>31382</v>
      </c>
      <c r="B158" s="57"/>
      <c r="C158" s="7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71"/>
      <c r="P158" s="60">
        <v>228.29</v>
      </c>
      <c r="Q158" s="61">
        <v>7.9109999999999996</v>
      </c>
      <c r="R158" s="61">
        <v>256.24599999999998</v>
      </c>
      <c r="S158" s="61">
        <v>533.96</v>
      </c>
      <c r="T158" s="61">
        <v>267.38600000000002</v>
      </c>
      <c r="U158" s="61">
        <v>10.324999999999999</v>
      </c>
      <c r="V158" s="61">
        <v>2E-3</v>
      </c>
      <c r="W158" s="61">
        <v>1E-3</v>
      </c>
      <c r="X158" s="61">
        <v>228.29</v>
      </c>
      <c r="Y158" s="61">
        <v>20.044</v>
      </c>
      <c r="Z158" s="61">
        <v>7.9109999999999996</v>
      </c>
      <c r="AA158" s="61">
        <v>256.24599999999998</v>
      </c>
      <c r="AB158" s="60">
        <v>533.96</v>
      </c>
      <c r="AC158" s="62"/>
      <c r="AD158" s="61"/>
      <c r="AE158" s="61"/>
      <c r="AF158" s="61"/>
      <c r="AG158" s="61"/>
      <c r="AH158" s="61"/>
      <c r="AI158" s="61"/>
      <c r="AJ158" s="61"/>
      <c r="AK158" s="62"/>
      <c r="AL158" s="63"/>
      <c r="AM158" s="64"/>
      <c r="AN158" s="65" t="e">
        <v>#N/A</v>
      </c>
      <c r="AO158" s="61" t="e">
        <v>#N/A</v>
      </c>
      <c r="AP158" s="61" t="e">
        <v>#N/A</v>
      </c>
      <c r="AQ158" s="61" t="e">
        <v>#N/A</v>
      </c>
      <c r="AR158" s="61" t="e">
        <v>#N/A</v>
      </c>
      <c r="AS158" s="61" t="e">
        <v>#N/A</v>
      </c>
      <c r="AT158" s="61" t="e">
        <v>#N/A</v>
      </c>
      <c r="AU158" s="61" t="e">
        <v>#N/A</v>
      </c>
      <c r="AV158" s="61" t="e">
        <v>#N/A</v>
      </c>
      <c r="AW158" s="61" t="e">
        <v>#N/A</v>
      </c>
      <c r="AX158" s="65" t="e">
        <v>#N/A</v>
      </c>
      <c r="AY158" s="66" t="s">
        <v>121</v>
      </c>
      <c r="AZ158" s="61" t="s">
        <v>121</v>
      </c>
      <c r="BA158" s="61">
        <v>85.781000000000006</v>
      </c>
      <c r="BB158" s="61">
        <v>85.781000000000006</v>
      </c>
      <c r="BC158" s="61" t="s">
        <v>121</v>
      </c>
      <c r="BD158" s="61" t="s">
        <v>121</v>
      </c>
      <c r="BE158" s="61" t="s">
        <v>121</v>
      </c>
      <c r="BF158" s="61" t="s">
        <v>121</v>
      </c>
      <c r="BG158" s="61">
        <v>2.0379999999999998</v>
      </c>
      <c r="BH158" s="61" t="s">
        <v>121</v>
      </c>
      <c r="BI158" s="61">
        <v>3.2000000000000001E-2</v>
      </c>
      <c r="BJ158" s="61">
        <v>2.0699999999999998</v>
      </c>
      <c r="BK158" s="66">
        <v>2.0699999999999998</v>
      </c>
      <c r="BL158" s="67">
        <v>4.2240000000000002</v>
      </c>
      <c r="BM158" s="61" t="s">
        <v>121</v>
      </c>
      <c r="BN158" s="61" t="s">
        <v>121</v>
      </c>
      <c r="BO158" s="61" t="s">
        <v>121</v>
      </c>
      <c r="BP158" s="61">
        <v>4.2240000000000002</v>
      </c>
      <c r="BQ158" s="61">
        <v>264.92099999999999</v>
      </c>
      <c r="BR158" s="61">
        <v>10.324999999999999</v>
      </c>
      <c r="BS158" s="61">
        <v>2E-3</v>
      </c>
      <c r="BT158" s="61">
        <v>1E-3</v>
      </c>
      <c r="BU158" s="61">
        <v>0.75800000000000001</v>
      </c>
      <c r="BV158" s="61">
        <v>0.54100000000000004</v>
      </c>
      <c r="BW158" s="61">
        <v>1.2989999999999999</v>
      </c>
      <c r="BX158" s="67">
        <v>276.54899999999998</v>
      </c>
      <c r="BY158" s="68">
        <v>98397</v>
      </c>
      <c r="BZ158" s="68">
        <v>100870</v>
      </c>
      <c r="CA158" s="69">
        <v>8889</v>
      </c>
      <c r="CB158" s="68">
        <v>143673</v>
      </c>
      <c r="CC158" s="68">
        <v>2508</v>
      </c>
      <c r="CD158" s="61"/>
      <c r="CE158" s="64"/>
      <c r="CF158" s="64"/>
      <c r="CG158" s="70">
        <f t="shared" si="11"/>
        <v>6034.2659999999996</v>
      </c>
      <c r="CH158" s="70">
        <f t="shared" si="12"/>
        <v>373.33800000000002</v>
      </c>
      <c r="CI158" s="70">
        <f t="shared" si="13"/>
        <v>105.336</v>
      </c>
      <c r="CJ158" s="70">
        <f t="shared" si="15"/>
        <v>4132.674</v>
      </c>
      <c r="CK158" s="70">
        <f t="shared" si="15"/>
        <v>4236.54</v>
      </c>
      <c r="CL158" s="70">
        <f t="shared" si="14"/>
        <v>105.336</v>
      </c>
      <c r="CM158" s="61"/>
      <c r="CN158" s="61"/>
      <c r="CO158" s="61"/>
      <c r="CP158" s="61"/>
      <c r="CQ158" s="61"/>
      <c r="CR158" s="61"/>
      <c r="CS158" s="61"/>
      <c r="CT158" s="61"/>
      <c r="CU158" s="61"/>
      <c r="CV158" s="61"/>
      <c r="CW158" s="61"/>
      <c r="CX158" s="61"/>
      <c r="CY158" s="61"/>
      <c r="CZ158" s="61"/>
      <c r="DA158" s="61"/>
      <c r="DB158" s="61"/>
      <c r="DC158" s="61"/>
      <c r="DD158" s="61"/>
      <c r="DE158" s="61"/>
      <c r="DF158" s="61"/>
      <c r="DG158" s="61"/>
      <c r="DH158" s="61"/>
      <c r="DI158" s="61"/>
      <c r="DJ158" s="61"/>
      <c r="DK158" s="61"/>
      <c r="DL158" s="61"/>
      <c r="DM158" s="61"/>
      <c r="DN158" s="61"/>
      <c r="DO158" s="61"/>
      <c r="DP158" s="61"/>
      <c r="DQ158" s="61"/>
      <c r="DR158" s="61"/>
      <c r="DS158" s="61"/>
      <c r="DT158" s="61"/>
      <c r="DU158" s="61"/>
      <c r="DV158" s="61"/>
      <c r="DW158" s="61"/>
      <c r="DX158" s="61"/>
      <c r="DY158" s="61"/>
      <c r="DZ158" s="61"/>
      <c r="EA158" s="61"/>
      <c r="EB158" s="61"/>
      <c r="EC158" s="61"/>
      <c r="ED158" s="61"/>
      <c r="EE158" s="61"/>
      <c r="EF158" s="61"/>
      <c r="EG158" s="61"/>
      <c r="EH158" s="61"/>
      <c r="EI158" s="61"/>
      <c r="EJ158" s="61"/>
      <c r="EK158" s="61"/>
      <c r="EL158" s="61"/>
      <c r="EM158" s="61"/>
      <c r="EN158" s="61"/>
      <c r="EO158" s="61"/>
      <c r="EP158" s="61"/>
      <c r="EQ158" s="61"/>
      <c r="ER158" s="61"/>
      <c r="ES158" s="61"/>
      <c r="ET158" s="61"/>
      <c r="EU158" s="61"/>
      <c r="EV158" s="61"/>
      <c r="EW158" s="61"/>
    </row>
    <row r="159" spans="1:153">
      <c r="A159" s="56">
        <v>31413</v>
      </c>
      <c r="B159" s="57"/>
      <c r="C159" s="7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71"/>
      <c r="P159" s="60">
        <v>217.84</v>
      </c>
      <c r="Q159" s="61">
        <v>9.0960000000000001</v>
      </c>
      <c r="R159" s="61">
        <v>249.178</v>
      </c>
      <c r="S159" s="61">
        <v>486.06400000000002</v>
      </c>
      <c r="T159" s="61">
        <v>226.352</v>
      </c>
      <c r="U159" s="61">
        <v>10.526</v>
      </c>
      <c r="V159" s="61">
        <v>7.0000000000000001E-3</v>
      </c>
      <c r="W159" s="61">
        <v>2E-3</v>
      </c>
      <c r="X159" s="61">
        <v>217.84</v>
      </c>
      <c r="Y159" s="61">
        <v>22.242000000000001</v>
      </c>
      <c r="Z159" s="61">
        <v>9.0960000000000001</v>
      </c>
      <c r="AA159" s="61">
        <v>249.178</v>
      </c>
      <c r="AB159" s="60">
        <v>486.06400000000002</v>
      </c>
      <c r="AC159" s="62"/>
      <c r="AD159" s="61"/>
      <c r="AE159" s="61"/>
      <c r="AF159" s="61"/>
      <c r="AG159" s="61"/>
      <c r="AH159" s="61"/>
      <c r="AI159" s="61"/>
      <c r="AJ159" s="61"/>
      <c r="AK159" s="62"/>
      <c r="AL159" s="63"/>
      <c r="AM159" s="64"/>
      <c r="AN159" s="65" t="e">
        <v>#N/A</v>
      </c>
      <c r="AO159" s="61" t="e">
        <v>#N/A</v>
      </c>
      <c r="AP159" s="61" t="e">
        <v>#N/A</v>
      </c>
      <c r="AQ159" s="61" t="e">
        <v>#N/A</v>
      </c>
      <c r="AR159" s="61" t="e">
        <v>#N/A</v>
      </c>
      <c r="AS159" s="61" t="e">
        <v>#N/A</v>
      </c>
      <c r="AT159" s="61" t="e">
        <v>#N/A</v>
      </c>
      <c r="AU159" s="61" t="e">
        <v>#N/A</v>
      </c>
      <c r="AV159" s="61" t="e">
        <v>#N/A</v>
      </c>
      <c r="AW159" s="61" t="e">
        <v>#N/A</v>
      </c>
      <c r="AX159" s="65" t="e">
        <v>#N/A</v>
      </c>
      <c r="AY159" s="66" t="s">
        <v>121</v>
      </c>
      <c r="AZ159" s="61" t="s">
        <v>121</v>
      </c>
      <c r="BA159" s="61">
        <v>78.137</v>
      </c>
      <c r="BB159" s="61">
        <v>78.137</v>
      </c>
      <c r="BC159" s="61" t="s">
        <v>121</v>
      </c>
      <c r="BD159" s="61" t="s">
        <v>121</v>
      </c>
      <c r="BE159" s="61" t="s">
        <v>121</v>
      </c>
      <c r="BF159" s="61" t="s">
        <v>121</v>
      </c>
      <c r="BG159" s="61">
        <v>2.2930000000000001</v>
      </c>
      <c r="BH159" s="61" t="s">
        <v>121</v>
      </c>
      <c r="BI159" s="61">
        <v>3.9E-2</v>
      </c>
      <c r="BJ159" s="61">
        <v>2.3330000000000002</v>
      </c>
      <c r="BK159" s="66">
        <v>2.3330000000000002</v>
      </c>
      <c r="BL159" s="67">
        <v>4.8780000000000001</v>
      </c>
      <c r="BM159" s="61" t="s">
        <v>121</v>
      </c>
      <c r="BN159" s="61" t="s">
        <v>121</v>
      </c>
      <c r="BO159" s="61" t="s">
        <v>121</v>
      </c>
      <c r="BP159" s="61">
        <v>4.8780000000000001</v>
      </c>
      <c r="BQ159" s="61">
        <v>223.30600000000001</v>
      </c>
      <c r="BR159" s="61">
        <v>10.526</v>
      </c>
      <c r="BS159" s="61">
        <v>7.0000000000000001E-3</v>
      </c>
      <c r="BT159" s="61">
        <v>2E-3</v>
      </c>
      <c r="BU159" s="61">
        <v>0.67</v>
      </c>
      <c r="BV159" s="61">
        <v>0.52400000000000002</v>
      </c>
      <c r="BW159" s="61">
        <v>1.194</v>
      </c>
      <c r="BX159" s="67">
        <v>235.035</v>
      </c>
      <c r="BY159" s="68">
        <v>89812</v>
      </c>
      <c r="BZ159" s="68">
        <v>103223</v>
      </c>
      <c r="CA159" s="69">
        <v>10071</v>
      </c>
      <c r="CB159" s="68">
        <v>136490</v>
      </c>
      <c r="CC159" s="68">
        <v>3891</v>
      </c>
      <c r="CD159" s="61"/>
      <c r="CE159" s="64"/>
      <c r="CF159" s="64"/>
      <c r="CG159" s="70">
        <f t="shared" si="11"/>
        <v>5732.58</v>
      </c>
      <c r="CH159" s="70">
        <f t="shared" si="12"/>
        <v>422.98200000000003</v>
      </c>
      <c r="CI159" s="70">
        <f t="shared" si="13"/>
        <v>163.422</v>
      </c>
      <c r="CJ159" s="70">
        <f t="shared" si="15"/>
        <v>3772.1039999999998</v>
      </c>
      <c r="CK159" s="70">
        <f t="shared" si="15"/>
        <v>4335.366</v>
      </c>
      <c r="CL159" s="70">
        <f t="shared" si="14"/>
        <v>163.422</v>
      </c>
      <c r="CM159" s="61"/>
      <c r="CN159" s="61"/>
      <c r="CO159" s="61"/>
      <c r="CP159" s="61"/>
      <c r="CQ159" s="61"/>
      <c r="CR159" s="61"/>
      <c r="CS159" s="61"/>
      <c r="CT159" s="61"/>
      <c r="CU159" s="61"/>
      <c r="CV159" s="61"/>
      <c r="CW159" s="61"/>
      <c r="CX159" s="61"/>
      <c r="CY159" s="61"/>
      <c r="CZ159" s="61"/>
      <c r="DA159" s="61"/>
      <c r="DB159" s="61"/>
      <c r="DC159" s="61"/>
      <c r="DD159" s="61"/>
      <c r="DE159" s="61"/>
      <c r="DF159" s="61"/>
      <c r="DG159" s="61"/>
      <c r="DH159" s="61"/>
      <c r="DI159" s="61"/>
      <c r="DJ159" s="61"/>
      <c r="DK159" s="61"/>
      <c r="DL159" s="61"/>
      <c r="DM159" s="61"/>
      <c r="DN159" s="61"/>
      <c r="DO159" s="61"/>
      <c r="DP159" s="61"/>
      <c r="DQ159" s="61"/>
      <c r="DR159" s="61"/>
      <c r="DS159" s="61"/>
      <c r="DT159" s="61"/>
      <c r="DU159" s="61"/>
      <c r="DV159" s="61"/>
      <c r="DW159" s="61"/>
      <c r="DX159" s="61"/>
      <c r="DY159" s="61"/>
      <c r="DZ159" s="61"/>
      <c r="EA159" s="61"/>
      <c r="EB159" s="61"/>
      <c r="EC159" s="61"/>
      <c r="ED159" s="61"/>
      <c r="EE159" s="61"/>
      <c r="EF159" s="61"/>
      <c r="EG159" s="61"/>
      <c r="EH159" s="61"/>
      <c r="EI159" s="61"/>
      <c r="EJ159" s="61"/>
      <c r="EK159" s="61"/>
      <c r="EL159" s="61"/>
      <c r="EM159" s="61"/>
      <c r="EN159" s="61"/>
      <c r="EO159" s="61"/>
      <c r="EP159" s="61"/>
      <c r="EQ159" s="61"/>
      <c r="ER159" s="61"/>
      <c r="ES159" s="61"/>
      <c r="ET159" s="61"/>
      <c r="EU159" s="61"/>
      <c r="EV159" s="61"/>
      <c r="EW159" s="61"/>
    </row>
    <row r="160" spans="1:153">
      <c r="A160" s="56">
        <v>31444</v>
      </c>
      <c r="B160" s="57"/>
      <c r="C160" s="7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71"/>
      <c r="P160" s="60">
        <v>196.536</v>
      </c>
      <c r="Q160" s="61">
        <v>8.2159999999999993</v>
      </c>
      <c r="R160" s="61">
        <v>224.922</v>
      </c>
      <c r="S160" s="61">
        <v>479.12200000000001</v>
      </c>
      <c r="T160" s="61">
        <v>245.15199999999999</v>
      </c>
      <c r="U160" s="61">
        <v>9.0399999999999991</v>
      </c>
      <c r="V160" s="61">
        <v>6.0000000000000001E-3</v>
      </c>
      <c r="W160" s="61">
        <v>2E-3</v>
      </c>
      <c r="X160" s="61">
        <v>196.536</v>
      </c>
      <c r="Y160" s="61">
        <v>20.170999999999999</v>
      </c>
      <c r="Z160" s="61">
        <v>8.2159999999999993</v>
      </c>
      <c r="AA160" s="61">
        <v>224.922</v>
      </c>
      <c r="AB160" s="60">
        <v>479.12200000000001</v>
      </c>
      <c r="AC160" s="62"/>
      <c r="AD160" s="61"/>
      <c r="AE160" s="61"/>
      <c r="AF160" s="61"/>
      <c r="AG160" s="61"/>
      <c r="AH160" s="61"/>
      <c r="AI160" s="61"/>
      <c r="AJ160" s="61"/>
      <c r="AK160" s="62"/>
      <c r="AL160" s="63"/>
      <c r="AM160" s="64"/>
      <c r="AN160" s="65" t="e">
        <v>#N/A</v>
      </c>
      <c r="AO160" s="61" t="e">
        <v>#N/A</v>
      </c>
      <c r="AP160" s="61" t="e">
        <v>#N/A</v>
      </c>
      <c r="AQ160" s="61" t="e">
        <v>#N/A</v>
      </c>
      <c r="AR160" s="61" t="e">
        <v>#N/A</v>
      </c>
      <c r="AS160" s="61" t="e">
        <v>#N/A</v>
      </c>
      <c r="AT160" s="61" t="e">
        <v>#N/A</v>
      </c>
      <c r="AU160" s="61" t="e">
        <v>#N/A</v>
      </c>
      <c r="AV160" s="61" t="e">
        <v>#N/A</v>
      </c>
      <c r="AW160" s="61" t="e">
        <v>#N/A</v>
      </c>
      <c r="AX160" s="65" t="e">
        <v>#N/A</v>
      </c>
      <c r="AY160" s="66" t="s">
        <v>121</v>
      </c>
      <c r="AZ160" s="61" t="s">
        <v>121</v>
      </c>
      <c r="BA160" s="61">
        <v>70.575000000000003</v>
      </c>
      <c r="BB160" s="61">
        <v>70.575000000000003</v>
      </c>
      <c r="BC160" s="61" t="s">
        <v>121</v>
      </c>
      <c r="BD160" s="61" t="s">
        <v>121</v>
      </c>
      <c r="BE160" s="61" t="s">
        <v>121</v>
      </c>
      <c r="BF160" s="61" t="s">
        <v>121</v>
      </c>
      <c r="BG160" s="61">
        <v>2.0710000000000002</v>
      </c>
      <c r="BH160" s="61" t="s">
        <v>121</v>
      </c>
      <c r="BI160" s="61">
        <v>3.5999999999999997E-2</v>
      </c>
      <c r="BJ160" s="61">
        <v>2.1070000000000002</v>
      </c>
      <c r="BK160" s="66">
        <v>2.1070000000000002</v>
      </c>
      <c r="BL160" s="67">
        <v>4.4059999999999997</v>
      </c>
      <c r="BM160" s="61" t="s">
        <v>121</v>
      </c>
      <c r="BN160" s="61" t="s">
        <v>121</v>
      </c>
      <c r="BO160" s="61" t="s">
        <v>121</v>
      </c>
      <c r="BP160" s="61">
        <v>4.4059999999999997</v>
      </c>
      <c r="BQ160" s="61">
        <v>242.578</v>
      </c>
      <c r="BR160" s="61">
        <v>9.0399999999999991</v>
      </c>
      <c r="BS160" s="61">
        <v>6.0000000000000001E-3</v>
      </c>
      <c r="BT160" s="61">
        <v>2E-3</v>
      </c>
      <c r="BU160" s="61">
        <v>0.38200000000000001</v>
      </c>
      <c r="BV160" s="61">
        <v>0.55500000000000005</v>
      </c>
      <c r="BW160" s="61">
        <v>0.93799999999999994</v>
      </c>
      <c r="BX160" s="67">
        <v>252.56299999999999</v>
      </c>
      <c r="BY160" s="68">
        <v>71716</v>
      </c>
      <c r="BZ160" s="68">
        <v>95652</v>
      </c>
      <c r="CA160" s="69">
        <v>4727</v>
      </c>
      <c r="CB160" s="68">
        <v>112402</v>
      </c>
      <c r="CC160" s="68">
        <v>4927</v>
      </c>
      <c r="CD160" s="61"/>
      <c r="CE160" s="64"/>
      <c r="CF160" s="64"/>
      <c r="CG160" s="70">
        <f t="shared" si="11"/>
        <v>4720.884</v>
      </c>
      <c r="CH160" s="70">
        <f t="shared" si="12"/>
        <v>198.53399999999999</v>
      </c>
      <c r="CI160" s="70">
        <f t="shared" si="13"/>
        <v>206.934</v>
      </c>
      <c r="CJ160" s="70">
        <f t="shared" si="15"/>
        <v>3012.0720000000001</v>
      </c>
      <c r="CK160" s="70">
        <f t="shared" si="15"/>
        <v>4017.384</v>
      </c>
      <c r="CL160" s="70">
        <f t="shared" si="14"/>
        <v>206.934</v>
      </c>
      <c r="CM160" s="61"/>
      <c r="CN160" s="61"/>
      <c r="CO160" s="61"/>
      <c r="CP160" s="61"/>
      <c r="CQ160" s="61"/>
      <c r="CR160" s="61"/>
      <c r="CS160" s="61"/>
      <c r="CT160" s="61"/>
      <c r="CU160" s="61"/>
      <c r="CV160" s="61"/>
      <c r="CW160" s="61"/>
      <c r="CX160" s="61"/>
      <c r="CY160" s="61"/>
      <c r="CZ160" s="61"/>
      <c r="DA160" s="61"/>
      <c r="DB160" s="61"/>
      <c r="DC160" s="61"/>
      <c r="DD160" s="61"/>
      <c r="DE160" s="61"/>
      <c r="DF160" s="61"/>
      <c r="DG160" s="61"/>
      <c r="DH160" s="61"/>
      <c r="DI160" s="61"/>
      <c r="DJ160" s="61"/>
      <c r="DK160" s="61"/>
      <c r="DL160" s="61"/>
      <c r="DM160" s="61"/>
      <c r="DN160" s="61"/>
      <c r="DO160" s="61"/>
      <c r="DP160" s="61"/>
      <c r="DQ160" s="61"/>
      <c r="DR160" s="61"/>
      <c r="DS160" s="61"/>
      <c r="DT160" s="61"/>
      <c r="DU160" s="61"/>
      <c r="DV160" s="61"/>
      <c r="DW160" s="61"/>
      <c r="DX160" s="61"/>
      <c r="DY160" s="61"/>
      <c r="DZ160" s="61"/>
      <c r="EA160" s="61"/>
      <c r="EB160" s="61"/>
      <c r="EC160" s="61"/>
      <c r="ED160" s="61"/>
      <c r="EE160" s="61"/>
      <c r="EF160" s="61"/>
      <c r="EG160" s="61"/>
      <c r="EH160" s="61"/>
      <c r="EI160" s="61"/>
      <c r="EJ160" s="61"/>
      <c r="EK160" s="61"/>
      <c r="EL160" s="61"/>
      <c r="EM160" s="61"/>
      <c r="EN160" s="61"/>
      <c r="EO160" s="61"/>
      <c r="EP160" s="61"/>
      <c r="EQ160" s="61"/>
      <c r="ER160" s="61"/>
      <c r="ES160" s="61"/>
      <c r="ET160" s="61"/>
      <c r="EU160" s="61"/>
      <c r="EV160" s="61"/>
      <c r="EW160" s="61"/>
    </row>
    <row r="161" spans="1:153">
      <c r="A161" s="56">
        <v>31472</v>
      </c>
      <c r="B161" s="57"/>
      <c r="C161" s="7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71"/>
      <c r="P161" s="60">
        <v>217.37899999999999</v>
      </c>
      <c r="Q161" s="61">
        <v>9.0960000000000001</v>
      </c>
      <c r="R161" s="61">
        <v>248.83699999999999</v>
      </c>
      <c r="S161" s="61">
        <v>558.53800000000001</v>
      </c>
      <c r="T161" s="61">
        <v>300.27999999999997</v>
      </c>
      <c r="U161" s="61">
        <v>9.4030000000000005</v>
      </c>
      <c r="V161" s="61">
        <v>1.0999999999999999E-2</v>
      </c>
      <c r="W161" s="61">
        <v>7.0000000000000001E-3</v>
      </c>
      <c r="X161" s="61">
        <v>217.37899999999999</v>
      </c>
      <c r="Y161" s="61">
        <v>22.361999999999998</v>
      </c>
      <c r="Z161" s="61">
        <v>9.0960000000000001</v>
      </c>
      <c r="AA161" s="61">
        <v>248.83699999999999</v>
      </c>
      <c r="AB161" s="60">
        <v>558.53800000000001</v>
      </c>
      <c r="AC161" s="62"/>
      <c r="AD161" s="61"/>
      <c r="AE161" s="61"/>
      <c r="AF161" s="61"/>
      <c r="AG161" s="61"/>
      <c r="AH161" s="61"/>
      <c r="AI161" s="61"/>
      <c r="AJ161" s="61"/>
      <c r="AK161" s="62"/>
      <c r="AL161" s="63"/>
      <c r="AM161" s="64"/>
      <c r="AN161" s="65" t="e">
        <v>#N/A</v>
      </c>
      <c r="AO161" s="61" t="e">
        <v>#N/A</v>
      </c>
      <c r="AP161" s="61" t="e">
        <v>#N/A</v>
      </c>
      <c r="AQ161" s="61" t="e">
        <v>#N/A</v>
      </c>
      <c r="AR161" s="61" t="e">
        <v>#N/A</v>
      </c>
      <c r="AS161" s="61" t="e">
        <v>#N/A</v>
      </c>
      <c r="AT161" s="61" t="e">
        <v>#N/A</v>
      </c>
      <c r="AU161" s="61" t="e">
        <v>#N/A</v>
      </c>
      <c r="AV161" s="61" t="e">
        <v>#N/A</v>
      </c>
      <c r="AW161" s="61" t="e">
        <v>#N/A</v>
      </c>
      <c r="AX161" s="65" t="e">
        <v>#N/A</v>
      </c>
      <c r="AY161" s="66" t="s">
        <v>121</v>
      </c>
      <c r="AZ161" s="61" t="s">
        <v>121</v>
      </c>
      <c r="BA161" s="61">
        <v>78.137</v>
      </c>
      <c r="BB161" s="61">
        <v>78.137</v>
      </c>
      <c r="BC161" s="61" t="s">
        <v>121</v>
      </c>
      <c r="BD161" s="61" t="s">
        <v>121</v>
      </c>
      <c r="BE161" s="61" t="s">
        <v>121</v>
      </c>
      <c r="BF161" s="61" t="s">
        <v>121</v>
      </c>
      <c r="BG161" s="61">
        <v>2.2930000000000001</v>
      </c>
      <c r="BH161" s="61" t="s">
        <v>121</v>
      </c>
      <c r="BI161" s="61">
        <v>3.9E-2</v>
      </c>
      <c r="BJ161" s="61">
        <v>2.3330000000000002</v>
      </c>
      <c r="BK161" s="66">
        <v>2.3330000000000002</v>
      </c>
      <c r="BL161" s="67">
        <v>4.8780000000000001</v>
      </c>
      <c r="BM161" s="61" t="s">
        <v>121</v>
      </c>
      <c r="BN161" s="61" t="s">
        <v>121</v>
      </c>
      <c r="BO161" s="61" t="s">
        <v>121</v>
      </c>
      <c r="BP161" s="61">
        <v>4.8780000000000001</v>
      </c>
      <c r="BQ161" s="61">
        <v>297.35000000000002</v>
      </c>
      <c r="BR161" s="61">
        <v>9.4030000000000005</v>
      </c>
      <c r="BS161" s="61">
        <v>1.0999999999999999E-2</v>
      </c>
      <c r="BT161" s="61">
        <v>7.0000000000000001E-3</v>
      </c>
      <c r="BU161" s="61">
        <v>0.20899999999999999</v>
      </c>
      <c r="BV161" s="61">
        <v>0.64500000000000002</v>
      </c>
      <c r="BW161" s="61">
        <v>0.85399999999999998</v>
      </c>
      <c r="BX161" s="67">
        <v>307.62400000000002</v>
      </c>
      <c r="BY161" s="68">
        <v>81897</v>
      </c>
      <c r="BZ161" s="68">
        <v>98216</v>
      </c>
      <c r="CA161" s="69">
        <v>6736</v>
      </c>
      <c r="CB161" s="68">
        <v>98811</v>
      </c>
      <c r="CC161" s="68">
        <v>4049</v>
      </c>
      <c r="CD161" s="61"/>
      <c r="CE161" s="64"/>
      <c r="CF161" s="64"/>
      <c r="CG161" s="70">
        <f t="shared" si="11"/>
        <v>4150.0619999999999</v>
      </c>
      <c r="CH161" s="70">
        <f t="shared" si="12"/>
        <v>282.91199999999998</v>
      </c>
      <c r="CI161" s="70">
        <f t="shared" si="13"/>
        <v>170.05799999999999</v>
      </c>
      <c r="CJ161" s="70">
        <f t="shared" si="15"/>
        <v>3439.674</v>
      </c>
      <c r="CK161" s="70">
        <f t="shared" si="15"/>
        <v>4125.0720000000001</v>
      </c>
      <c r="CL161" s="70">
        <f t="shared" si="14"/>
        <v>170.05799999999999</v>
      </c>
      <c r="CM161" s="61"/>
      <c r="CN161" s="61"/>
      <c r="CO161" s="61"/>
      <c r="CP161" s="61"/>
      <c r="CQ161" s="61"/>
      <c r="CR161" s="61"/>
      <c r="CS161" s="61"/>
      <c r="CT161" s="61"/>
      <c r="CU161" s="61"/>
      <c r="CV161" s="61"/>
      <c r="CW161" s="61"/>
      <c r="CX161" s="61"/>
      <c r="CY161" s="61"/>
      <c r="CZ161" s="61"/>
      <c r="DA161" s="61"/>
      <c r="DB161" s="61"/>
      <c r="DC161" s="61"/>
      <c r="DD161" s="61"/>
      <c r="DE161" s="61"/>
      <c r="DF161" s="61"/>
      <c r="DG161" s="61"/>
      <c r="DH161" s="61"/>
      <c r="DI161" s="61"/>
      <c r="DJ161" s="61"/>
      <c r="DK161" s="61"/>
      <c r="DL161" s="61"/>
      <c r="DM161" s="61"/>
      <c r="DN161" s="61"/>
      <c r="DO161" s="61"/>
      <c r="DP161" s="61"/>
      <c r="DQ161" s="61"/>
      <c r="DR161" s="61"/>
      <c r="DS161" s="61"/>
      <c r="DT161" s="61"/>
      <c r="DU161" s="61"/>
      <c r="DV161" s="61"/>
      <c r="DW161" s="61"/>
      <c r="DX161" s="61"/>
      <c r="DY161" s="61"/>
      <c r="DZ161" s="61"/>
      <c r="EA161" s="61"/>
      <c r="EB161" s="61"/>
      <c r="EC161" s="61"/>
      <c r="ED161" s="61"/>
      <c r="EE161" s="61"/>
      <c r="EF161" s="61"/>
      <c r="EG161" s="61"/>
      <c r="EH161" s="61"/>
      <c r="EI161" s="61"/>
      <c r="EJ161" s="61"/>
      <c r="EK161" s="61"/>
      <c r="EL161" s="61"/>
      <c r="EM161" s="61"/>
      <c r="EN161" s="61"/>
      <c r="EO161" s="61"/>
      <c r="EP161" s="61"/>
      <c r="EQ161" s="61"/>
      <c r="ER161" s="61"/>
      <c r="ES161" s="61"/>
      <c r="ET161" s="61"/>
      <c r="EU161" s="61"/>
      <c r="EV161" s="61"/>
      <c r="EW161" s="61"/>
    </row>
    <row r="162" spans="1:153">
      <c r="A162" s="56">
        <v>31503</v>
      </c>
      <c r="B162" s="57"/>
      <c r="C162" s="7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71"/>
      <c r="P162" s="60">
        <v>210.37200000000001</v>
      </c>
      <c r="Q162" s="61">
        <v>8.8030000000000008</v>
      </c>
      <c r="R162" s="61">
        <v>240.78800000000001</v>
      </c>
      <c r="S162" s="61">
        <v>539.89700000000005</v>
      </c>
      <c r="T162" s="61">
        <v>290.60899999999998</v>
      </c>
      <c r="U162" s="61">
        <v>8.4789999999999992</v>
      </c>
      <c r="V162" s="61">
        <v>1.4E-2</v>
      </c>
      <c r="W162" s="61">
        <v>6.0000000000000001E-3</v>
      </c>
      <c r="X162" s="61">
        <v>210.37200000000001</v>
      </c>
      <c r="Y162" s="61">
        <v>21.613</v>
      </c>
      <c r="Z162" s="61">
        <v>8.8030000000000008</v>
      </c>
      <c r="AA162" s="61">
        <v>240.78800000000001</v>
      </c>
      <c r="AB162" s="60">
        <v>539.89700000000005</v>
      </c>
      <c r="AC162" s="62"/>
      <c r="AD162" s="61"/>
      <c r="AE162" s="61"/>
      <c r="AF162" s="61"/>
      <c r="AG162" s="61"/>
      <c r="AH162" s="61"/>
      <c r="AI162" s="61"/>
      <c r="AJ162" s="61"/>
      <c r="AK162" s="62"/>
      <c r="AL162" s="63"/>
      <c r="AM162" s="64"/>
      <c r="AN162" s="65" t="e">
        <v>#N/A</v>
      </c>
      <c r="AO162" s="61" t="e">
        <v>#N/A</v>
      </c>
      <c r="AP162" s="61" t="e">
        <v>#N/A</v>
      </c>
      <c r="AQ162" s="61" t="e">
        <v>#N/A</v>
      </c>
      <c r="AR162" s="61" t="e">
        <v>#N/A</v>
      </c>
      <c r="AS162" s="61" t="e">
        <v>#N/A</v>
      </c>
      <c r="AT162" s="61" t="e">
        <v>#N/A</v>
      </c>
      <c r="AU162" s="61" t="e">
        <v>#N/A</v>
      </c>
      <c r="AV162" s="61" t="e">
        <v>#N/A</v>
      </c>
      <c r="AW162" s="61" t="e">
        <v>#N/A</v>
      </c>
      <c r="AX162" s="65" t="e">
        <v>#N/A</v>
      </c>
      <c r="AY162" s="66" t="s">
        <v>121</v>
      </c>
      <c r="AZ162" s="61" t="s">
        <v>121</v>
      </c>
      <c r="BA162" s="61">
        <v>75.616</v>
      </c>
      <c r="BB162" s="61">
        <v>75.616</v>
      </c>
      <c r="BC162" s="61" t="s">
        <v>121</v>
      </c>
      <c r="BD162" s="61" t="s">
        <v>121</v>
      </c>
      <c r="BE162" s="61" t="s">
        <v>121</v>
      </c>
      <c r="BF162" s="61" t="s">
        <v>121</v>
      </c>
      <c r="BG162" s="61">
        <v>2.2189999999999999</v>
      </c>
      <c r="BH162" s="61" t="s">
        <v>121</v>
      </c>
      <c r="BI162" s="61">
        <v>3.7999999999999999E-2</v>
      </c>
      <c r="BJ162" s="61">
        <v>2.2570000000000001</v>
      </c>
      <c r="BK162" s="66">
        <v>2.2570000000000001</v>
      </c>
      <c r="BL162" s="67">
        <v>4.7210000000000001</v>
      </c>
      <c r="BM162" s="61" t="s">
        <v>121</v>
      </c>
      <c r="BN162" s="61" t="s">
        <v>121</v>
      </c>
      <c r="BO162" s="61" t="s">
        <v>121</v>
      </c>
      <c r="BP162" s="61">
        <v>4.7210000000000001</v>
      </c>
      <c r="BQ162" s="61">
        <v>287.50900000000001</v>
      </c>
      <c r="BR162" s="61">
        <v>8.4789999999999992</v>
      </c>
      <c r="BS162" s="61">
        <v>1.4E-2</v>
      </c>
      <c r="BT162" s="61">
        <v>6.0000000000000001E-3</v>
      </c>
      <c r="BU162" s="61">
        <v>0.20799999999999999</v>
      </c>
      <c r="BV162" s="61">
        <v>0.59699999999999998</v>
      </c>
      <c r="BW162" s="61">
        <v>0.80500000000000005</v>
      </c>
      <c r="BX162" s="67">
        <v>296.81299999999999</v>
      </c>
      <c r="BY162" s="68">
        <v>83590</v>
      </c>
      <c r="BZ162" s="68">
        <v>87119</v>
      </c>
      <c r="CA162" s="69">
        <v>4417</v>
      </c>
      <c r="CB162" s="68">
        <v>95907</v>
      </c>
      <c r="CC162" s="68">
        <v>3836</v>
      </c>
      <c r="CD162" s="61"/>
      <c r="CE162" s="64"/>
      <c r="CF162" s="64"/>
      <c r="CG162" s="70">
        <f t="shared" si="11"/>
        <v>4028.0940000000001</v>
      </c>
      <c r="CH162" s="70">
        <f t="shared" si="12"/>
        <v>185.51400000000001</v>
      </c>
      <c r="CI162" s="70">
        <f t="shared" si="13"/>
        <v>161.11199999999999</v>
      </c>
      <c r="CJ162" s="70">
        <f t="shared" si="15"/>
        <v>3510.78</v>
      </c>
      <c r="CK162" s="70">
        <f t="shared" si="15"/>
        <v>3658.998</v>
      </c>
      <c r="CL162" s="70">
        <f t="shared" si="14"/>
        <v>161.11199999999999</v>
      </c>
      <c r="CM162" s="61"/>
      <c r="CN162" s="61"/>
      <c r="CO162" s="61"/>
      <c r="CP162" s="61"/>
      <c r="CQ162" s="61"/>
      <c r="CR162" s="61"/>
      <c r="CS162" s="61"/>
      <c r="CT162" s="61"/>
      <c r="CU162" s="61"/>
      <c r="CV162" s="61"/>
      <c r="CW162" s="61"/>
      <c r="CX162" s="61"/>
      <c r="CY162" s="61"/>
      <c r="CZ162" s="61"/>
      <c r="DA162" s="61"/>
      <c r="DB162" s="61"/>
      <c r="DC162" s="61"/>
      <c r="DD162" s="61"/>
      <c r="DE162" s="61"/>
      <c r="DF162" s="61"/>
      <c r="DG162" s="61"/>
      <c r="DH162" s="61"/>
      <c r="DI162" s="61"/>
      <c r="DJ162" s="61"/>
      <c r="DK162" s="61"/>
      <c r="DL162" s="61"/>
      <c r="DM162" s="61"/>
      <c r="DN162" s="61"/>
      <c r="DO162" s="61"/>
      <c r="DP162" s="61"/>
      <c r="DQ162" s="61"/>
      <c r="DR162" s="61"/>
      <c r="DS162" s="61"/>
      <c r="DT162" s="61"/>
      <c r="DU162" s="61"/>
      <c r="DV162" s="61"/>
      <c r="DW162" s="61"/>
      <c r="DX162" s="61"/>
      <c r="DY162" s="61"/>
      <c r="DZ162" s="61"/>
      <c r="EA162" s="61"/>
      <c r="EB162" s="61"/>
      <c r="EC162" s="61"/>
      <c r="ED162" s="61"/>
      <c r="EE162" s="61"/>
      <c r="EF162" s="61"/>
      <c r="EG162" s="61"/>
      <c r="EH162" s="61"/>
      <c r="EI162" s="61"/>
      <c r="EJ162" s="61"/>
      <c r="EK162" s="61"/>
      <c r="EL162" s="61"/>
      <c r="EM162" s="61"/>
      <c r="EN162" s="61"/>
      <c r="EO162" s="61"/>
      <c r="EP162" s="61"/>
      <c r="EQ162" s="61"/>
      <c r="ER162" s="61"/>
      <c r="ES162" s="61"/>
      <c r="ET162" s="61"/>
      <c r="EU162" s="61"/>
      <c r="EV162" s="61"/>
      <c r="EW162" s="61"/>
    </row>
    <row r="163" spans="1:153">
      <c r="A163" s="56">
        <v>31533</v>
      </c>
      <c r="B163" s="57"/>
      <c r="C163" s="7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71"/>
      <c r="P163" s="60">
        <v>217.42400000000001</v>
      </c>
      <c r="Q163" s="61">
        <v>9.0960000000000001</v>
      </c>
      <c r="R163" s="61">
        <v>248.822</v>
      </c>
      <c r="S163" s="61">
        <v>545.072</v>
      </c>
      <c r="T163" s="61">
        <v>287.65600000000001</v>
      </c>
      <c r="U163" s="61">
        <v>8.5679999999999996</v>
      </c>
      <c r="V163" s="61">
        <v>1.9E-2</v>
      </c>
      <c r="W163" s="61">
        <v>8.0000000000000002E-3</v>
      </c>
      <c r="X163" s="61">
        <v>217.42400000000001</v>
      </c>
      <c r="Y163" s="61">
        <v>22.302</v>
      </c>
      <c r="Z163" s="61">
        <v>9.0960000000000001</v>
      </c>
      <c r="AA163" s="61">
        <v>248.822</v>
      </c>
      <c r="AB163" s="60">
        <v>545.072</v>
      </c>
      <c r="AC163" s="62"/>
      <c r="AD163" s="61"/>
      <c r="AE163" s="61"/>
      <c r="AF163" s="61"/>
      <c r="AG163" s="61"/>
      <c r="AH163" s="61"/>
      <c r="AI163" s="61"/>
      <c r="AJ163" s="61"/>
      <c r="AK163" s="62"/>
      <c r="AL163" s="63"/>
      <c r="AM163" s="64"/>
      <c r="AN163" s="65" t="e">
        <v>#N/A</v>
      </c>
      <c r="AO163" s="61" t="e">
        <v>#N/A</v>
      </c>
      <c r="AP163" s="61" t="e">
        <v>#N/A</v>
      </c>
      <c r="AQ163" s="61" t="e">
        <v>#N/A</v>
      </c>
      <c r="AR163" s="61" t="e">
        <v>#N/A</v>
      </c>
      <c r="AS163" s="61" t="e">
        <v>#N/A</v>
      </c>
      <c r="AT163" s="61" t="e">
        <v>#N/A</v>
      </c>
      <c r="AU163" s="61" t="e">
        <v>#N/A</v>
      </c>
      <c r="AV163" s="61" t="e">
        <v>#N/A</v>
      </c>
      <c r="AW163" s="61" t="e">
        <v>#N/A</v>
      </c>
      <c r="AX163" s="65" t="e">
        <v>#N/A</v>
      </c>
      <c r="AY163" s="66" t="s">
        <v>121</v>
      </c>
      <c r="AZ163" s="61" t="s">
        <v>121</v>
      </c>
      <c r="BA163" s="61">
        <v>78.137</v>
      </c>
      <c r="BB163" s="61">
        <v>78.137</v>
      </c>
      <c r="BC163" s="61" t="s">
        <v>121</v>
      </c>
      <c r="BD163" s="61" t="s">
        <v>121</v>
      </c>
      <c r="BE163" s="61" t="s">
        <v>121</v>
      </c>
      <c r="BF163" s="61" t="s">
        <v>121</v>
      </c>
      <c r="BG163" s="61">
        <v>2.2930000000000001</v>
      </c>
      <c r="BH163" s="61" t="s">
        <v>121</v>
      </c>
      <c r="BI163" s="61">
        <v>3.9E-2</v>
      </c>
      <c r="BJ163" s="61">
        <v>2.3330000000000002</v>
      </c>
      <c r="BK163" s="66">
        <v>2.3330000000000002</v>
      </c>
      <c r="BL163" s="67">
        <v>4.8780000000000001</v>
      </c>
      <c r="BM163" s="61" t="s">
        <v>121</v>
      </c>
      <c r="BN163" s="61" t="s">
        <v>121</v>
      </c>
      <c r="BO163" s="61" t="s">
        <v>121</v>
      </c>
      <c r="BP163" s="61">
        <v>4.8780000000000001</v>
      </c>
      <c r="BQ163" s="61">
        <v>284.17899999999997</v>
      </c>
      <c r="BR163" s="61">
        <v>8.5679999999999996</v>
      </c>
      <c r="BS163" s="61">
        <v>1.9E-2</v>
      </c>
      <c r="BT163" s="61">
        <v>8.0000000000000002E-3</v>
      </c>
      <c r="BU163" s="61">
        <v>0.254</v>
      </c>
      <c r="BV163" s="61">
        <v>0.58499999999999996</v>
      </c>
      <c r="BW163" s="61">
        <v>0.83899999999999997</v>
      </c>
      <c r="BX163" s="67">
        <v>293.613</v>
      </c>
      <c r="BY163" s="68">
        <v>88565</v>
      </c>
      <c r="BZ163" s="68">
        <v>85637</v>
      </c>
      <c r="CA163" s="69">
        <v>4615</v>
      </c>
      <c r="CB163" s="68">
        <v>98857</v>
      </c>
      <c r="CC163" s="68">
        <v>4634</v>
      </c>
      <c r="CD163" s="61"/>
      <c r="CE163" s="64"/>
      <c r="CF163" s="64"/>
      <c r="CG163" s="70">
        <f t="shared" si="11"/>
        <v>4151.9939999999997</v>
      </c>
      <c r="CH163" s="70">
        <f t="shared" si="12"/>
        <v>193.83</v>
      </c>
      <c r="CI163" s="70">
        <f t="shared" si="13"/>
        <v>194.62799999999999</v>
      </c>
      <c r="CJ163" s="70">
        <f t="shared" si="15"/>
        <v>3719.73</v>
      </c>
      <c r="CK163" s="70">
        <f t="shared" si="15"/>
        <v>3596.7539999999999</v>
      </c>
      <c r="CL163" s="70">
        <f t="shared" si="14"/>
        <v>194.62799999999999</v>
      </c>
      <c r="CM163" s="61"/>
      <c r="CN163" s="61"/>
      <c r="CO163" s="61"/>
      <c r="CP163" s="61"/>
      <c r="CQ163" s="61"/>
      <c r="CR163" s="61"/>
      <c r="CS163" s="61"/>
      <c r="CT163" s="61"/>
      <c r="CU163" s="61"/>
      <c r="CV163" s="61"/>
      <c r="CW163" s="61"/>
      <c r="CX163" s="61"/>
      <c r="CY163" s="61"/>
      <c r="CZ163" s="61"/>
      <c r="DA163" s="61"/>
      <c r="DB163" s="61"/>
      <c r="DC163" s="61"/>
      <c r="DD163" s="61"/>
      <c r="DE163" s="61"/>
      <c r="DF163" s="61"/>
      <c r="DG163" s="61"/>
      <c r="DH163" s="61"/>
      <c r="DI163" s="61"/>
      <c r="DJ163" s="61"/>
      <c r="DK163" s="61"/>
      <c r="DL163" s="61"/>
      <c r="DM163" s="61"/>
      <c r="DN163" s="61"/>
      <c r="DO163" s="61"/>
      <c r="DP163" s="61"/>
      <c r="DQ163" s="61"/>
      <c r="DR163" s="61"/>
      <c r="DS163" s="61"/>
      <c r="DT163" s="61"/>
      <c r="DU163" s="61"/>
      <c r="DV163" s="61"/>
      <c r="DW163" s="61"/>
      <c r="DX163" s="61"/>
      <c r="DY163" s="61"/>
      <c r="DZ163" s="61"/>
      <c r="EA163" s="61"/>
      <c r="EB163" s="61"/>
      <c r="EC163" s="61"/>
      <c r="ED163" s="61"/>
      <c r="EE163" s="61"/>
      <c r="EF163" s="61"/>
      <c r="EG163" s="61"/>
      <c r="EH163" s="61"/>
      <c r="EI163" s="61"/>
      <c r="EJ163" s="61"/>
      <c r="EK163" s="61"/>
      <c r="EL163" s="61"/>
      <c r="EM163" s="61"/>
      <c r="EN163" s="61"/>
      <c r="EO163" s="61"/>
      <c r="EP163" s="61"/>
      <c r="EQ163" s="61"/>
      <c r="ER163" s="61"/>
      <c r="ES163" s="61"/>
      <c r="ET163" s="61"/>
      <c r="EU163" s="61"/>
      <c r="EV163" s="61"/>
      <c r="EW163" s="61"/>
    </row>
    <row r="164" spans="1:153">
      <c r="A164" s="56">
        <v>31564</v>
      </c>
      <c r="B164" s="57"/>
      <c r="C164" s="7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71"/>
      <c r="P164" s="60">
        <v>210.44399999999999</v>
      </c>
      <c r="Q164" s="61">
        <v>8.8030000000000008</v>
      </c>
      <c r="R164" s="61">
        <v>240.83699999999999</v>
      </c>
      <c r="S164" s="61">
        <v>527.41200000000003</v>
      </c>
      <c r="T164" s="61">
        <v>277.26</v>
      </c>
      <c r="U164" s="61">
        <v>9.2949999999999999</v>
      </c>
      <c r="V164" s="61">
        <v>1.4999999999999999E-2</v>
      </c>
      <c r="W164" s="61">
        <v>5.0000000000000001E-3</v>
      </c>
      <c r="X164" s="61">
        <v>210.44399999999999</v>
      </c>
      <c r="Y164" s="61">
        <v>21.591000000000001</v>
      </c>
      <c r="Z164" s="61">
        <v>8.8030000000000008</v>
      </c>
      <c r="AA164" s="61">
        <v>240.83699999999999</v>
      </c>
      <c r="AB164" s="60">
        <v>527.41200000000003</v>
      </c>
      <c r="AC164" s="62"/>
      <c r="AD164" s="61"/>
      <c r="AE164" s="61"/>
      <c r="AF164" s="61"/>
      <c r="AG164" s="61"/>
      <c r="AH164" s="61"/>
      <c r="AI164" s="61"/>
      <c r="AJ164" s="61"/>
      <c r="AK164" s="62"/>
      <c r="AL164" s="63"/>
      <c r="AM164" s="64"/>
      <c r="AN164" s="65" t="e">
        <v>#N/A</v>
      </c>
      <c r="AO164" s="61" t="e">
        <v>#N/A</v>
      </c>
      <c r="AP164" s="61" t="e">
        <v>#N/A</v>
      </c>
      <c r="AQ164" s="61" t="e">
        <v>#N/A</v>
      </c>
      <c r="AR164" s="61" t="e">
        <v>#N/A</v>
      </c>
      <c r="AS164" s="61" t="e">
        <v>#N/A</v>
      </c>
      <c r="AT164" s="61" t="e">
        <v>#N/A</v>
      </c>
      <c r="AU164" s="61" t="e">
        <v>#N/A</v>
      </c>
      <c r="AV164" s="61" t="e">
        <v>#N/A</v>
      </c>
      <c r="AW164" s="61" t="e">
        <v>#N/A</v>
      </c>
      <c r="AX164" s="65" t="e">
        <v>#N/A</v>
      </c>
      <c r="AY164" s="66" t="s">
        <v>121</v>
      </c>
      <c r="AZ164" s="61" t="s">
        <v>121</v>
      </c>
      <c r="BA164" s="61">
        <v>75.616</v>
      </c>
      <c r="BB164" s="61">
        <v>75.616</v>
      </c>
      <c r="BC164" s="61" t="s">
        <v>121</v>
      </c>
      <c r="BD164" s="61" t="s">
        <v>121</v>
      </c>
      <c r="BE164" s="61" t="s">
        <v>121</v>
      </c>
      <c r="BF164" s="61" t="s">
        <v>121</v>
      </c>
      <c r="BG164" s="61">
        <v>2.2189999999999999</v>
      </c>
      <c r="BH164" s="61" t="s">
        <v>121</v>
      </c>
      <c r="BI164" s="61">
        <v>3.7999999999999999E-2</v>
      </c>
      <c r="BJ164" s="61">
        <v>2.2570000000000001</v>
      </c>
      <c r="BK164" s="66">
        <v>2.2570000000000001</v>
      </c>
      <c r="BL164" s="67">
        <v>4.7210000000000001</v>
      </c>
      <c r="BM164" s="61" t="s">
        <v>121</v>
      </c>
      <c r="BN164" s="61" t="s">
        <v>121</v>
      </c>
      <c r="BO164" s="61" t="s">
        <v>121</v>
      </c>
      <c r="BP164" s="61">
        <v>4.7210000000000001</v>
      </c>
      <c r="BQ164" s="61">
        <v>273.92899999999997</v>
      </c>
      <c r="BR164" s="61">
        <v>9.2949999999999999</v>
      </c>
      <c r="BS164" s="61">
        <v>1.4999999999999999E-2</v>
      </c>
      <c r="BT164" s="61">
        <v>5.0000000000000001E-3</v>
      </c>
      <c r="BU164" s="61">
        <v>0.27900000000000003</v>
      </c>
      <c r="BV164" s="61">
        <v>0.57399999999999995</v>
      </c>
      <c r="BW164" s="61">
        <v>0.85299999999999998</v>
      </c>
      <c r="BX164" s="67">
        <v>284.09800000000001</v>
      </c>
      <c r="BY164" s="68">
        <v>81841</v>
      </c>
      <c r="BZ164" s="68">
        <v>76313</v>
      </c>
      <c r="CA164" s="69">
        <v>5057</v>
      </c>
      <c r="CB164" s="68">
        <v>107895</v>
      </c>
      <c r="CC164" s="68">
        <v>1587</v>
      </c>
      <c r="CD164" s="61"/>
      <c r="CE164" s="64"/>
      <c r="CF164" s="64"/>
      <c r="CG164" s="70">
        <f t="shared" si="11"/>
        <v>4531.59</v>
      </c>
      <c r="CH164" s="70">
        <f t="shared" si="12"/>
        <v>212.39400000000001</v>
      </c>
      <c r="CI164" s="70">
        <f t="shared" si="13"/>
        <v>66.653999999999996</v>
      </c>
      <c r="CJ164" s="70">
        <f t="shared" si="15"/>
        <v>3437.3220000000001</v>
      </c>
      <c r="CK164" s="70">
        <f t="shared" si="15"/>
        <v>3205.1460000000002</v>
      </c>
      <c r="CL164" s="70">
        <f t="shared" si="14"/>
        <v>66.653999999999996</v>
      </c>
      <c r="CM164" s="61"/>
      <c r="CN164" s="61"/>
      <c r="CO164" s="61"/>
      <c r="CP164" s="61"/>
      <c r="CQ164" s="61"/>
      <c r="CR164" s="61"/>
      <c r="CS164" s="61"/>
      <c r="CT164" s="61"/>
      <c r="CU164" s="61"/>
      <c r="CV164" s="61"/>
      <c r="CW164" s="61"/>
      <c r="CX164" s="61"/>
      <c r="CY164" s="61"/>
      <c r="CZ164" s="61"/>
      <c r="DA164" s="61"/>
      <c r="DB164" s="61"/>
      <c r="DC164" s="61"/>
      <c r="DD164" s="61"/>
      <c r="DE164" s="61"/>
      <c r="DF164" s="61"/>
      <c r="DG164" s="61"/>
      <c r="DH164" s="61"/>
      <c r="DI164" s="61"/>
      <c r="DJ164" s="61"/>
      <c r="DK164" s="61"/>
      <c r="DL164" s="61"/>
      <c r="DM164" s="61"/>
      <c r="DN164" s="61"/>
      <c r="DO164" s="61"/>
      <c r="DP164" s="61"/>
      <c r="DQ164" s="61"/>
      <c r="DR164" s="61"/>
      <c r="DS164" s="61"/>
      <c r="DT164" s="61"/>
      <c r="DU164" s="61"/>
      <c r="DV164" s="61"/>
      <c r="DW164" s="61"/>
      <c r="DX164" s="61"/>
      <c r="DY164" s="61"/>
      <c r="DZ164" s="61"/>
      <c r="EA164" s="61"/>
      <c r="EB164" s="61"/>
      <c r="EC164" s="61"/>
      <c r="ED164" s="61"/>
      <c r="EE164" s="61"/>
      <c r="EF164" s="61"/>
      <c r="EG164" s="61"/>
      <c r="EH164" s="61"/>
      <c r="EI164" s="61"/>
      <c r="EJ164" s="61"/>
      <c r="EK164" s="61"/>
      <c r="EL164" s="61"/>
      <c r="EM164" s="61"/>
      <c r="EN164" s="61"/>
      <c r="EO164" s="61"/>
      <c r="EP164" s="61"/>
      <c r="EQ164" s="61"/>
      <c r="ER164" s="61"/>
      <c r="ES164" s="61"/>
      <c r="ET164" s="61"/>
      <c r="EU164" s="61"/>
      <c r="EV164" s="61"/>
      <c r="EW164" s="61"/>
    </row>
    <row r="165" spans="1:153">
      <c r="A165" s="56">
        <v>31594</v>
      </c>
      <c r="B165" s="57"/>
      <c r="C165" s="7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71"/>
      <c r="P165" s="60">
        <v>217.59800000000001</v>
      </c>
      <c r="Q165" s="61">
        <v>9.0960000000000001</v>
      </c>
      <c r="R165" s="61">
        <v>249.011</v>
      </c>
      <c r="S165" s="61">
        <v>513.29200000000003</v>
      </c>
      <c r="T165" s="61">
        <v>254.39599999999999</v>
      </c>
      <c r="U165" s="61">
        <v>9.8620000000000001</v>
      </c>
      <c r="V165" s="61">
        <v>1.7000000000000001E-2</v>
      </c>
      <c r="W165" s="61">
        <v>5.0000000000000001E-3</v>
      </c>
      <c r="X165" s="61">
        <v>217.59800000000001</v>
      </c>
      <c r="Y165" s="61">
        <v>22.317</v>
      </c>
      <c r="Z165" s="61">
        <v>9.0960000000000001</v>
      </c>
      <c r="AA165" s="61">
        <v>249.011</v>
      </c>
      <c r="AB165" s="60">
        <v>513.29200000000003</v>
      </c>
      <c r="AC165" s="62"/>
      <c r="AD165" s="61"/>
      <c r="AE165" s="61"/>
      <c r="AF165" s="61"/>
      <c r="AG165" s="61"/>
      <c r="AH165" s="61"/>
      <c r="AI165" s="61"/>
      <c r="AJ165" s="61"/>
      <c r="AK165" s="62"/>
      <c r="AL165" s="63"/>
      <c r="AM165" s="64"/>
      <c r="AN165" s="65" t="e">
        <v>#N/A</v>
      </c>
      <c r="AO165" s="61" t="e">
        <v>#N/A</v>
      </c>
      <c r="AP165" s="61" t="e">
        <v>#N/A</v>
      </c>
      <c r="AQ165" s="61" t="e">
        <v>#N/A</v>
      </c>
      <c r="AR165" s="61" t="e">
        <v>#N/A</v>
      </c>
      <c r="AS165" s="61" t="e">
        <v>#N/A</v>
      </c>
      <c r="AT165" s="61" t="e">
        <v>#N/A</v>
      </c>
      <c r="AU165" s="61" t="e">
        <v>#N/A</v>
      </c>
      <c r="AV165" s="61" t="e">
        <v>#N/A</v>
      </c>
      <c r="AW165" s="61" t="e">
        <v>#N/A</v>
      </c>
      <c r="AX165" s="65" t="e">
        <v>#N/A</v>
      </c>
      <c r="AY165" s="66" t="s">
        <v>121</v>
      </c>
      <c r="AZ165" s="61" t="s">
        <v>121</v>
      </c>
      <c r="BA165" s="61">
        <v>78.137</v>
      </c>
      <c r="BB165" s="61">
        <v>78.137</v>
      </c>
      <c r="BC165" s="61" t="s">
        <v>121</v>
      </c>
      <c r="BD165" s="61" t="s">
        <v>121</v>
      </c>
      <c r="BE165" s="61" t="s">
        <v>121</v>
      </c>
      <c r="BF165" s="61" t="s">
        <v>121</v>
      </c>
      <c r="BG165" s="61">
        <v>2.2930000000000001</v>
      </c>
      <c r="BH165" s="61" t="s">
        <v>121</v>
      </c>
      <c r="BI165" s="61">
        <v>3.9E-2</v>
      </c>
      <c r="BJ165" s="61">
        <v>2.3330000000000002</v>
      </c>
      <c r="BK165" s="66">
        <v>2.3330000000000002</v>
      </c>
      <c r="BL165" s="67">
        <v>4.8780000000000001</v>
      </c>
      <c r="BM165" s="61" t="s">
        <v>121</v>
      </c>
      <c r="BN165" s="61" t="s">
        <v>121</v>
      </c>
      <c r="BO165" s="61" t="s">
        <v>121</v>
      </c>
      <c r="BP165" s="61">
        <v>4.8780000000000001</v>
      </c>
      <c r="BQ165" s="61">
        <v>251.45599999999999</v>
      </c>
      <c r="BR165" s="61">
        <v>9.8620000000000001</v>
      </c>
      <c r="BS165" s="61">
        <v>1.7000000000000001E-2</v>
      </c>
      <c r="BT165" s="61">
        <v>5.0000000000000001E-3</v>
      </c>
      <c r="BU165" s="61">
        <v>0.42799999999999999</v>
      </c>
      <c r="BV165" s="61">
        <v>0.6</v>
      </c>
      <c r="BW165" s="61">
        <v>1.028</v>
      </c>
      <c r="BX165" s="67">
        <v>262.36900000000003</v>
      </c>
      <c r="BY165" s="68">
        <v>83978</v>
      </c>
      <c r="BZ165" s="68">
        <v>80364</v>
      </c>
      <c r="CA165" s="69">
        <v>9692</v>
      </c>
      <c r="CB165" s="68">
        <v>118905</v>
      </c>
      <c r="CC165" s="68">
        <v>2337</v>
      </c>
      <c r="CD165" s="61"/>
      <c r="CE165" s="64"/>
      <c r="CF165" s="64"/>
      <c r="CG165" s="70">
        <f t="shared" si="11"/>
        <v>4994.01</v>
      </c>
      <c r="CH165" s="70">
        <f t="shared" si="12"/>
        <v>407.06400000000002</v>
      </c>
      <c r="CI165" s="70">
        <f t="shared" si="13"/>
        <v>98.153999999999996</v>
      </c>
      <c r="CJ165" s="70">
        <f t="shared" si="15"/>
        <v>3527.076</v>
      </c>
      <c r="CK165" s="70">
        <f t="shared" si="15"/>
        <v>3375.288</v>
      </c>
      <c r="CL165" s="70">
        <f t="shared" si="14"/>
        <v>98.153999999999996</v>
      </c>
      <c r="CM165" s="61"/>
      <c r="CN165" s="61"/>
      <c r="CO165" s="61"/>
      <c r="CP165" s="61"/>
      <c r="CQ165" s="61"/>
      <c r="CR165" s="61"/>
      <c r="CS165" s="61"/>
      <c r="CT165" s="61"/>
      <c r="CU165" s="61"/>
      <c r="CV165" s="61"/>
      <c r="CW165" s="61"/>
      <c r="CX165" s="61"/>
      <c r="CY165" s="61"/>
      <c r="CZ165" s="61"/>
      <c r="DA165" s="61"/>
      <c r="DB165" s="61"/>
      <c r="DC165" s="61"/>
      <c r="DD165" s="61"/>
      <c r="DE165" s="61"/>
      <c r="DF165" s="61"/>
      <c r="DG165" s="61"/>
      <c r="DH165" s="61"/>
      <c r="DI165" s="61"/>
      <c r="DJ165" s="61"/>
      <c r="DK165" s="61"/>
      <c r="DL165" s="61"/>
      <c r="DM165" s="61"/>
      <c r="DN165" s="61"/>
      <c r="DO165" s="61"/>
      <c r="DP165" s="61"/>
      <c r="DQ165" s="61"/>
      <c r="DR165" s="61"/>
      <c r="DS165" s="61"/>
      <c r="DT165" s="61"/>
      <c r="DU165" s="61"/>
      <c r="DV165" s="61"/>
      <c r="DW165" s="61"/>
      <c r="DX165" s="61"/>
      <c r="DY165" s="61"/>
      <c r="DZ165" s="61"/>
      <c r="EA165" s="61"/>
      <c r="EB165" s="61"/>
      <c r="EC165" s="61"/>
      <c r="ED165" s="61"/>
      <c r="EE165" s="61"/>
      <c r="EF165" s="61"/>
      <c r="EG165" s="61"/>
      <c r="EH165" s="61"/>
      <c r="EI165" s="61"/>
      <c r="EJ165" s="61"/>
      <c r="EK165" s="61"/>
      <c r="EL165" s="61"/>
      <c r="EM165" s="61"/>
      <c r="EN165" s="61"/>
      <c r="EO165" s="61"/>
      <c r="EP165" s="61"/>
      <c r="EQ165" s="61"/>
      <c r="ER165" s="61"/>
      <c r="ES165" s="61"/>
      <c r="ET165" s="61"/>
      <c r="EU165" s="61"/>
      <c r="EV165" s="61"/>
      <c r="EW165" s="61"/>
    </row>
    <row r="166" spans="1:153">
      <c r="A166" s="56">
        <v>31625</v>
      </c>
      <c r="B166" s="57"/>
      <c r="C166" s="7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71"/>
      <c r="P166" s="60">
        <v>217.76</v>
      </c>
      <c r="Q166" s="61">
        <v>9.0960000000000001</v>
      </c>
      <c r="R166" s="61">
        <v>249.17599999999999</v>
      </c>
      <c r="S166" s="61">
        <v>482.84699999999998</v>
      </c>
      <c r="T166" s="61">
        <v>223.81</v>
      </c>
      <c r="U166" s="61">
        <v>9.8390000000000004</v>
      </c>
      <c r="V166" s="61">
        <v>1.7000000000000001E-2</v>
      </c>
      <c r="W166" s="61">
        <v>5.0000000000000001E-3</v>
      </c>
      <c r="X166" s="61">
        <v>217.76</v>
      </c>
      <c r="Y166" s="61">
        <v>22.32</v>
      </c>
      <c r="Z166" s="61">
        <v>9.0960000000000001</v>
      </c>
      <c r="AA166" s="61">
        <v>249.17599999999999</v>
      </c>
      <c r="AB166" s="60">
        <v>482.84699999999998</v>
      </c>
      <c r="AC166" s="62"/>
      <c r="AD166" s="61"/>
      <c r="AE166" s="61"/>
      <c r="AF166" s="61"/>
      <c r="AG166" s="61"/>
      <c r="AH166" s="61"/>
      <c r="AI166" s="61"/>
      <c r="AJ166" s="61"/>
      <c r="AK166" s="62"/>
      <c r="AL166" s="63"/>
      <c r="AM166" s="64"/>
      <c r="AN166" s="65" t="e">
        <v>#N/A</v>
      </c>
      <c r="AO166" s="61" t="e">
        <v>#N/A</v>
      </c>
      <c r="AP166" s="61" t="e">
        <v>#N/A</v>
      </c>
      <c r="AQ166" s="61" t="e">
        <v>#N/A</v>
      </c>
      <c r="AR166" s="61" t="e">
        <v>#N/A</v>
      </c>
      <c r="AS166" s="61" t="e">
        <v>#N/A</v>
      </c>
      <c r="AT166" s="61" t="e">
        <v>#N/A</v>
      </c>
      <c r="AU166" s="61" t="e">
        <v>#N/A</v>
      </c>
      <c r="AV166" s="61" t="e">
        <v>#N/A</v>
      </c>
      <c r="AW166" s="61" t="e">
        <v>#N/A</v>
      </c>
      <c r="AX166" s="65" t="e">
        <v>#N/A</v>
      </c>
      <c r="AY166" s="66" t="s">
        <v>121</v>
      </c>
      <c r="AZ166" s="61" t="s">
        <v>121</v>
      </c>
      <c r="BA166" s="61">
        <v>78.137</v>
      </c>
      <c r="BB166" s="61">
        <v>78.137</v>
      </c>
      <c r="BC166" s="61" t="s">
        <v>121</v>
      </c>
      <c r="BD166" s="61" t="s">
        <v>121</v>
      </c>
      <c r="BE166" s="61" t="s">
        <v>121</v>
      </c>
      <c r="BF166" s="61" t="s">
        <v>121</v>
      </c>
      <c r="BG166" s="61">
        <v>2.2930000000000001</v>
      </c>
      <c r="BH166" s="61" t="s">
        <v>121</v>
      </c>
      <c r="BI166" s="61">
        <v>3.9E-2</v>
      </c>
      <c r="BJ166" s="61">
        <v>2.3330000000000002</v>
      </c>
      <c r="BK166" s="66">
        <v>2.3330000000000002</v>
      </c>
      <c r="BL166" s="67">
        <v>4.8780000000000001</v>
      </c>
      <c r="BM166" s="61" t="s">
        <v>121</v>
      </c>
      <c r="BN166" s="61" t="s">
        <v>121</v>
      </c>
      <c r="BO166" s="61" t="s">
        <v>121</v>
      </c>
      <c r="BP166" s="61">
        <v>4.8780000000000001</v>
      </c>
      <c r="BQ166" s="61">
        <v>221.34399999999999</v>
      </c>
      <c r="BR166" s="61">
        <v>9.8390000000000004</v>
      </c>
      <c r="BS166" s="61">
        <v>1.7000000000000001E-2</v>
      </c>
      <c r="BT166" s="61">
        <v>5.0000000000000001E-3</v>
      </c>
      <c r="BU166" s="61">
        <v>0.59</v>
      </c>
      <c r="BV166" s="61">
        <v>0.60299999999999998</v>
      </c>
      <c r="BW166" s="61">
        <v>1.1930000000000001</v>
      </c>
      <c r="BX166" s="67">
        <v>232.398</v>
      </c>
      <c r="BY166" s="68">
        <v>90557</v>
      </c>
      <c r="BZ166" s="68">
        <v>81246</v>
      </c>
      <c r="CA166" s="69">
        <v>11474</v>
      </c>
      <c r="CB166" s="68">
        <v>137737</v>
      </c>
      <c r="CC166" s="68">
        <v>1989</v>
      </c>
      <c r="CD166" s="61"/>
      <c r="CE166" s="64"/>
      <c r="CF166" s="64"/>
      <c r="CG166" s="70">
        <f t="shared" si="11"/>
        <v>5784.9539999999997</v>
      </c>
      <c r="CH166" s="70">
        <f t="shared" si="12"/>
        <v>481.90800000000002</v>
      </c>
      <c r="CI166" s="70">
        <f t="shared" si="13"/>
        <v>83.537999999999997</v>
      </c>
      <c r="CJ166" s="70">
        <f t="shared" si="15"/>
        <v>3803.3939999999998</v>
      </c>
      <c r="CK166" s="70">
        <f t="shared" si="15"/>
        <v>3412.3319999999999</v>
      </c>
      <c r="CL166" s="70">
        <f t="shared" si="14"/>
        <v>83.537999999999997</v>
      </c>
      <c r="CM166" s="61"/>
      <c r="CN166" s="61"/>
      <c r="CO166" s="61"/>
      <c r="CP166" s="61"/>
      <c r="CQ166" s="61"/>
      <c r="CR166" s="61"/>
      <c r="CS166" s="61"/>
      <c r="CT166" s="61"/>
      <c r="CU166" s="61"/>
      <c r="CV166" s="61"/>
      <c r="CW166" s="61"/>
      <c r="CX166" s="61"/>
      <c r="CY166" s="61"/>
      <c r="CZ166" s="61"/>
      <c r="DA166" s="61"/>
      <c r="DB166" s="61"/>
      <c r="DC166" s="61"/>
      <c r="DD166" s="61"/>
      <c r="DE166" s="61"/>
      <c r="DF166" s="61"/>
      <c r="DG166" s="61"/>
      <c r="DH166" s="61"/>
      <c r="DI166" s="61"/>
      <c r="DJ166" s="61"/>
      <c r="DK166" s="61"/>
      <c r="DL166" s="61"/>
      <c r="DM166" s="61"/>
      <c r="DN166" s="61"/>
      <c r="DO166" s="61"/>
      <c r="DP166" s="61"/>
      <c r="DQ166" s="61"/>
      <c r="DR166" s="61"/>
      <c r="DS166" s="61"/>
      <c r="DT166" s="61"/>
      <c r="DU166" s="61"/>
      <c r="DV166" s="61"/>
      <c r="DW166" s="61"/>
      <c r="DX166" s="61"/>
      <c r="DY166" s="61"/>
      <c r="DZ166" s="61"/>
      <c r="EA166" s="61"/>
      <c r="EB166" s="61"/>
      <c r="EC166" s="61"/>
      <c r="ED166" s="61"/>
      <c r="EE166" s="61"/>
      <c r="EF166" s="61"/>
      <c r="EG166" s="61"/>
      <c r="EH166" s="61"/>
      <c r="EI166" s="61"/>
      <c r="EJ166" s="61"/>
      <c r="EK166" s="61"/>
      <c r="EL166" s="61"/>
      <c r="EM166" s="61"/>
      <c r="EN166" s="61"/>
      <c r="EO166" s="61"/>
      <c r="EP166" s="61"/>
      <c r="EQ166" s="61"/>
      <c r="ER166" s="61"/>
      <c r="ES166" s="61"/>
      <c r="ET166" s="61"/>
      <c r="EU166" s="61"/>
      <c r="EV166" s="61"/>
      <c r="EW166" s="61"/>
    </row>
    <row r="167" spans="1:153">
      <c r="A167" s="56">
        <v>31656</v>
      </c>
      <c r="B167" s="57"/>
      <c r="C167" s="7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71"/>
      <c r="P167" s="60">
        <v>210.69900000000001</v>
      </c>
      <c r="Q167" s="61">
        <v>8.8030000000000008</v>
      </c>
      <c r="R167" s="61">
        <v>241.07400000000001</v>
      </c>
      <c r="S167" s="61">
        <v>472.11399999999998</v>
      </c>
      <c r="T167" s="61">
        <v>222.779</v>
      </c>
      <c r="U167" s="61">
        <v>8.2449999999999992</v>
      </c>
      <c r="V167" s="61">
        <v>1.4999999999999999E-2</v>
      </c>
      <c r="W167" s="61">
        <v>1E-3</v>
      </c>
      <c r="X167" s="61">
        <v>210.69900000000001</v>
      </c>
      <c r="Y167" s="61">
        <v>21.571999999999999</v>
      </c>
      <c r="Z167" s="61">
        <v>8.8030000000000008</v>
      </c>
      <c r="AA167" s="61">
        <v>241.07400000000001</v>
      </c>
      <c r="AB167" s="60">
        <v>472.11399999999998</v>
      </c>
      <c r="AC167" s="62"/>
      <c r="AD167" s="61"/>
      <c r="AE167" s="61"/>
      <c r="AF167" s="61"/>
      <c r="AG167" s="61"/>
      <c r="AH167" s="61"/>
      <c r="AI167" s="61"/>
      <c r="AJ167" s="61"/>
      <c r="AK167" s="62"/>
      <c r="AL167" s="63"/>
      <c r="AM167" s="64"/>
      <c r="AN167" s="65" t="e">
        <v>#N/A</v>
      </c>
      <c r="AO167" s="61" t="e">
        <v>#N/A</v>
      </c>
      <c r="AP167" s="61" t="e">
        <v>#N/A</v>
      </c>
      <c r="AQ167" s="61" t="e">
        <v>#N/A</v>
      </c>
      <c r="AR167" s="61" t="e">
        <v>#N/A</v>
      </c>
      <c r="AS167" s="61" t="e">
        <v>#N/A</v>
      </c>
      <c r="AT167" s="61" t="e">
        <v>#N/A</v>
      </c>
      <c r="AU167" s="61" t="e">
        <v>#N/A</v>
      </c>
      <c r="AV167" s="61" t="e">
        <v>#N/A</v>
      </c>
      <c r="AW167" s="61" t="e">
        <v>#N/A</v>
      </c>
      <c r="AX167" s="65" t="e">
        <v>#N/A</v>
      </c>
      <c r="AY167" s="66" t="s">
        <v>121</v>
      </c>
      <c r="AZ167" s="61" t="s">
        <v>121</v>
      </c>
      <c r="BA167" s="61">
        <v>75.616</v>
      </c>
      <c r="BB167" s="61">
        <v>75.616</v>
      </c>
      <c r="BC167" s="61" t="s">
        <v>121</v>
      </c>
      <c r="BD167" s="61" t="s">
        <v>121</v>
      </c>
      <c r="BE167" s="61" t="s">
        <v>121</v>
      </c>
      <c r="BF167" s="61" t="s">
        <v>121</v>
      </c>
      <c r="BG167" s="61">
        <v>2.2189999999999999</v>
      </c>
      <c r="BH167" s="61" t="s">
        <v>121</v>
      </c>
      <c r="BI167" s="61">
        <v>3.7999999999999999E-2</v>
      </c>
      <c r="BJ167" s="61">
        <v>2.2570000000000001</v>
      </c>
      <c r="BK167" s="66">
        <v>2.2570000000000001</v>
      </c>
      <c r="BL167" s="67">
        <v>4.7210000000000001</v>
      </c>
      <c r="BM167" s="61" t="s">
        <v>121</v>
      </c>
      <c r="BN167" s="61" t="s">
        <v>121</v>
      </c>
      <c r="BO167" s="61" t="s">
        <v>121</v>
      </c>
      <c r="BP167" s="61">
        <v>4.7210000000000001</v>
      </c>
      <c r="BQ167" s="61">
        <v>220.55199999999999</v>
      </c>
      <c r="BR167" s="61">
        <v>8.2449999999999992</v>
      </c>
      <c r="BS167" s="61">
        <v>1.4999999999999999E-2</v>
      </c>
      <c r="BT167" s="61">
        <v>1E-3</v>
      </c>
      <c r="BU167" s="61">
        <v>0.53500000000000003</v>
      </c>
      <c r="BV167" s="61">
        <v>0.55500000000000005</v>
      </c>
      <c r="BW167" s="61">
        <v>1.0900000000000001</v>
      </c>
      <c r="BX167" s="67">
        <v>229.90299999999999</v>
      </c>
      <c r="BY167" s="68">
        <v>85922</v>
      </c>
      <c r="BZ167" s="68">
        <v>76205</v>
      </c>
      <c r="CA167" s="69">
        <v>7850</v>
      </c>
      <c r="CB167" s="68">
        <v>152403</v>
      </c>
      <c r="CC167" s="68">
        <v>2940</v>
      </c>
      <c r="CD167" s="61"/>
      <c r="CE167" s="64"/>
      <c r="CF167" s="64"/>
      <c r="CG167" s="70">
        <f t="shared" si="11"/>
        <v>6400.9260000000004</v>
      </c>
      <c r="CH167" s="70">
        <f t="shared" si="12"/>
        <v>329.7</v>
      </c>
      <c r="CI167" s="70">
        <f t="shared" si="13"/>
        <v>123.48</v>
      </c>
      <c r="CJ167" s="70">
        <f t="shared" si="15"/>
        <v>3608.7240000000002</v>
      </c>
      <c r="CK167" s="70">
        <f t="shared" si="15"/>
        <v>3200.61</v>
      </c>
      <c r="CL167" s="70">
        <f t="shared" si="14"/>
        <v>123.48</v>
      </c>
      <c r="CM167" s="61"/>
      <c r="CN167" s="61"/>
      <c r="CO167" s="61"/>
      <c r="CP167" s="61"/>
      <c r="CQ167" s="61"/>
      <c r="CR167" s="61"/>
      <c r="CS167" s="61"/>
      <c r="CT167" s="61"/>
      <c r="CU167" s="61"/>
      <c r="CV167" s="61"/>
      <c r="CW167" s="61"/>
      <c r="CX167" s="61"/>
      <c r="CY167" s="61"/>
      <c r="CZ167" s="61"/>
      <c r="DA167" s="61"/>
      <c r="DB167" s="61"/>
      <c r="DC167" s="61"/>
      <c r="DD167" s="61"/>
      <c r="DE167" s="61"/>
      <c r="DF167" s="61"/>
      <c r="DG167" s="61"/>
      <c r="DH167" s="61"/>
      <c r="DI167" s="61"/>
      <c r="DJ167" s="61"/>
      <c r="DK167" s="61"/>
      <c r="DL167" s="61"/>
      <c r="DM167" s="61"/>
      <c r="DN167" s="61"/>
      <c r="DO167" s="61"/>
      <c r="DP167" s="61"/>
      <c r="DQ167" s="61"/>
      <c r="DR167" s="61"/>
      <c r="DS167" s="61"/>
      <c r="DT167" s="61"/>
      <c r="DU167" s="61"/>
      <c r="DV167" s="61"/>
      <c r="DW167" s="61"/>
      <c r="DX167" s="61"/>
      <c r="DY167" s="61"/>
      <c r="DZ167" s="61"/>
      <c r="EA167" s="61"/>
      <c r="EB167" s="61"/>
      <c r="EC167" s="61"/>
      <c r="ED167" s="61"/>
      <c r="EE167" s="61"/>
      <c r="EF167" s="61"/>
      <c r="EG167" s="61"/>
      <c r="EH167" s="61"/>
      <c r="EI167" s="61"/>
      <c r="EJ167" s="61"/>
      <c r="EK167" s="61"/>
      <c r="EL167" s="61"/>
      <c r="EM167" s="61"/>
      <c r="EN167" s="61"/>
      <c r="EO167" s="61"/>
      <c r="EP167" s="61"/>
      <c r="EQ167" s="61"/>
      <c r="ER167" s="61"/>
      <c r="ES167" s="61"/>
      <c r="ET167" s="61"/>
      <c r="EU167" s="61"/>
      <c r="EV167" s="61"/>
      <c r="EW167" s="61"/>
    </row>
    <row r="168" spans="1:153">
      <c r="A168" s="56">
        <v>31686</v>
      </c>
      <c r="B168" s="57"/>
      <c r="C168" s="7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71"/>
      <c r="P168" s="60">
        <v>217.57400000000001</v>
      </c>
      <c r="Q168" s="61">
        <v>9.0960000000000001</v>
      </c>
      <c r="R168" s="61">
        <v>248.97399999999999</v>
      </c>
      <c r="S168" s="61">
        <v>482.113</v>
      </c>
      <c r="T168" s="61">
        <v>225.018</v>
      </c>
      <c r="U168" s="61">
        <v>8.1050000000000004</v>
      </c>
      <c r="V168" s="61">
        <v>1.2999999999999999E-2</v>
      </c>
      <c r="W168" s="61">
        <v>2E-3</v>
      </c>
      <c r="X168" s="61">
        <v>217.57400000000001</v>
      </c>
      <c r="Y168" s="61">
        <v>22.303999999999998</v>
      </c>
      <c r="Z168" s="61">
        <v>9.0960000000000001</v>
      </c>
      <c r="AA168" s="61">
        <v>248.97399999999999</v>
      </c>
      <c r="AB168" s="60">
        <v>482.113</v>
      </c>
      <c r="AC168" s="62"/>
      <c r="AD168" s="61"/>
      <c r="AE168" s="61"/>
      <c r="AF168" s="61"/>
      <c r="AG168" s="61"/>
      <c r="AH168" s="61"/>
      <c r="AI168" s="61"/>
      <c r="AJ168" s="61"/>
      <c r="AK168" s="62"/>
      <c r="AL168" s="63"/>
      <c r="AM168" s="64"/>
      <c r="AN168" s="65" t="e">
        <v>#N/A</v>
      </c>
      <c r="AO168" s="61" t="e">
        <v>#N/A</v>
      </c>
      <c r="AP168" s="61" t="e">
        <v>#N/A</v>
      </c>
      <c r="AQ168" s="61" t="e">
        <v>#N/A</v>
      </c>
      <c r="AR168" s="61" t="e">
        <v>#N/A</v>
      </c>
      <c r="AS168" s="61" t="e">
        <v>#N/A</v>
      </c>
      <c r="AT168" s="61" t="e">
        <v>#N/A</v>
      </c>
      <c r="AU168" s="61" t="e">
        <v>#N/A</v>
      </c>
      <c r="AV168" s="61" t="e">
        <v>#N/A</v>
      </c>
      <c r="AW168" s="61" t="e">
        <v>#N/A</v>
      </c>
      <c r="AX168" s="65" t="e">
        <v>#N/A</v>
      </c>
      <c r="AY168" s="66" t="s">
        <v>121</v>
      </c>
      <c r="AZ168" s="61" t="s">
        <v>121</v>
      </c>
      <c r="BA168" s="61">
        <v>78.137</v>
      </c>
      <c r="BB168" s="61">
        <v>78.137</v>
      </c>
      <c r="BC168" s="61" t="s">
        <v>121</v>
      </c>
      <c r="BD168" s="61" t="s">
        <v>121</v>
      </c>
      <c r="BE168" s="61" t="s">
        <v>121</v>
      </c>
      <c r="BF168" s="61" t="s">
        <v>121</v>
      </c>
      <c r="BG168" s="61">
        <v>2.2930000000000001</v>
      </c>
      <c r="BH168" s="61" t="s">
        <v>121</v>
      </c>
      <c r="BI168" s="61">
        <v>3.9E-2</v>
      </c>
      <c r="BJ168" s="61">
        <v>2.3330000000000002</v>
      </c>
      <c r="BK168" s="66">
        <v>2.3330000000000002</v>
      </c>
      <c r="BL168" s="67">
        <v>4.8780000000000001</v>
      </c>
      <c r="BM168" s="61" t="s">
        <v>121</v>
      </c>
      <c r="BN168" s="61" t="s">
        <v>121</v>
      </c>
      <c r="BO168" s="61" t="s">
        <v>121</v>
      </c>
      <c r="BP168" s="61">
        <v>4.8780000000000001</v>
      </c>
      <c r="BQ168" s="61">
        <v>222.86600000000001</v>
      </c>
      <c r="BR168" s="61">
        <v>8.1050000000000004</v>
      </c>
      <c r="BS168" s="61">
        <v>1.2999999999999999E-2</v>
      </c>
      <c r="BT168" s="61">
        <v>2E-3</v>
      </c>
      <c r="BU168" s="61">
        <v>0.40400000000000003</v>
      </c>
      <c r="BV168" s="61">
        <v>0.58699999999999997</v>
      </c>
      <c r="BW168" s="61">
        <v>0.99099999999999999</v>
      </c>
      <c r="BX168" s="67">
        <v>231.97900000000001</v>
      </c>
      <c r="BY168" s="68">
        <v>84199</v>
      </c>
      <c r="BZ168" s="68">
        <v>90271</v>
      </c>
      <c r="CA168" s="69">
        <v>7534</v>
      </c>
      <c r="CB168" s="68">
        <v>151617</v>
      </c>
      <c r="CC168" s="68">
        <v>2285</v>
      </c>
      <c r="CD168" s="61"/>
      <c r="CE168" s="64"/>
      <c r="CF168" s="64"/>
      <c r="CG168" s="70">
        <f t="shared" si="11"/>
        <v>6367.9139999999998</v>
      </c>
      <c r="CH168" s="70">
        <f t="shared" si="12"/>
        <v>316.428</v>
      </c>
      <c r="CI168" s="70">
        <f t="shared" si="13"/>
        <v>95.97</v>
      </c>
      <c r="CJ168" s="70">
        <f t="shared" si="15"/>
        <v>3536.3580000000002</v>
      </c>
      <c r="CK168" s="70">
        <f t="shared" si="15"/>
        <v>3791.3820000000001</v>
      </c>
      <c r="CL168" s="70">
        <f t="shared" si="14"/>
        <v>95.97</v>
      </c>
      <c r="CM168" s="61"/>
      <c r="CN168" s="61"/>
      <c r="CO168" s="61"/>
      <c r="CP168" s="61"/>
      <c r="CQ168" s="61"/>
      <c r="CR168" s="61"/>
      <c r="CS168" s="61"/>
      <c r="CT168" s="61"/>
      <c r="CU168" s="61"/>
      <c r="CV168" s="61"/>
      <c r="CW168" s="61"/>
      <c r="CX168" s="61"/>
      <c r="CY168" s="61"/>
      <c r="CZ168" s="61"/>
      <c r="DA168" s="61"/>
      <c r="DB168" s="61"/>
      <c r="DC168" s="61"/>
      <c r="DD168" s="61"/>
      <c r="DE168" s="61"/>
      <c r="DF168" s="61"/>
      <c r="DG168" s="61"/>
      <c r="DH168" s="61"/>
      <c r="DI168" s="61"/>
      <c r="DJ168" s="61"/>
      <c r="DK168" s="61"/>
      <c r="DL168" s="61"/>
      <c r="DM168" s="61"/>
      <c r="DN168" s="61"/>
      <c r="DO168" s="61"/>
      <c r="DP168" s="61"/>
      <c r="DQ168" s="61"/>
      <c r="DR168" s="61"/>
      <c r="DS168" s="61"/>
      <c r="DT168" s="61"/>
      <c r="DU168" s="61"/>
      <c r="DV168" s="61"/>
      <c r="DW168" s="61"/>
      <c r="DX168" s="61"/>
      <c r="DY168" s="61"/>
      <c r="DZ168" s="61"/>
      <c r="EA168" s="61"/>
      <c r="EB168" s="61"/>
      <c r="EC168" s="61"/>
      <c r="ED168" s="61"/>
      <c r="EE168" s="61"/>
      <c r="EF168" s="61"/>
      <c r="EG168" s="61"/>
      <c r="EH168" s="61"/>
      <c r="EI168" s="61"/>
      <c r="EJ168" s="61"/>
      <c r="EK168" s="61"/>
      <c r="EL168" s="61"/>
      <c r="EM168" s="61"/>
      <c r="EN168" s="61"/>
      <c r="EO168" s="61"/>
      <c r="EP168" s="61"/>
      <c r="EQ168" s="61"/>
      <c r="ER168" s="61"/>
      <c r="ES168" s="61"/>
      <c r="ET168" s="61"/>
      <c r="EU168" s="61"/>
      <c r="EV168" s="61"/>
      <c r="EW168" s="61"/>
    </row>
    <row r="169" spans="1:153">
      <c r="A169" s="56">
        <v>31717</v>
      </c>
      <c r="B169" s="57"/>
      <c r="C169" s="7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71"/>
      <c r="P169" s="60">
        <v>210.64699999999999</v>
      </c>
      <c r="Q169" s="61">
        <v>8.8030000000000008</v>
      </c>
      <c r="R169" s="61">
        <v>241.12200000000001</v>
      </c>
      <c r="S169" s="61">
        <v>492.32100000000003</v>
      </c>
      <c r="T169" s="61">
        <v>244.17500000000001</v>
      </c>
      <c r="U169" s="61">
        <v>7.0149999999999997</v>
      </c>
      <c r="V169" s="61">
        <v>8.9999999999999993E-3</v>
      </c>
      <c r="W169" s="61">
        <v>0</v>
      </c>
      <c r="X169" s="61">
        <v>210.64699999999999</v>
      </c>
      <c r="Y169" s="61">
        <v>21.672999999999998</v>
      </c>
      <c r="Z169" s="61">
        <v>8.8030000000000008</v>
      </c>
      <c r="AA169" s="61">
        <v>241.12200000000001</v>
      </c>
      <c r="AB169" s="60">
        <v>492.32100000000003</v>
      </c>
      <c r="AC169" s="62"/>
      <c r="AD169" s="61"/>
      <c r="AE169" s="61"/>
      <c r="AF169" s="61"/>
      <c r="AG169" s="61"/>
      <c r="AH169" s="61"/>
      <c r="AI169" s="61"/>
      <c r="AJ169" s="61"/>
      <c r="AK169" s="62"/>
      <c r="AL169" s="63"/>
      <c r="AM169" s="64"/>
      <c r="AN169" s="65" t="e">
        <v>#N/A</v>
      </c>
      <c r="AO169" s="61" t="e">
        <v>#N/A</v>
      </c>
      <c r="AP169" s="61" t="e">
        <v>#N/A</v>
      </c>
      <c r="AQ169" s="61" t="e">
        <v>#N/A</v>
      </c>
      <c r="AR169" s="61" t="e">
        <v>#N/A</v>
      </c>
      <c r="AS169" s="61" t="e">
        <v>#N/A</v>
      </c>
      <c r="AT169" s="61" t="e">
        <v>#N/A</v>
      </c>
      <c r="AU169" s="61" t="e">
        <v>#N/A</v>
      </c>
      <c r="AV169" s="61" t="e">
        <v>#N/A</v>
      </c>
      <c r="AW169" s="61" t="e">
        <v>#N/A</v>
      </c>
      <c r="AX169" s="65" t="e">
        <v>#N/A</v>
      </c>
      <c r="AY169" s="66" t="s">
        <v>121</v>
      </c>
      <c r="AZ169" s="61" t="s">
        <v>121</v>
      </c>
      <c r="BA169" s="61">
        <v>75.616</v>
      </c>
      <c r="BB169" s="61">
        <v>75.616</v>
      </c>
      <c r="BC169" s="61" t="s">
        <v>121</v>
      </c>
      <c r="BD169" s="61" t="s">
        <v>121</v>
      </c>
      <c r="BE169" s="61" t="s">
        <v>121</v>
      </c>
      <c r="BF169" s="61" t="s">
        <v>121</v>
      </c>
      <c r="BG169" s="61">
        <v>2.2189999999999999</v>
      </c>
      <c r="BH169" s="61" t="s">
        <v>121</v>
      </c>
      <c r="BI169" s="61">
        <v>3.7999999999999999E-2</v>
      </c>
      <c r="BJ169" s="61">
        <v>2.2570000000000001</v>
      </c>
      <c r="BK169" s="66">
        <v>2.2570000000000001</v>
      </c>
      <c r="BL169" s="67">
        <v>4.7210000000000001</v>
      </c>
      <c r="BM169" s="61" t="s">
        <v>121</v>
      </c>
      <c r="BN169" s="61" t="s">
        <v>121</v>
      </c>
      <c r="BO169" s="61" t="s">
        <v>121</v>
      </c>
      <c r="BP169" s="61">
        <v>4.7210000000000001</v>
      </c>
      <c r="BQ169" s="61">
        <v>241.86099999999999</v>
      </c>
      <c r="BR169" s="61">
        <v>7.0149999999999997</v>
      </c>
      <c r="BS169" s="61">
        <v>8.9999999999999993E-3</v>
      </c>
      <c r="BT169" s="61">
        <v>0</v>
      </c>
      <c r="BU169" s="61">
        <v>0.48299999999999998</v>
      </c>
      <c r="BV169" s="61">
        <v>0.65600000000000003</v>
      </c>
      <c r="BW169" s="61">
        <v>1.1379999999999999</v>
      </c>
      <c r="BX169" s="67">
        <v>250.023</v>
      </c>
      <c r="BY169" s="68">
        <v>87456</v>
      </c>
      <c r="BZ169" s="68">
        <v>86309</v>
      </c>
      <c r="CA169" s="69">
        <v>7622</v>
      </c>
      <c r="CB169" s="68">
        <v>158263</v>
      </c>
      <c r="CC169" s="68">
        <v>2165</v>
      </c>
      <c r="CD169" s="61"/>
      <c r="CE169" s="64"/>
      <c r="CF169" s="64"/>
      <c r="CG169" s="70">
        <f t="shared" si="11"/>
        <v>6647.0460000000003</v>
      </c>
      <c r="CH169" s="70">
        <f t="shared" si="12"/>
        <v>320.12400000000002</v>
      </c>
      <c r="CI169" s="70">
        <f t="shared" si="13"/>
        <v>90.93</v>
      </c>
      <c r="CJ169" s="70">
        <f t="shared" si="15"/>
        <v>3673.152</v>
      </c>
      <c r="CK169" s="70">
        <f t="shared" si="15"/>
        <v>3624.9780000000001</v>
      </c>
      <c r="CL169" s="70">
        <f t="shared" si="14"/>
        <v>90.93</v>
      </c>
      <c r="CM169" s="61"/>
      <c r="CN169" s="61"/>
      <c r="CO169" s="61"/>
      <c r="CP169" s="61"/>
      <c r="CQ169" s="61"/>
      <c r="CR169" s="61"/>
      <c r="CS169" s="61"/>
      <c r="CT169" s="61"/>
      <c r="CU169" s="61"/>
      <c r="CV169" s="61"/>
      <c r="CW169" s="61"/>
      <c r="CX169" s="61"/>
      <c r="CY169" s="61"/>
      <c r="CZ169" s="61"/>
      <c r="DA169" s="61"/>
      <c r="DB169" s="61"/>
      <c r="DC169" s="61"/>
      <c r="DD169" s="61"/>
      <c r="DE169" s="61"/>
      <c r="DF169" s="61"/>
      <c r="DG169" s="61"/>
      <c r="DH169" s="61"/>
      <c r="DI169" s="61"/>
      <c r="DJ169" s="61"/>
      <c r="DK169" s="61"/>
      <c r="DL169" s="61"/>
      <c r="DM169" s="61"/>
      <c r="DN169" s="61"/>
      <c r="DO169" s="61"/>
      <c r="DP169" s="61"/>
      <c r="DQ169" s="61"/>
      <c r="DR169" s="61"/>
      <c r="DS169" s="61"/>
      <c r="DT169" s="61"/>
      <c r="DU169" s="61"/>
      <c r="DV169" s="61"/>
      <c r="DW169" s="61"/>
      <c r="DX169" s="61"/>
      <c r="DY169" s="61"/>
      <c r="DZ169" s="61"/>
      <c r="EA169" s="61"/>
      <c r="EB169" s="61"/>
      <c r="EC169" s="61"/>
      <c r="ED169" s="61"/>
      <c r="EE169" s="61"/>
      <c r="EF169" s="61"/>
      <c r="EG169" s="61"/>
      <c r="EH169" s="61"/>
      <c r="EI169" s="61"/>
      <c r="EJ169" s="61"/>
      <c r="EK169" s="61"/>
      <c r="EL169" s="61"/>
      <c r="EM169" s="61"/>
      <c r="EN169" s="61"/>
      <c r="EO169" s="61"/>
      <c r="EP169" s="61"/>
      <c r="EQ169" s="61"/>
      <c r="ER169" s="61"/>
      <c r="ES169" s="61"/>
      <c r="ET169" s="61"/>
      <c r="EU169" s="61"/>
      <c r="EV169" s="61"/>
      <c r="EW169" s="61"/>
    </row>
    <row r="170" spans="1:153">
      <c r="A170" s="56">
        <v>31747</v>
      </c>
      <c r="B170" s="57"/>
      <c r="C170" s="7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71"/>
      <c r="P170" s="60">
        <v>217.863</v>
      </c>
      <c r="Q170" s="61">
        <v>9.0960000000000001</v>
      </c>
      <c r="R170" s="61">
        <v>249.352</v>
      </c>
      <c r="S170" s="61">
        <v>532.346</v>
      </c>
      <c r="T170" s="61">
        <v>273.69200000000001</v>
      </c>
      <c r="U170" s="61">
        <v>9.2989999999999995</v>
      </c>
      <c r="V170" s="61">
        <v>3.0000000000000001E-3</v>
      </c>
      <c r="W170" s="61">
        <v>0</v>
      </c>
      <c r="X170" s="61">
        <v>217.863</v>
      </c>
      <c r="Y170" s="61">
        <v>22.393000000000001</v>
      </c>
      <c r="Z170" s="61">
        <v>9.0960000000000001</v>
      </c>
      <c r="AA170" s="61">
        <v>249.352</v>
      </c>
      <c r="AB170" s="60">
        <v>532.346</v>
      </c>
      <c r="AC170" s="62"/>
      <c r="AD170" s="61"/>
      <c r="AE170" s="61"/>
      <c r="AF170" s="61"/>
      <c r="AG170" s="61"/>
      <c r="AH170" s="61"/>
      <c r="AI170" s="61"/>
      <c r="AJ170" s="61"/>
      <c r="AK170" s="62"/>
      <c r="AL170" s="63"/>
      <c r="AM170" s="64"/>
      <c r="AN170" s="65" t="e">
        <v>#N/A</v>
      </c>
      <c r="AO170" s="61" t="e">
        <v>#N/A</v>
      </c>
      <c r="AP170" s="61" t="e">
        <v>#N/A</v>
      </c>
      <c r="AQ170" s="61" t="e">
        <v>#N/A</v>
      </c>
      <c r="AR170" s="61" t="e">
        <v>#N/A</v>
      </c>
      <c r="AS170" s="61" t="e">
        <v>#N/A</v>
      </c>
      <c r="AT170" s="61" t="e">
        <v>#N/A</v>
      </c>
      <c r="AU170" s="61" t="e">
        <v>#N/A</v>
      </c>
      <c r="AV170" s="61" t="e">
        <v>#N/A</v>
      </c>
      <c r="AW170" s="61" t="e">
        <v>#N/A</v>
      </c>
      <c r="AX170" s="65" t="e">
        <v>#N/A</v>
      </c>
      <c r="AY170" s="66" t="s">
        <v>121</v>
      </c>
      <c r="AZ170" s="61" t="s">
        <v>121</v>
      </c>
      <c r="BA170" s="61">
        <v>78.137</v>
      </c>
      <c r="BB170" s="61">
        <v>78.137</v>
      </c>
      <c r="BC170" s="61" t="s">
        <v>121</v>
      </c>
      <c r="BD170" s="61" t="s">
        <v>121</v>
      </c>
      <c r="BE170" s="61" t="s">
        <v>121</v>
      </c>
      <c r="BF170" s="61" t="s">
        <v>121</v>
      </c>
      <c r="BG170" s="61">
        <v>2.2930000000000001</v>
      </c>
      <c r="BH170" s="61" t="s">
        <v>121</v>
      </c>
      <c r="BI170" s="61">
        <v>3.9E-2</v>
      </c>
      <c r="BJ170" s="61">
        <v>2.3330000000000002</v>
      </c>
      <c r="BK170" s="66">
        <v>2.3330000000000002</v>
      </c>
      <c r="BL170" s="67">
        <v>4.8780000000000001</v>
      </c>
      <c r="BM170" s="61" t="s">
        <v>121</v>
      </c>
      <c r="BN170" s="61" t="s">
        <v>121</v>
      </c>
      <c r="BO170" s="61" t="s">
        <v>121</v>
      </c>
      <c r="BP170" s="61">
        <v>4.8780000000000001</v>
      </c>
      <c r="BQ170" s="61">
        <v>271.22800000000001</v>
      </c>
      <c r="BR170" s="61">
        <v>9.2989999999999995</v>
      </c>
      <c r="BS170" s="61">
        <v>3.0000000000000001E-3</v>
      </c>
      <c r="BT170" s="61">
        <v>0</v>
      </c>
      <c r="BU170" s="61">
        <v>0.69299999999999995</v>
      </c>
      <c r="BV170" s="61">
        <v>0.67600000000000005</v>
      </c>
      <c r="BW170" s="61">
        <v>1.369</v>
      </c>
      <c r="BX170" s="67">
        <v>281.899</v>
      </c>
      <c r="BY170" s="68">
        <v>91183</v>
      </c>
      <c r="BZ170" s="68">
        <v>103184</v>
      </c>
      <c r="CA170" s="69">
        <v>10501</v>
      </c>
      <c r="CB170" s="68">
        <v>155097</v>
      </c>
      <c r="CC170" s="68">
        <v>1716</v>
      </c>
      <c r="CD170" s="61"/>
      <c r="CE170" s="64"/>
      <c r="CF170" s="64"/>
      <c r="CG170" s="70">
        <f t="shared" si="11"/>
        <v>6514.0739999999996</v>
      </c>
      <c r="CH170" s="70">
        <f t="shared" si="12"/>
        <v>441.04199999999997</v>
      </c>
      <c r="CI170" s="70">
        <f t="shared" si="13"/>
        <v>72.072000000000003</v>
      </c>
      <c r="CJ170" s="70">
        <f t="shared" si="15"/>
        <v>3829.6860000000001</v>
      </c>
      <c r="CK170" s="70">
        <f t="shared" si="15"/>
        <v>4333.7280000000001</v>
      </c>
      <c r="CL170" s="70">
        <f t="shared" si="14"/>
        <v>72.072000000000003</v>
      </c>
      <c r="CM170" s="61"/>
      <c r="CN170" s="61"/>
      <c r="CO170" s="61"/>
      <c r="CP170" s="61"/>
      <c r="CQ170" s="61"/>
      <c r="CR170" s="61"/>
      <c r="CS170" s="61"/>
      <c r="CT170" s="61"/>
      <c r="CU170" s="61"/>
      <c r="CV170" s="61"/>
      <c r="CW170" s="61"/>
      <c r="CX170" s="61"/>
      <c r="CY170" s="61"/>
      <c r="CZ170" s="61"/>
      <c r="DA170" s="61"/>
      <c r="DB170" s="61"/>
      <c r="DC170" s="61"/>
      <c r="DD170" s="61"/>
      <c r="DE170" s="61"/>
      <c r="DF170" s="61"/>
      <c r="DG170" s="61"/>
      <c r="DH170" s="61"/>
      <c r="DI170" s="61"/>
      <c r="DJ170" s="61"/>
      <c r="DK170" s="61"/>
      <c r="DL170" s="61"/>
      <c r="DM170" s="61"/>
      <c r="DN170" s="61"/>
      <c r="DO170" s="61"/>
      <c r="DP170" s="61"/>
      <c r="DQ170" s="61"/>
      <c r="DR170" s="61"/>
      <c r="DS170" s="61"/>
      <c r="DT170" s="61"/>
      <c r="DU170" s="61"/>
      <c r="DV170" s="61"/>
      <c r="DW170" s="61"/>
      <c r="DX170" s="61"/>
      <c r="DY170" s="61"/>
      <c r="DZ170" s="61"/>
      <c r="EA170" s="61"/>
      <c r="EB170" s="61"/>
      <c r="EC170" s="61"/>
      <c r="ED170" s="61"/>
      <c r="EE170" s="61"/>
      <c r="EF170" s="61"/>
      <c r="EG170" s="61"/>
      <c r="EH170" s="61"/>
      <c r="EI170" s="61"/>
      <c r="EJ170" s="61"/>
      <c r="EK170" s="61"/>
      <c r="EL170" s="61"/>
      <c r="EM170" s="61"/>
      <c r="EN170" s="61"/>
      <c r="EO170" s="61"/>
      <c r="EP170" s="61"/>
      <c r="EQ170" s="61"/>
      <c r="ER170" s="61"/>
      <c r="ES170" s="61"/>
      <c r="ET170" s="61"/>
      <c r="EU170" s="61"/>
      <c r="EV170" s="61"/>
      <c r="EW170" s="61"/>
    </row>
    <row r="171" spans="1:153">
      <c r="A171" s="56">
        <v>31778</v>
      </c>
      <c r="B171" s="57"/>
      <c r="C171" s="7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71"/>
      <c r="P171" s="60">
        <v>209.17599999999999</v>
      </c>
      <c r="Q171" s="61">
        <v>10.423</v>
      </c>
      <c r="R171" s="61">
        <v>244.137</v>
      </c>
      <c r="S171" s="61">
        <v>521.26499999999999</v>
      </c>
      <c r="T171" s="61">
        <v>267.80900000000003</v>
      </c>
      <c r="U171" s="61">
        <v>9.3170000000000002</v>
      </c>
      <c r="V171" s="61">
        <v>1E-3</v>
      </c>
      <c r="W171" s="61">
        <v>1E-3</v>
      </c>
      <c r="X171" s="61">
        <v>209.17599999999999</v>
      </c>
      <c r="Y171" s="61">
        <v>24.536999999999999</v>
      </c>
      <c r="Z171" s="61">
        <v>10.423</v>
      </c>
      <c r="AA171" s="61">
        <v>244.137</v>
      </c>
      <c r="AB171" s="60">
        <v>521.26499999999999</v>
      </c>
      <c r="AC171" s="62"/>
      <c r="AD171" s="61"/>
      <c r="AE171" s="61"/>
      <c r="AF171" s="61"/>
      <c r="AG171" s="61"/>
      <c r="AH171" s="61"/>
      <c r="AI171" s="61"/>
      <c r="AJ171" s="61"/>
      <c r="AK171" s="62"/>
      <c r="AL171" s="63"/>
      <c r="AM171" s="64"/>
      <c r="AN171" s="65" t="e">
        <v>#N/A</v>
      </c>
      <c r="AO171" s="61" t="e">
        <v>#N/A</v>
      </c>
      <c r="AP171" s="61" t="e">
        <v>#N/A</v>
      </c>
      <c r="AQ171" s="61" t="e">
        <v>#N/A</v>
      </c>
      <c r="AR171" s="61" t="e">
        <v>#N/A</v>
      </c>
      <c r="AS171" s="61" t="e">
        <v>#N/A</v>
      </c>
      <c r="AT171" s="61" t="e">
        <v>#N/A</v>
      </c>
      <c r="AU171" s="61" t="e">
        <v>#N/A</v>
      </c>
      <c r="AV171" s="61" t="e">
        <v>#N/A</v>
      </c>
      <c r="AW171" s="61" t="e">
        <v>#N/A</v>
      </c>
      <c r="AX171" s="65" t="e">
        <v>#N/A</v>
      </c>
      <c r="AY171" s="66" t="s">
        <v>121</v>
      </c>
      <c r="AZ171" s="61" t="s">
        <v>121</v>
      </c>
      <c r="BA171" s="61">
        <v>72.191999999999993</v>
      </c>
      <c r="BB171" s="61">
        <v>72.191999999999993</v>
      </c>
      <c r="BC171" s="61" t="s">
        <v>121</v>
      </c>
      <c r="BD171" s="61" t="s">
        <v>121</v>
      </c>
      <c r="BE171" s="61" t="s">
        <v>121</v>
      </c>
      <c r="BF171" s="61" t="s">
        <v>121</v>
      </c>
      <c r="BG171" s="61">
        <v>2.4630000000000001</v>
      </c>
      <c r="BH171" s="61" t="s">
        <v>121</v>
      </c>
      <c r="BI171" s="61">
        <v>4.5999999999999999E-2</v>
      </c>
      <c r="BJ171" s="61">
        <v>2.5089999999999999</v>
      </c>
      <c r="BK171" s="66">
        <v>2.5089999999999999</v>
      </c>
      <c r="BL171" s="67">
        <v>5.6120000000000001</v>
      </c>
      <c r="BM171" s="61" t="s">
        <v>121</v>
      </c>
      <c r="BN171" s="61" t="s">
        <v>121</v>
      </c>
      <c r="BO171" s="61" t="s">
        <v>121</v>
      </c>
      <c r="BP171" s="61">
        <v>5.6120000000000001</v>
      </c>
      <c r="BQ171" s="61">
        <v>264.77100000000002</v>
      </c>
      <c r="BR171" s="61">
        <v>9.3170000000000002</v>
      </c>
      <c r="BS171" s="61">
        <v>1E-3</v>
      </c>
      <c r="BT171" s="61">
        <v>1E-3</v>
      </c>
      <c r="BU171" s="61">
        <v>0.66900000000000004</v>
      </c>
      <c r="BV171" s="61">
        <v>0.60599999999999998</v>
      </c>
      <c r="BW171" s="61">
        <v>1.2749999999999999</v>
      </c>
      <c r="BX171" s="67">
        <v>275.36500000000001</v>
      </c>
      <c r="BY171" s="68">
        <v>85487</v>
      </c>
      <c r="BZ171" s="68">
        <v>102618</v>
      </c>
      <c r="CA171" s="69">
        <v>6888</v>
      </c>
      <c r="CB171" s="68">
        <v>141342</v>
      </c>
      <c r="CC171" s="68">
        <v>3562</v>
      </c>
      <c r="CD171" s="61"/>
      <c r="CE171" s="64"/>
      <c r="CF171" s="64"/>
      <c r="CG171" s="70">
        <f t="shared" si="11"/>
        <v>5936.3639999999996</v>
      </c>
      <c r="CH171" s="70">
        <f t="shared" si="12"/>
        <v>289.29599999999999</v>
      </c>
      <c r="CI171" s="70">
        <f t="shared" si="13"/>
        <v>149.60400000000001</v>
      </c>
      <c r="CJ171" s="70">
        <f t="shared" si="15"/>
        <v>3590.4540000000002</v>
      </c>
      <c r="CK171" s="70">
        <f t="shared" si="15"/>
        <v>4309.9560000000001</v>
      </c>
      <c r="CL171" s="70">
        <f t="shared" si="14"/>
        <v>149.60400000000001</v>
      </c>
      <c r="CM171" s="61"/>
      <c r="CN171" s="61"/>
      <c r="CO171" s="61"/>
      <c r="CP171" s="61"/>
      <c r="CQ171" s="61"/>
      <c r="CR171" s="61"/>
      <c r="CS171" s="61"/>
      <c r="CT171" s="61"/>
      <c r="CU171" s="61"/>
      <c r="CV171" s="61"/>
      <c r="CW171" s="61"/>
      <c r="CX171" s="61"/>
      <c r="CY171" s="61"/>
      <c r="CZ171" s="61"/>
      <c r="DA171" s="61"/>
      <c r="DB171" s="61"/>
      <c r="DC171" s="61"/>
      <c r="DD171" s="61"/>
      <c r="DE171" s="61"/>
      <c r="DF171" s="61"/>
      <c r="DG171" s="61"/>
      <c r="DH171" s="61"/>
      <c r="DI171" s="61"/>
      <c r="DJ171" s="61"/>
      <c r="DK171" s="61"/>
      <c r="DL171" s="61"/>
      <c r="DM171" s="61"/>
      <c r="DN171" s="61"/>
      <c r="DO171" s="61"/>
      <c r="DP171" s="61"/>
      <c r="DQ171" s="61"/>
      <c r="DR171" s="61"/>
      <c r="DS171" s="61"/>
      <c r="DT171" s="61"/>
      <c r="DU171" s="61"/>
      <c r="DV171" s="61"/>
      <c r="DW171" s="61"/>
      <c r="DX171" s="61"/>
      <c r="DY171" s="61"/>
      <c r="DZ171" s="61"/>
      <c r="EA171" s="61"/>
      <c r="EB171" s="61"/>
      <c r="EC171" s="61"/>
      <c r="ED171" s="61"/>
      <c r="EE171" s="61"/>
      <c r="EF171" s="61"/>
      <c r="EG171" s="61"/>
      <c r="EH171" s="61"/>
      <c r="EI171" s="61"/>
      <c r="EJ171" s="61"/>
      <c r="EK171" s="61"/>
      <c r="EL171" s="61"/>
      <c r="EM171" s="61"/>
      <c r="EN171" s="61"/>
      <c r="EO171" s="61"/>
      <c r="EP171" s="61"/>
      <c r="EQ171" s="61"/>
      <c r="ER171" s="61"/>
      <c r="ES171" s="61"/>
      <c r="ET171" s="61"/>
      <c r="EU171" s="61"/>
      <c r="EV171" s="61"/>
      <c r="EW171" s="61"/>
    </row>
    <row r="172" spans="1:153">
      <c r="A172" s="56">
        <v>31809</v>
      </c>
      <c r="B172" s="57"/>
      <c r="C172" s="7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71"/>
      <c r="P172" s="60">
        <v>188.92400000000001</v>
      </c>
      <c r="Q172" s="61">
        <v>9.4149999999999991</v>
      </c>
      <c r="R172" s="61">
        <v>220.511</v>
      </c>
      <c r="S172" s="61">
        <v>452.87799999999999</v>
      </c>
      <c r="T172" s="61">
        <v>223.72200000000001</v>
      </c>
      <c r="U172" s="61">
        <v>8.64</v>
      </c>
      <c r="V172" s="61">
        <v>6.0000000000000001E-3</v>
      </c>
      <c r="W172" s="61">
        <v>0</v>
      </c>
      <c r="X172" s="61">
        <v>188.92400000000001</v>
      </c>
      <c r="Y172" s="61">
        <v>22.172000000000001</v>
      </c>
      <c r="Z172" s="61">
        <v>9.4149999999999991</v>
      </c>
      <c r="AA172" s="61">
        <v>220.511</v>
      </c>
      <c r="AB172" s="60">
        <v>452.87799999999999</v>
      </c>
      <c r="AC172" s="62"/>
      <c r="AD172" s="61"/>
      <c r="AE172" s="61"/>
      <c r="AF172" s="61"/>
      <c r="AG172" s="61"/>
      <c r="AH172" s="61"/>
      <c r="AI172" s="61"/>
      <c r="AJ172" s="61"/>
      <c r="AK172" s="62"/>
      <c r="AL172" s="63"/>
      <c r="AM172" s="64"/>
      <c r="AN172" s="65" t="e">
        <v>#N/A</v>
      </c>
      <c r="AO172" s="61" t="e">
        <v>#N/A</v>
      </c>
      <c r="AP172" s="61" t="e">
        <v>#N/A</v>
      </c>
      <c r="AQ172" s="61" t="e">
        <v>#N/A</v>
      </c>
      <c r="AR172" s="61" t="e">
        <v>#N/A</v>
      </c>
      <c r="AS172" s="61" t="e">
        <v>#N/A</v>
      </c>
      <c r="AT172" s="61" t="e">
        <v>#N/A</v>
      </c>
      <c r="AU172" s="61" t="e">
        <v>#N/A</v>
      </c>
      <c r="AV172" s="61" t="e">
        <v>#N/A</v>
      </c>
      <c r="AW172" s="61" t="e">
        <v>#N/A</v>
      </c>
      <c r="AX172" s="65" t="e">
        <v>#N/A</v>
      </c>
      <c r="AY172" s="66" t="s">
        <v>121</v>
      </c>
      <c r="AZ172" s="61" t="s">
        <v>121</v>
      </c>
      <c r="BA172" s="61">
        <v>65.204999999999998</v>
      </c>
      <c r="BB172" s="61">
        <v>65.204999999999998</v>
      </c>
      <c r="BC172" s="61" t="s">
        <v>121</v>
      </c>
      <c r="BD172" s="61" t="s">
        <v>121</v>
      </c>
      <c r="BE172" s="61" t="s">
        <v>121</v>
      </c>
      <c r="BF172" s="61" t="s">
        <v>121</v>
      </c>
      <c r="BG172" s="61">
        <v>2.2250000000000001</v>
      </c>
      <c r="BH172" s="61" t="s">
        <v>121</v>
      </c>
      <c r="BI172" s="61">
        <v>4.2000000000000003E-2</v>
      </c>
      <c r="BJ172" s="61">
        <v>2.266</v>
      </c>
      <c r="BK172" s="66">
        <v>2.266</v>
      </c>
      <c r="BL172" s="67">
        <v>5.0679999999999996</v>
      </c>
      <c r="BM172" s="61" t="s">
        <v>121</v>
      </c>
      <c r="BN172" s="61" t="s">
        <v>121</v>
      </c>
      <c r="BO172" s="61" t="s">
        <v>121</v>
      </c>
      <c r="BP172" s="61">
        <v>5.0679999999999996</v>
      </c>
      <c r="BQ172" s="61">
        <v>221.154</v>
      </c>
      <c r="BR172" s="61">
        <v>8.64</v>
      </c>
      <c r="BS172" s="61">
        <v>6.0000000000000001E-3</v>
      </c>
      <c r="BT172" s="61">
        <v>0</v>
      </c>
      <c r="BU172" s="61">
        <v>0.59499999999999997</v>
      </c>
      <c r="BV172" s="61">
        <v>0.55700000000000005</v>
      </c>
      <c r="BW172" s="61">
        <v>1.1519999999999999</v>
      </c>
      <c r="BX172" s="67">
        <v>230.952</v>
      </c>
      <c r="BY172" s="68">
        <v>71524</v>
      </c>
      <c r="BZ172" s="68">
        <v>93671</v>
      </c>
      <c r="CA172" s="69">
        <v>7084</v>
      </c>
      <c r="CB172" s="68">
        <v>123730</v>
      </c>
      <c r="CC172" s="68">
        <v>2593</v>
      </c>
      <c r="CD172" s="61"/>
      <c r="CE172" s="64"/>
      <c r="CF172" s="64"/>
      <c r="CG172" s="70">
        <f t="shared" si="11"/>
        <v>5196.66</v>
      </c>
      <c r="CH172" s="70">
        <f t="shared" si="12"/>
        <v>297.52800000000002</v>
      </c>
      <c r="CI172" s="70">
        <f t="shared" si="13"/>
        <v>108.90600000000001</v>
      </c>
      <c r="CJ172" s="70">
        <f t="shared" si="15"/>
        <v>3004.0079999999998</v>
      </c>
      <c r="CK172" s="70">
        <f t="shared" si="15"/>
        <v>3934.1819999999998</v>
      </c>
      <c r="CL172" s="70">
        <f t="shared" si="14"/>
        <v>108.90600000000001</v>
      </c>
      <c r="CM172" s="61"/>
      <c r="CN172" s="61"/>
      <c r="CO172" s="61"/>
      <c r="CP172" s="61"/>
      <c r="CQ172" s="61"/>
      <c r="CR172" s="61"/>
      <c r="CS172" s="61"/>
      <c r="CT172" s="61"/>
      <c r="CU172" s="61"/>
      <c r="CV172" s="61"/>
      <c r="CW172" s="61"/>
      <c r="CX172" s="61"/>
      <c r="CY172" s="61"/>
      <c r="CZ172" s="61"/>
      <c r="DA172" s="61"/>
      <c r="DB172" s="61"/>
      <c r="DC172" s="61"/>
      <c r="DD172" s="61"/>
      <c r="DE172" s="61"/>
      <c r="DF172" s="61"/>
      <c r="DG172" s="61"/>
      <c r="DH172" s="61"/>
      <c r="DI172" s="61"/>
      <c r="DJ172" s="61"/>
      <c r="DK172" s="61"/>
      <c r="DL172" s="61"/>
      <c r="DM172" s="61"/>
      <c r="DN172" s="61"/>
      <c r="DO172" s="61"/>
      <c r="DP172" s="61"/>
      <c r="DQ172" s="61"/>
      <c r="DR172" s="61"/>
      <c r="DS172" s="61"/>
      <c r="DT172" s="61"/>
      <c r="DU172" s="61"/>
      <c r="DV172" s="61"/>
      <c r="DW172" s="61"/>
      <c r="DX172" s="61"/>
      <c r="DY172" s="61"/>
      <c r="DZ172" s="61"/>
      <c r="EA172" s="61"/>
      <c r="EB172" s="61"/>
      <c r="EC172" s="61"/>
      <c r="ED172" s="61"/>
      <c r="EE172" s="61"/>
      <c r="EF172" s="61"/>
      <c r="EG172" s="61"/>
      <c r="EH172" s="61"/>
      <c r="EI172" s="61"/>
      <c r="EJ172" s="61"/>
      <c r="EK172" s="61"/>
      <c r="EL172" s="61"/>
      <c r="EM172" s="61"/>
      <c r="EN172" s="61"/>
      <c r="EO172" s="61"/>
      <c r="EP172" s="61"/>
      <c r="EQ172" s="61"/>
      <c r="ER172" s="61"/>
      <c r="ES172" s="61"/>
      <c r="ET172" s="61"/>
      <c r="EU172" s="61"/>
      <c r="EV172" s="61"/>
      <c r="EW172" s="61"/>
    </row>
    <row r="173" spans="1:153">
      <c r="A173" s="56">
        <v>31837</v>
      </c>
      <c r="B173" s="57"/>
      <c r="C173" s="7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71"/>
      <c r="P173" s="60">
        <v>209.11699999999999</v>
      </c>
      <c r="Q173" s="61">
        <v>10.423</v>
      </c>
      <c r="R173" s="61">
        <v>244.15700000000001</v>
      </c>
      <c r="S173" s="61">
        <v>498.78199999999998</v>
      </c>
      <c r="T173" s="61">
        <v>245.143</v>
      </c>
      <c r="U173" s="61">
        <v>9.4730000000000008</v>
      </c>
      <c r="V173" s="61">
        <v>8.9999999999999993E-3</v>
      </c>
      <c r="W173" s="61">
        <v>0</v>
      </c>
      <c r="X173" s="61">
        <v>209.11699999999999</v>
      </c>
      <c r="Y173" s="61">
        <v>24.616</v>
      </c>
      <c r="Z173" s="61">
        <v>10.423</v>
      </c>
      <c r="AA173" s="61">
        <v>244.15700000000001</v>
      </c>
      <c r="AB173" s="60">
        <v>498.78199999999998</v>
      </c>
      <c r="AC173" s="62"/>
      <c r="AD173" s="61"/>
      <c r="AE173" s="61"/>
      <c r="AF173" s="61"/>
      <c r="AG173" s="61"/>
      <c r="AH173" s="61"/>
      <c r="AI173" s="61"/>
      <c r="AJ173" s="61"/>
      <c r="AK173" s="62"/>
      <c r="AL173" s="63"/>
      <c r="AM173" s="64"/>
      <c r="AN173" s="65" t="e">
        <v>#N/A</v>
      </c>
      <c r="AO173" s="61" t="e">
        <v>#N/A</v>
      </c>
      <c r="AP173" s="61" t="e">
        <v>#N/A</v>
      </c>
      <c r="AQ173" s="61" t="e">
        <v>#N/A</v>
      </c>
      <c r="AR173" s="61" t="e">
        <v>#N/A</v>
      </c>
      <c r="AS173" s="61" t="e">
        <v>#N/A</v>
      </c>
      <c r="AT173" s="61" t="e">
        <v>#N/A</v>
      </c>
      <c r="AU173" s="61" t="e">
        <v>#N/A</v>
      </c>
      <c r="AV173" s="61" t="e">
        <v>#N/A</v>
      </c>
      <c r="AW173" s="61" t="e">
        <v>#N/A</v>
      </c>
      <c r="AX173" s="65" t="e">
        <v>#N/A</v>
      </c>
      <c r="AY173" s="66" t="s">
        <v>121</v>
      </c>
      <c r="AZ173" s="61" t="s">
        <v>121</v>
      </c>
      <c r="BA173" s="61">
        <v>72.191999999999993</v>
      </c>
      <c r="BB173" s="61">
        <v>72.191999999999993</v>
      </c>
      <c r="BC173" s="61" t="s">
        <v>121</v>
      </c>
      <c r="BD173" s="61" t="s">
        <v>121</v>
      </c>
      <c r="BE173" s="61" t="s">
        <v>121</v>
      </c>
      <c r="BF173" s="61" t="s">
        <v>121</v>
      </c>
      <c r="BG173" s="61">
        <v>2.4630000000000001</v>
      </c>
      <c r="BH173" s="61" t="s">
        <v>121</v>
      </c>
      <c r="BI173" s="61">
        <v>4.5999999999999999E-2</v>
      </c>
      <c r="BJ173" s="61">
        <v>2.5089999999999999</v>
      </c>
      <c r="BK173" s="66">
        <v>2.5089999999999999</v>
      </c>
      <c r="BL173" s="67">
        <v>5.6120000000000001</v>
      </c>
      <c r="BM173" s="61" t="s">
        <v>121</v>
      </c>
      <c r="BN173" s="61" t="s">
        <v>121</v>
      </c>
      <c r="BO173" s="61" t="s">
        <v>121</v>
      </c>
      <c r="BP173" s="61">
        <v>5.6120000000000001</v>
      </c>
      <c r="BQ173" s="61">
        <v>242.22</v>
      </c>
      <c r="BR173" s="61">
        <v>9.4730000000000008</v>
      </c>
      <c r="BS173" s="61">
        <v>8.9999999999999993E-3</v>
      </c>
      <c r="BT173" s="61">
        <v>0</v>
      </c>
      <c r="BU173" s="61">
        <v>0.61099999999999999</v>
      </c>
      <c r="BV173" s="61">
        <v>0.68500000000000005</v>
      </c>
      <c r="BW173" s="61">
        <v>1.296</v>
      </c>
      <c r="BX173" s="67">
        <v>252.999</v>
      </c>
      <c r="BY173" s="68">
        <v>75012</v>
      </c>
      <c r="BZ173" s="68">
        <v>96590</v>
      </c>
      <c r="CA173" s="69">
        <v>9203</v>
      </c>
      <c r="CB173" s="68">
        <v>109332</v>
      </c>
      <c r="CC173" s="68">
        <v>2073</v>
      </c>
      <c r="CD173" s="61"/>
      <c r="CE173" s="64"/>
      <c r="CF173" s="64"/>
      <c r="CG173" s="70">
        <f t="shared" si="11"/>
        <v>4591.9440000000004</v>
      </c>
      <c r="CH173" s="70">
        <f t="shared" si="12"/>
        <v>386.52600000000001</v>
      </c>
      <c r="CI173" s="70">
        <f t="shared" si="13"/>
        <v>87.066000000000003</v>
      </c>
      <c r="CJ173" s="70">
        <f t="shared" si="15"/>
        <v>3150.5039999999999</v>
      </c>
      <c r="CK173" s="70">
        <f t="shared" si="15"/>
        <v>4056.78</v>
      </c>
      <c r="CL173" s="70">
        <f t="shared" si="14"/>
        <v>87.066000000000003</v>
      </c>
      <c r="CM173" s="61"/>
      <c r="CN173" s="61"/>
      <c r="CO173" s="61"/>
      <c r="CP173" s="61"/>
      <c r="CQ173" s="61"/>
      <c r="CR173" s="61"/>
      <c r="CS173" s="61"/>
      <c r="CT173" s="61"/>
      <c r="CU173" s="61"/>
      <c r="CV173" s="61"/>
      <c r="CW173" s="61"/>
      <c r="CX173" s="61"/>
      <c r="CY173" s="61"/>
      <c r="CZ173" s="61"/>
      <c r="DA173" s="61"/>
      <c r="DB173" s="61"/>
      <c r="DC173" s="61"/>
      <c r="DD173" s="61"/>
      <c r="DE173" s="61"/>
      <c r="DF173" s="61"/>
      <c r="DG173" s="61"/>
      <c r="DH173" s="61"/>
      <c r="DI173" s="61"/>
      <c r="DJ173" s="61"/>
      <c r="DK173" s="61"/>
      <c r="DL173" s="61"/>
      <c r="DM173" s="61"/>
      <c r="DN173" s="61"/>
      <c r="DO173" s="61"/>
      <c r="DP173" s="61"/>
      <c r="DQ173" s="61"/>
      <c r="DR173" s="61"/>
      <c r="DS173" s="61"/>
      <c r="DT173" s="61"/>
      <c r="DU173" s="61"/>
      <c r="DV173" s="61"/>
      <c r="DW173" s="61"/>
      <c r="DX173" s="61"/>
      <c r="DY173" s="61"/>
      <c r="DZ173" s="61"/>
      <c r="EA173" s="61"/>
      <c r="EB173" s="61"/>
      <c r="EC173" s="61"/>
      <c r="ED173" s="61"/>
      <c r="EE173" s="61"/>
      <c r="EF173" s="61"/>
      <c r="EG173" s="61"/>
      <c r="EH173" s="61"/>
      <c r="EI173" s="61"/>
      <c r="EJ173" s="61"/>
      <c r="EK173" s="61"/>
      <c r="EL173" s="61"/>
      <c r="EM173" s="61"/>
      <c r="EN173" s="61"/>
      <c r="EO173" s="61"/>
      <c r="EP173" s="61"/>
      <c r="EQ173" s="61"/>
      <c r="ER173" s="61"/>
      <c r="ES173" s="61"/>
      <c r="ET173" s="61"/>
      <c r="EU173" s="61"/>
      <c r="EV173" s="61"/>
      <c r="EW173" s="61"/>
    </row>
    <row r="174" spans="1:153">
      <c r="A174" s="56">
        <v>31868</v>
      </c>
      <c r="B174" s="57"/>
      <c r="C174" s="7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71"/>
      <c r="P174" s="60">
        <v>202.25399999999999</v>
      </c>
      <c r="Q174" s="61">
        <v>10.087</v>
      </c>
      <c r="R174" s="61">
        <v>236.13900000000001</v>
      </c>
      <c r="S174" s="61">
        <v>477.65600000000001</v>
      </c>
      <c r="T174" s="61">
        <v>232.57300000000001</v>
      </c>
      <c r="U174" s="61">
        <v>8.9290000000000003</v>
      </c>
      <c r="V174" s="61">
        <v>1.2999999999999999E-2</v>
      </c>
      <c r="W174" s="61">
        <v>2E-3</v>
      </c>
      <c r="X174" s="61">
        <v>202.25399999999999</v>
      </c>
      <c r="Y174" s="61">
        <v>23.797999999999998</v>
      </c>
      <c r="Z174" s="61">
        <v>10.087</v>
      </c>
      <c r="AA174" s="61">
        <v>236.13900000000001</v>
      </c>
      <c r="AB174" s="60">
        <v>477.65600000000001</v>
      </c>
      <c r="AC174" s="62"/>
      <c r="AD174" s="61"/>
      <c r="AE174" s="61"/>
      <c r="AF174" s="61"/>
      <c r="AG174" s="61"/>
      <c r="AH174" s="61"/>
      <c r="AI174" s="61"/>
      <c r="AJ174" s="61"/>
      <c r="AK174" s="62"/>
      <c r="AL174" s="63"/>
      <c r="AM174" s="64"/>
      <c r="AN174" s="65" t="e">
        <v>#N/A</v>
      </c>
      <c r="AO174" s="61" t="e">
        <v>#N/A</v>
      </c>
      <c r="AP174" s="61" t="e">
        <v>#N/A</v>
      </c>
      <c r="AQ174" s="61" t="e">
        <v>#N/A</v>
      </c>
      <c r="AR174" s="61" t="e">
        <v>#N/A</v>
      </c>
      <c r="AS174" s="61" t="e">
        <v>#N/A</v>
      </c>
      <c r="AT174" s="61" t="e">
        <v>#N/A</v>
      </c>
      <c r="AU174" s="61" t="e">
        <v>#N/A</v>
      </c>
      <c r="AV174" s="61" t="e">
        <v>#N/A</v>
      </c>
      <c r="AW174" s="61" t="e">
        <v>#N/A</v>
      </c>
      <c r="AX174" s="65" t="e">
        <v>#N/A</v>
      </c>
      <c r="AY174" s="66" t="s">
        <v>121</v>
      </c>
      <c r="AZ174" s="61" t="s">
        <v>121</v>
      </c>
      <c r="BA174" s="61">
        <v>69.863</v>
      </c>
      <c r="BB174" s="61">
        <v>69.863</v>
      </c>
      <c r="BC174" s="61" t="s">
        <v>121</v>
      </c>
      <c r="BD174" s="61" t="s">
        <v>121</v>
      </c>
      <c r="BE174" s="61" t="s">
        <v>121</v>
      </c>
      <c r="BF174" s="61" t="s">
        <v>121</v>
      </c>
      <c r="BG174" s="61">
        <v>2.3839999999999999</v>
      </c>
      <c r="BH174" s="61" t="s">
        <v>121</v>
      </c>
      <c r="BI174" s="61">
        <v>4.4999999999999998E-2</v>
      </c>
      <c r="BJ174" s="61">
        <v>2.4279999999999999</v>
      </c>
      <c r="BK174" s="66">
        <v>2.4279999999999999</v>
      </c>
      <c r="BL174" s="67">
        <v>5.431</v>
      </c>
      <c r="BM174" s="61" t="s">
        <v>121</v>
      </c>
      <c r="BN174" s="61" t="s">
        <v>121</v>
      </c>
      <c r="BO174" s="61" t="s">
        <v>121</v>
      </c>
      <c r="BP174" s="61">
        <v>5.431</v>
      </c>
      <c r="BQ174" s="61">
        <v>229.48099999999999</v>
      </c>
      <c r="BR174" s="61">
        <v>8.9290000000000003</v>
      </c>
      <c r="BS174" s="61">
        <v>1.2999999999999999E-2</v>
      </c>
      <c r="BT174" s="61">
        <v>2E-3</v>
      </c>
      <c r="BU174" s="61">
        <v>0.47299999999999998</v>
      </c>
      <c r="BV174" s="61">
        <v>0.63900000000000001</v>
      </c>
      <c r="BW174" s="61">
        <v>1.1120000000000001</v>
      </c>
      <c r="BX174" s="67">
        <v>239.53700000000001</v>
      </c>
      <c r="BY174" s="68">
        <v>76541</v>
      </c>
      <c r="BZ174" s="68">
        <v>89736</v>
      </c>
      <c r="CA174" s="69">
        <v>5745</v>
      </c>
      <c r="CB174" s="68">
        <v>100338</v>
      </c>
      <c r="CC174" s="68">
        <v>1588</v>
      </c>
      <c r="CD174" s="61"/>
      <c r="CE174" s="64"/>
      <c r="CF174" s="64"/>
      <c r="CG174" s="70">
        <f t="shared" si="11"/>
        <v>4214.1959999999999</v>
      </c>
      <c r="CH174" s="70">
        <f t="shared" si="12"/>
        <v>241.29</v>
      </c>
      <c r="CI174" s="70">
        <f t="shared" si="13"/>
        <v>66.695999999999998</v>
      </c>
      <c r="CJ174" s="70">
        <f t="shared" si="15"/>
        <v>3214.7220000000002</v>
      </c>
      <c r="CK174" s="70">
        <f t="shared" si="15"/>
        <v>3768.9119999999998</v>
      </c>
      <c r="CL174" s="70">
        <f t="shared" si="14"/>
        <v>66.695999999999998</v>
      </c>
      <c r="CM174" s="61"/>
      <c r="CN174" s="61"/>
      <c r="CO174" s="61"/>
      <c r="CP174" s="61"/>
      <c r="CQ174" s="61"/>
      <c r="CR174" s="61"/>
      <c r="CS174" s="61"/>
      <c r="CT174" s="61"/>
      <c r="CU174" s="61"/>
      <c r="CV174" s="61"/>
      <c r="CW174" s="61"/>
      <c r="CX174" s="61"/>
      <c r="CY174" s="61"/>
      <c r="CZ174" s="61"/>
      <c r="DA174" s="61"/>
      <c r="DB174" s="61"/>
      <c r="DC174" s="61"/>
      <c r="DD174" s="61"/>
      <c r="DE174" s="61"/>
      <c r="DF174" s="61"/>
      <c r="DG174" s="61"/>
      <c r="DH174" s="61"/>
      <c r="DI174" s="61"/>
      <c r="DJ174" s="61"/>
      <c r="DK174" s="61"/>
      <c r="DL174" s="61"/>
      <c r="DM174" s="61"/>
      <c r="DN174" s="61"/>
      <c r="DO174" s="61"/>
      <c r="DP174" s="61"/>
      <c r="DQ174" s="61"/>
      <c r="DR174" s="61"/>
      <c r="DS174" s="61"/>
      <c r="DT174" s="61"/>
      <c r="DU174" s="61"/>
      <c r="DV174" s="61"/>
      <c r="DW174" s="61"/>
      <c r="DX174" s="61"/>
      <c r="DY174" s="61"/>
      <c r="DZ174" s="61"/>
      <c r="EA174" s="61"/>
      <c r="EB174" s="61"/>
      <c r="EC174" s="61"/>
      <c r="ED174" s="61"/>
      <c r="EE174" s="61"/>
      <c r="EF174" s="61"/>
      <c r="EG174" s="61"/>
      <c r="EH174" s="61"/>
      <c r="EI174" s="61"/>
      <c r="EJ174" s="61"/>
      <c r="EK174" s="61"/>
      <c r="EL174" s="61"/>
      <c r="EM174" s="61"/>
      <c r="EN174" s="61"/>
      <c r="EO174" s="61"/>
      <c r="EP174" s="61"/>
      <c r="EQ174" s="61"/>
      <c r="ER174" s="61"/>
      <c r="ES174" s="61"/>
      <c r="ET174" s="61"/>
      <c r="EU174" s="61"/>
      <c r="EV174" s="61"/>
      <c r="EW174" s="61"/>
    </row>
    <row r="175" spans="1:153">
      <c r="A175" s="56">
        <v>31898</v>
      </c>
      <c r="B175" s="57"/>
      <c r="C175" s="7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71"/>
      <c r="P175" s="60">
        <v>208.99</v>
      </c>
      <c r="Q175" s="61">
        <v>10.423</v>
      </c>
      <c r="R175" s="61">
        <v>244.00700000000001</v>
      </c>
      <c r="S175" s="61">
        <v>509.03199999999998</v>
      </c>
      <c r="T175" s="61">
        <v>255.62700000000001</v>
      </c>
      <c r="U175" s="61">
        <v>9.3819999999999997</v>
      </c>
      <c r="V175" s="61">
        <v>1.2999999999999999E-2</v>
      </c>
      <c r="W175" s="61">
        <v>3.0000000000000001E-3</v>
      </c>
      <c r="X175" s="61">
        <v>208.99</v>
      </c>
      <c r="Y175" s="61">
        <v>24.593</v>
      </c>
      <c r="Z175" s="61">
        <v>10.423</v>
      </c>
      <c r="AA175" s="61">
        <v>244.00700000000001</v>
      </c>
      <c r="AB175" s="60">
        <v>509.03199999999998</v>
      </c>
      <c r="AC175" s="62"/>
      <c r="AD175" s="61"/>
      <c r="AE175" s="61"/>
      <c r="AF175" s="61"/>
      <c r="AG175" s="61"/>
      <c r="AH175" s="61"/>
      <c r="AI175" s="61"/>
      <c r="AJ175" s="61"/>
      <c r="AK175" s="62"/>
      <c r="AL175" s="63"/>
      <c r="AM175" s="64"/>
      <c r="AN175" s="65" t="e">
        <v>#N/A</v>
      </c>
      <c r="AO175" s="61" t="e">
        <v>#N/A</v>
      </c>
      <c r="AP175" s="61" t="e">
        <v>#N/A</v>
      </c>
      <c r="AQ175" s="61" t="e">
        <v>#N/A</v>
      </c>
      <c r="AR175" s="61" t="e">
        <v>#N/A</v>
      </c>
      <c r="AS175" s="61" t="e">
        <v>#N/A</v>
      </c>
      <c r="AT175" s="61" t="e">
        <v>#N/A</v>
      </c>
      <c r="AU175" s="61" t="e">
        <v>#N/A</v>
      </c>
      <c r="AV175" s="61" t="e">
        <v>#N/A</v>
      </c>
      <c r="AW175" s="61" t="e">
        <v>#N/A</v>
      </c>
      <c r="AX175" s="65" t="e">
        <v>#N/A</v>
      </c>
      <c r="AY175" s="66" t="s">
        <v>121</v>
      </c>
      <c r="AZ175" s="61" t="s">
        <v>121</v>
      </c>
      <c r="BA175" s="61">
        <v>72.191999999999993</v>
      </c>
      <c r="BB175" s="61">
        <v>72.191999999999993</v>
      </c>
      <c r="BC175" s="61" t="s">
        <v>121</v>
      </c>
      <c r="BD175" s="61" t="s">
        <v>121</v>
      </c>
      <c r="BE175" s="61" t="s">
        <v>121</v>
      </c>
      <c r="BF175" s="61" t="s">
        <v>121</v>
      </c>
      <c r="BG175" s="61">
        <v>2.4630000000000001</v>
      </c>
      <c r="BH175" s="61" t="s">
        <v>121</v>
      </c>
      <c r="BI175" s="61">
        <v>4.5999999999999999E-2</v>
      </c>
      <c r="BJ175" s="61">
        <v>2.5089999999999999</v>
      </c>
      <c r="BK175" s="66">
        <v>2.5089999999999999</v>
      </c>
      <c r="BL175" s="67">
        <v>5.6120000000000001</v>
      </c>
      <c r="BM175" s="61" t="s">
        <v>121</v>
      </c>
      <c r="BN175" s="61" t="s">
        <v>121</v>
      </c>
      <c r="BO175" s="61" t="s">
        <v>121</v>
      </c>
      <c r="BP175" s="61">
        <v>5.6120000000000001</v>
      </c>
      <c r="BQ175" s="61">
        <v>252.16</v>
      </c>
      <c r="BR175" s="61">
        <v>9.3819999999999997</v>
      </c>
      <c r="BS175" s="61">
        <v>1.2999999999999999E-2</v>
      </c>
      <c r="BT175" s="61">
        <v>3.0000000000000001E-3</v>
      </c>
      <c r="BU175" s="61">
        <v>0.48299999999999998</v>
      </c>
      <c r="BV175" s="61">
        <v>0.66200000000000003</v>
      </c>
      <c r="BW175" s="61">
        <v>1.145</v>
      </c>
      <c r="BX175" s="67">
        <v>262.70400000000001</v>
      </c>
      <c r="BY175" s="68">
        <v>79406</v>
      </c>
      <c r="BZ175" s="68">
        <v>83198</v>
      </c>
      <c r="CA175" s="69">
        <v>6288</v>
      </c>
      <c r="CB175" s="68">
        <v>101286</v>
      </c>
      <c r="CC175" s="68">
        <v>1595</v>
      </c>
      <c r="CD175" s="61"/>
      <c r="CE175" s="64"/>
      <c r="CF175" s="64"/>
      <c r="CG175" s="70">
        <f t="shared" si="11"/>
        <v>4254.0119999999997</v>
      </c>
      <c r="CH175" s="70">
        <f t="shared" si="12"/>
        <v>264.096</v>
      </c>
      <c r="CI175" s="70">
        <f t="shared" si="13"/>
        <v>66.989999999999995</v>
      </c>
      <c r="CJ175" s="70">
        <f t="shared" si="15"/>
        <v>3335.0520000000001</v>
      </c>
      <c r="CK175" s="70">
        <f t="shared" si="15"/>
        <v>3494.3159999999998</v>
      </c>
      <c r="CL175" s="70">
        <f t="shared" si="14"/>
        <v>66.989999999999995</v>
      </c>
      <c r="CM175" s="61"/>
      <c r="CN175" s="61"/>
      <c r="CO175" s="61"/>
      <c r="CP175" s="61"/>
      <c r="CQ175" s="61"/>
      <c r="CR175" s="61"/>
      <c r="CS175" s="61"/>
      <c r="CT175" s="61"/>
      <c r="CU175" s="61"/>
      <c r="CV175" s="61"/>
      <c r="CW175" s="61"/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61"/>
      <c r="EE175" s="61"/>
      <c r="EF175" s="61"/>
      <c r="EG175" s="61"/>
      <c r="EH175" s="61"/>
      <c r="EI175" s="61"/>
      <c r="EJ175" s="61"/>
      <c r="EK175" s="61"/>
      <c r="EL175" s="61"/>
      <c r="EM175" s="61"/>
      <c r="EN175" s="61"/>
      <c r="EO175" s="61"/>
      <c r="EP175" s="61"/>
      <c r="EQ175" s="61"/>
      <c r="ER175" s="61"/>
      <c r="ES175" s="61"/>
      <c r="ET175" s="61"/>
      <c r="EU175" s="61"/>
      <c r="EV175" s="61"/>
      <c r="EW175" s="61"/>
    </row>
    <row r="176" spans="1:153">
      <c r="A176" s="56">
        <v>31929</v>
      </c>
      <c r="B176" s="57"/>
      <c r="C176" s="7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71"/>
      <c r="P176" s="60">
        <v>202.596</v>
      </c>
      <c r="Q176" s="61">
        <v>10.087</v>
      </c>
      <c r="R176" s="61">
        <v>236.52199999999999</v>
      </c>
      <c r="S176" s="61">
        <v>466.87299999999999</v>
      </c>
      <c r="T176" s="61">
        <v>220.68899999999999</v>
      </c>
      <c r="U176" s="61">
        <v>9.6349999999999998</v>
      </c>
      <c r="V176" s="61">
        <v>1.7000000000000001E-2</v>
      </c>
      <c r="W176" s="61">
        <v>0.01</v>
      </c>
      <c r="X176" s="61">
        <v>202.596</v>
      </c>
      <c r="Y176" s="61">
        <v>23.838999999999999</v>
      </c>
      <c r="Z176" s="61">
        <v>10.087</v>
      </c>
      <c r="AA176" s="61">
        <v>236.52199999999999</v>
      </c>
      <c r="AB176" s="60">
        <v>466.87299999999999</v>
      </c>
      <c r="AC176" s="62"/>
      <c r="AD176" s="61"/>
      <c r="AE176" s="61"/>
      <c r="AF176" s="61"/>
      <c r="AG176" s="61"/>
      <c r="AH176" s="61"/>
      <c r="AI176" s="61"/>
      <c r="AJ176" s="61"/>
      <c r="AK176" s="62"/>
      <c r="AL176" s="63"/>
      <c r="AM176" s="64"/>
      <c r="AN176" s="65" t="e">
        <v>#N/A</v>
      </c>
      <c r="AO176" s="61" t="e">
        <v>#N/A</v>
      </c>
      <c r="AP176" s="61" t="e">
        <v>#N/A</v>
      </c>
      <c r="AQ176" s="61" t="e">
        <v>#N/A</v>
      </c>
      <c r="AR176" s="61" t="e">
        <v>#N/A</v>
      </c>
      <c r="AS176" s="61" t="e">
        <v>#N/A</v>
      </c>
      <c r="AT176" s="61" t="e">
        <v>#N/A</v>
      </c>
      <c r="AU176" s="61" t="e">
        <v>#N/A</v>
      </c>
      <c r="AV176" s="61" t="e">
        <v>#N/A</v>
      </c>
      <c r="AW176" s="61" t="e">
        <v>#N/A</v>
      </c>
      <c r="AX176" s="65" t="e">
        <v>#N/A</v>
      </c>
      <c r="AY176" s="66" t="s">
        <v>121</v>
      </c>
      <c r="AZ176" s="61" t="s">
        <v>121</v>
      </c>
      <c r="BA176" s="61">
        <v>69.863</v>
      </c>
      <c r="BB176" s="61">
        <v>69.863</v>
      </c>
      <c r="BC176" s="61" t="s">
        <v>121</v>
      </c>
      <c r="BD176" s="61" t="s">
        <v>121</v>
      </c>
      <c r="BE176" s="61" t="s">
        <v>121</v>
      </c>
      <c r="BF176" s="61" t="s">
        <v>121</v>
      </c>
      <c r="BG176" s="61">
        <v>2.3839999999999999</v>
      </c>
      <c r="BH176" s="61" t="s">
        <v>121</v>
      </c>
      <c r="BI176" s="61">
        <v>4.4999999999999998E-2</v>
      </c>
      <c r="BJ176" s="61">
        <v>2.4279999999999999</v>
      </c>
      <c r="BK176" s="66">
        <v>2.4279999999999999</v>
      </c>
      <c r="BL176" s="67">
        <v>5.431</v>
      </c>
      <c r="BM176" s="61" t="s">
        <v>121</v>
      </c>
      <c r="BN176" s="61" t="s">
        <v>121</v>
      </c>
      <c r="BO176" s="61" t="s">
        <v>121</v>
      </c>
      <c r="BP176" s="61">
        <v>5.431</v>
      </c>
      <c r="BQ176" s="61">
        <v>217.36699999999999</v>
      </c>
      <c r="BR176" s="61">
        <v>9.6349999999999998</v>
      </c>
      <c r="BS176" s="61">
        <v>1.7000000000000001E-2</v>
      </c>
      <c r="BT176" s="61">
        <v>0.01</v>
      </c>
      <c r="BU176" s="61">
        <v>0.81499999999999995</v>
      </c>
      <c r="BV176" s="61">
        <v>0.67900000000000005</v>
      </c>
      <c r="BW176" s="61">
        <v>1.4950000000000001</v>
      </c>
      <c r="BX176" s="67">
        <v>228.524</v>
      </c>
      <c r="BY176" s="68">
        <v>80621</v>
      </c>
      <c r="BZ176" s="68">
        <v>83690</v>
      </c>
      <c r="CA176" s="69">
        <v>7963</v>
      </c>
      <c r="CB176" s="68">
        <v>104391</v>
      </c>
      <c r="CC176" s="68">
        <v>1834</v>
      </c>
      <c r="CD176" s="61"/>
      <c r="CE176" s="64"/>
      <c r="CF176" s="64"/>
      <c r="CG176" s="70">
        <f t="shared" si="11"/>
        <v>4384.4219999999996</v>
      </c>
      <c r="CH176" s="70">
        <f t="shared" si="12"/>
        <v>334.44600000000003</v>
      </c>
      <c r="CI176" s="70">
        <f t="shared" si="13"/>
        <v>77.028000000000006</v>
      </c>
      <c r="CJ176" s="70">
        <f t="shared" si="15"/>
        <v>3386.0819999999999</v>
      </c>
      <c r="CK176" s="70">
        <f t="shared" si="15"/>
        <v>3514.98</v>
      </c>
      <c r="CL176" s="70">
        <f t="shared" si="14"/>
        <v>77.028000000000006</v>
      </c>
      <c r="CM176" s="61"/>
      <c r="CN176" s="61"/>
      <c r="CO176" s="61"/>
      <c r="CP176" s="61"/>
      <c r="CQ176" s="61"/>
      <c r="CR176" s="61"/>
      <c r="CS176" s="61"/>
      <c r="CT176" s="61"/>
      <c r="CU176" s="61"/>
      <c r="CV176" s="61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61"/>
      <c r="EE176" s="61"/>
      <c r="EF176" s="61"/>
      <c r="EG176" s="61"/>
      <c r="EH176" s="61"/>
      <c r="EI176" s="61"/>
      <c r="EJ176" s="61"/>
      <c r="EK176" s="61"/>
      <c r="EL176" s="61"/>
      <c r="EM176" s="61"/>
      <c r="EN176" s="61"/>
      <c r="EO176" s="61"/>
      <c r="EP176" s="61"/>
      <c r="EQ176" s="61"/>
      <c r="ER176" s="61"/>
      <c r="ES176" s="61"/>
      <c r="ET176" s="61"/>
      <c r="EU176" s="61"/>
      <c r="EV176" s="61"/>
      <c r="EW176" s="61"/>
    </row>
    <row r="177" spans="1:153">
      <c r="A177" s="56">
        <v>31959</v>
      </c>
      <c r="B177" s="57"/>
      <c r="C177" s="7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71"/>
      <c r="P177" s="60">
        <v>209.33500000000001</v>
      </c>
      <c r="Q177" s="61">
        <v>10.423</v>
      </c>
      <c r="R177" s="61">
        <v>244.35900000000001</v>
      </c>
      <c r="S177" s="61">
        <v>467.69099999999997</v>
      </c>
      <c r="T177" s="61">
        <v>213.34</v>
      </c>
      <c r="U177" s="61">
        <v>9.9610000000000003</v>
      </c>
      <c r="V177" s="61">
        <v>1.9E-2</v>
      </c>
      <c r="W177" s="61">
        <v>1.2999999999999999E-2</v>
      </c>
      <c r="X177" s="61">
        <v>209.33500000000001</v>
      </c>
      <c r="Y177" s="61">
        <v>24.600999999999999</v>
      </c>
      <c r="Z177" s="61">
        <v>10.423</v>
      </c>
      <c r="AA177" s="61">
        <v>244.35900000000001</v>
      </c>
      <c r="AB177" s="60">
        <v>467.69099999999997</v>
      </c>
      <c r="AC177" s="62"/>
      <c r="AD177" s="61"/>
      <c r="AE177" s="61"/>
      <c r="AF177" s="61"/>
      <c r="AG177" s="61"/>
      <c r="AH177" s="61"/>
      <c r="AI177" s="61"/>
      <c r="AJ177" s="61"/>
      <c r="AK177" s="62"/>
      <c r="AL177" s="63"/>
      <c r="AM177" s="64"/>
      <c r="AN177" s="65" t="e">
        <v>#N/A</v>
      </c>
      <c r="AO177" s="61" t="e">
        <v>#N/A</v>
      </c>
      <c r="AP177" s="61" t="e">
        <v>#N/A</v>
      </c>
      <c r="AQ177" s="61" t="e">
        <v>#N/A</v>
      </c>
      <c r="AR177" s="61" t="e">
        <v>#N/A</v>
      </c>
      <c r="AS177" s="61" t="e">
        <v>#N/A</v>
      </c>
      <c r="AT177" s="61" t="e">
        <v>#N/A</v>
      </c>
      <c r="AU177" s="61" t="e">
        <v>#N/A</v>
      </c>
      <c r="AV177" s="61" t="e">
        <v>#N/A</v>
      </c>
      <c r="AW177" s="61" t="e">
        <v>#N/A</v>
      </c>
      <c r="AX177" s="65" t="e">
        <v>#N/A</v>
      </c>
      <c r="AY177" s="66" t="s">
        <v>121</v>
      </c>
      <c r="AZ177" s="61" t="s">
        <v>121</v>
      </c>
      <c r="BA177" s="61">
        <v>72.191999999999993</v>
      </c>
      <c r="BB177" s="61">
        <v>72.191999999999993</v>
      </c>
      <c r="BC177" s="61" t="s">
        <v>121</v>
      </c>
      <c r="BD177" s="61" t="s">
        <v>121</v>
      </c>
      <c r="BE177" s="61" t="s">
        <v>121</v>
      </c>
      <c r="BF177" s="61" t="s">
        <v>121</v>
      </c>
      <c r="BG177" s="61">
        <v>2.4630000000000001</v>
      </c>
      <c r="BH177" s="61" t="s">
        <v>121</v>
      </c>
      <c r="BI177" s="61">
        <v>4.5999999999999999E-2</v>
      </c>
      <c r="BJ177" s="61">
        <v>2.5089999999999999</v>
      </c>
      <c r="BK177" s="66">
        <v>2.5089999999999999</v>
      </c>
      <c r="BL177" s="67">
        <v>5.6120000000000001</v>
      </c>
      <c r="BM177" s="61" t="s">
        <v>121</v>
      </c>
      <c r="BN177" s="61" t="s">
        <v>121</v>
      </c>
      <c r="BO177" s="61" t="s">
        <v>121</v>
      </c>
      <c r="BP177" s="61">
        <v>5.6120000000000001</v>
      </c>
      <c r="BQ177" s="61">
        <v>210.40700000000001</v>
      </c>
      <c r="BR177" s="61">
        <v>9.9610000000000003</v>
      </c>
      <c r="BS177" s="61">
        <v>1.9E-2</v>
      </c>
      <c r="BT177" s="61">
        <v>1.2999999999999999E-2</v>
      </c>
      <c r="BU177" s="61">
        <v>0.82799999999999996</v>
      </c>
      <c r="BV177" s="61">
        <v>0.67</v>
      </c>
      <c r="BW177" s="61">
        <v>1.498</v>
      </c>
      <c r="BX177" s="67">
        <v>221.89699999999999</v>
      </c>
      <c r="BY177" s="68">
        <v>83677</v>
      </c>
      <c r="BZ177" s="68">
        <v>84113</v>
      </c>
      <c r="CA177" s="69">
        <v>11800</v>
      </c>
      <c r="CB177" s="68">
        <v>114602</v>
      </c>
      <c r="CC177" s="68">
        <v>1189</v>
      </c>
      <c r="CD177" s="61"/>
      <c r="CE177" s="64"/>
      <c r="CF177" s="64"/>
      <c r="CG177" s="70">
        <f t="shared" si="11"/>
        <v>4813.2839999999997</v>
      </c>
      <c r="CH177" s="70">
        <f t="shared" si="12"/>
        <v>495.6</v>
      </c>
      <c r="CI177" s="70">
        <f t="shared" si="13"/>
        <v>49.938000000000002</v>
      </c>
      <c r="CJ177" s="70">
        <f t="shared" si="15"/>
        <v>3514.4340000000002</v>
      </c>
      <c r="CK177" s="70">
        <f t="shared" si="15"/>
        <v>3532.7460000000001</v>
      </c>
      <c r="CL177" s="70">
        <f t="shared" si="14"/>
        <v>49.938000000000002</v>
      </c>
      <c r="CM177" s="61"/>
      <c r="CN177" s="61"/>
      <c r="CO177" s="61"/>
      <c r="CP177" s="61"/>
      <c r="CQ177" s="61"/>
      <c r="CR177" s="61"/>
      <c r="CS177" s="61"/>
      <c r="CT177" s="61"/>
      <c r="CU177" s="61"/>
      <c r="CV177" s="61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61"/>
      <c r="EE177" s="61"/>
      <c r="EF177" s="61"/>
      <c r="EG177" s="61"/>
      <c r="EH177" s="61"/>
      <c r="EI177" s="61"/>
      <c r="EJ177" s="61"/>
      <c r="EK177" s="61"/>
      <c r="EL177" s="61"/>
      <c r="EM177" s="61"/>
      <c r="EN177" s="61"/>
      <c r="EO177" s="61"/>
      <c r="EP177" s="61"/>
      <c r="EQ177" s="61"/>
      <c r="ER177" s="61"/>
      <c r="ES177" s="61"/>
      <c r="ET177" s="61"/>
      <c r="EU177" s="61"/>
      <c r="EV177" s="61"/>
      <c r="EW177" s="61"/>
    </row>
    <row r="178" spans="1:153">
      <c r="A178" s="56">
        <v>31990</v>
      </c>
      <c r="B178" s="57"/>
      <c r="C178" s="7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71"/>
      <c r="P178" s="60">
        <v>209.36500000000001</v>
      </c>
      <c r="Q178" s="61">
        <v>10.423</v>
      </c>
      <c r="R178" s="61">
        <v>244.39599999999999</v>
      </c>
      <c r="S178" s="61">
        <v>448.98599999999999</v>
      </c>
      <c r="T178" s="61">
        <v>194.65199999999999</v>
      </c>
      <c r="U178" s="61">
        <v>9.923</v>
      </c>
      <c r="V178" s="61">
        <v>1.2E-2</v>
      </c>
      <c r="W178" s="61">
        <v>2E-3</v>
      </c>
      <c r="X178" s="61">
        <v>209.36500000000001</v>
      </c>
      <c r="Y178" s="61">
        <v>24.608000000000001</v>
      </c>
      <c r="Z178" s="61">
        <v>10.423</v>
      </c>
      <c r="AA178" s="61">
        <v>244.39599999999999</v>
      </c>
      <c r="AB178" s="60">
        <v>448.98599999999999</v>
      </c>
      <c r="AC178" s="62"/>
      <c r="AD178" s="61"/>
      <c r="AE178" s="61"/>
      <c r="AF178" s="61"/>
      <c r="AG178" s="61"/>
      <c r="AH178" s="61"/>
      <c r="AI178" s="61"/>
      <c r="AJ178" s="61"/>
      <c r="AK178" s="62"/>
      <c r="AL178" s="63"/>
      <c r="AM178" s="64"/>
      <c r="AN178" s="65" t="e">
        <v>#N/A</v>
      </c>
      <c r="AO178" s="61" t="e">
        <v>#N/A</v>
      </c>
      <c r="AP178" s="61" t="e">
        <v>#N/A</v>
      </c>
      <c r="AQ178" s="61" t="e">
        <v>#N/A</v>
      </c>
      <c r="AR178" s="61" t="e">
        <v>#N/A</v>
      </c>
      <c r="AS178" s="61" t="e">
        <v>#N/A</v>
      </c>
      <c r="AT178" s="61" t="e">
        <v>#N/A</v>
      </c>
      <c r="AU178" s="61" t="e">
        <v>#N/A</v>
      </c>
      <c r="AV178" s="61" t="e">
        <v>#N/A</v>
      </c>
      <c r="AW178" s="61" t="e">
        <v>#N/A</v>
      </c>
      <c r="AX178" s="65" t="e">
        <v>#N/A</v>
      </c>
      <c r="AY178" s="66" t="s">
        <v>121</v>
      </c>
      <c r="AZ178" s="61" t="s">
        <v>121</v>
      </c>
      <c r="BA178" s="61">
        <v>72.191999999999993</v>
      </c>
      <c r="BB178" s="61">
        <v>72.191999999999993</v>
      </c>
      <c r="BC178" s="61" t="s">
        <v>121</v>
      </c>
      <c r="BD178" s="61" t="s">
        <v>121</v>
      </c>
      <c r="BE178" s="61" t="s">
        <v>121</v>
      </c>
      <c r="BF178" s="61" t="s">
        <v>121</v>
      </c>
      <c r="BG178" s="61">
        <v>2.4630000000000001</v>
      </c>
      <c r="BH178" s="61" t="s">
        <v>121</v>
      </c>
      <c r="BI178" s="61">
        <v>4.5999999999999999E-2</v>
      </c>
      <c r="BJ178" s="61">
        <v>2.5089999999999999</v>
      </c>
      <c r="BK178" s="66">
        <v>2.5089999999999999</v>
      </c>
      <c r="BL178" s="67">
        <v>5.6120000000000001</v>
      </c>
      <c r="BM178" s="61" t="s">
        <v>121</v>
      </c>
      <c r="BN178" s="61" t="s">
        <v>121</v>
      </c>
      <c r="BO178" s="61" t="s">
        <v>121</v>
      </c>
      <c r="BP178" s="61">
        <v>5.6120000000000001</v>
      </c>
      <c r="BQ178" s="61">
        <v>192.19200000000001</v>
      </c>
      <c r="BR178" s="61">
        <v>9.923</v>
      </c>
      <c r="BS178" s="61">
        <v>1.2E-2</v>
      </c>
      <c r="BT178" s="61">
        <v>2E-3</v>
      </c>
      <c r="BU178" s="61">
        <v>0.85799999999999998</v>
      </c>
      <c r="BV178" s="61">
        <v>0.67700000000000005</v>
      </c>
      <c r="BW178" s="61">
        <v>1.5349999999999999</v>
      </c>
      <c r="BX178" s="67">
        <v>203.66499999999999</v>
      </c>
      <c r="BY178" s="68">
        <v>83831</v>
      </c>
      <c r="BZ178" s="68">
        <v>79154</v>
      </c>
      <c r="CA178" s="69">
        <v>6882</v>
      </c>
      <c r="CB178" s="68">
        <v>124735</v>
      </c>
      <c r="CC178" s="68">
        <v>1466</v>
      </c>
      <c r="CD178" s="61"/>
      <c r="CE178" s="64"/>
      <c r="CF178" s="64"/>
      <c r="CG178" s="70">
        <f t="shared" si="11"/>
        <v>5238.87</v>
      </c>
      <c r="CH178" s="70">
        <f t="shared" si="12"/>
        <v>289.04399999999998</v>
      </c>
      <c r="CI178" s="70">
        <f t="shared" si="13"/>
        <v>61.572000000000003</v>
      </c>
      <c r="CJ178" s="70">
        <f t="shared" si="15"/>
        <v>3520.902</v>
      </c>
      <c r="CK178" s="70">
        <f t="shared" si="15"/>
        <v>3324.4679999999998</v>
      </c>
      <c r="CL178" s="70">
        <f t="shared" si="14"/>
        <v>61.572000000000003</v>
      </c>
      <c r="CM178" s="61"/>
      <c r="CN178" s="61"/>
      <c r="CO178" s="61"/>
      <c r="CP178" s="61"/>
      <c r="CQ178" s="61"/>
      <c r="CR178" s="61"/>
      <c r="CS178" s="61"/>
      <c r="CT178" s="61"/>
      <c r="CU178" s="61"/>
      <c r="CV178" s="61"/>
      <c r="CW178" s="61"/>
      <c r="CX178" s="61"/>
      <c r="CY178" s="61"/>
      <c r="CZ178" s="61"/>
      <c r="DA178" s="61"/>
      <c r="DB178" s="61"/>
      <c r="DC178" s="61"/>
      <c r="DD178" s="61"/>
      <c r="DE178" s="61"/>
      <c r="DF178" s="61"/>
      <c r="DG178" s="61"/>
      <c r="DH178" s="61"/>
      <c r="DI178" s="61"/>
      <c r="DJ178" s="61"/>
      <c r="DK178" s="61"/>
      <c r="DL178" s="61"/>
      <c r="DM178" s="61"/>
      <c r="DN178" s="61"/>
      <c r="DO178" s="61"/>
      <c r="DP178" s="61"/>
      <c r="DQ178" s="61"/>
      <c r="DR178" s="61"/>
      <c r="DS178" s="61"/>
      <c r="DT178" s="61"/>
      <c r="DU178" s="61"/>
      <c r="DV178" s="61"/>
      <c r="DW178" s="61"/>
      <c r="DX178" s="61"/>
      <c r="DY178" s="61"/>
      <c r="DZ178" s="61"/>
      <c r="EA178" s="61"/>
      <c r="EB178" s="61"/>
      <c r="EC178" s="61"/>
      <c r="ED178" s="61"/>
      <c r="EE178" s="61"/>
      <c r="EF178" s="61"/>
      <c r="EG178" s="61"/>
      <c r="EH178" s="61"/>
      <c r="EI178" s="61"/>
      <c r="EJ178" s="61"/>
      <c r="EK178" s="61"/>
      <c r="EL178" s="61"/>
      <c r="EM178" s="61"/>
      <c r="EN178" s="61"/>
      <c r="EO178" s="61"/>
      <c r="EP178" s="61"/>
      <c r="EQ178" s="61"/>
      <c r="ER178" s="61"/>
      <c r="ES178" s="61"/>
      <c r="ET178" s="61"/>
      <c r="EU178" s="61"/>
      <c r="EV178" s="61"/>
      <c r="EW178" s="61"/>
    </row>
    <row r="179" spans="1:153">
      <c r="A179" s="56">
        <v>32021</v>
      </c>
      <c r="B179" s="57"/>
      <c r="C179" s="7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71"/>
      <c r="P179" s="60">
        <v>202.52</v>
      </c>
      <c r="Q179" s="61">
        <v>10.087</v>
      </c>
      <c r="R179" s="61">
        <v>236.298</v>
      </c>
      <c r="S179" s="61">
        <v>437.20100000000002</v>
      </c>
      <c r="T179" s="61">
        <v>191.63499999999999</v>
      </c>
      <c r="U179" s="61">
        <v>9.2569999999999997</v>
      </c>
      <c r="V179" s="61">
        <v>8.0000000000000002E-3</v>
      </c>
      <c r="W179" s="61">
        <v>2E-3</v>
      </c>
      <c r="X179" s="61">
        <v>202.52</v>
      </c>
      <c r="Y179" s="61">
        <v>23.690999999999999</v>
      </c>
      <c r="Z179" s="61">
        <v>10.087</v>
      </c>
      <c r="AA179" s="61">
        <v>236.298</v>
      </c>
      <c r="AB179" s="60">
        <v>437.20100000000002</v>
      </c>
      <c r="AC179" s="62"/>
      <c r="AD179" s="61"/>
      <c r="AE179" s="61"/>
      <c r="AF179" s="61"/>
      <c r="AG179" s="61"/>
      <c r="AH179" s="61"/>
      <c r="AI179" s="61"/>
      <c r="AJ179" s="61"/>
      <c r="AK179" s="62"/>
      <c r="AL179" s="63"/>
      <c r="AM179" s="64"/>
      <c r="AN179" s="65" t="e">
        <v>#N/A</v>
      </c>
      <c r="AO179" s="61" t="e">
        <v>#N/A</v>
      </c>
      <c r="AP179" s="61" t="e">
        <v>#N/A</v>
      </c>
      <c r="AQ179" s="61" t="e">
        <v>#N/A</v>
      </c>
      <c r="AR179" s="61" t="e">
        <v>#N/A</v>
      </c>
      <c r="AS179" s="61" t="e">
        <v>#N/A</v>
      </c>
      <c r="AT179" s="61" t="e">
        <v>#N/A</v>
      </c>
      <c r="AU179" s="61" t="e">
        <v>#N/A</v>
      </c>
      <c r="AV179" s="61" t="e">
        <v>#N/A</v>
      </c>
      <c r="AW179" s="61" t="e">
        <v>#N/A</v>
      </c>
      <c r="AX179" s="65" t="e">
        <v>#N/A</v>
      </c>
      <c r="AY179" s="66" t="s">
        <v>121</v>
      </c>
      <c r="AZ179" s="61" t="s">
        <v>121</v>
      </c>
      <c r="BA179" s="61">
        <v>69.863</v>
      </c>
      <c r="BB179" s="61">
        <v>69.863</v>
      </c>
      <c r="BC179" s="61" t="s">
        <v>121</v>
      </c>
      <c r="BD179" s="61" t="s">
        <v>121</v>
      </c>
      <c r="BE179" s="61" t="s">
        <v>121</v>
      </c>
      <c r="BF179" s="61" t="s">
        <v>121</v>
      </c>
      <c r="BG179" s="61">
        <v>2.3839999999999999</v>
      </c>
      <c r="BH179" s="61" t="s">
        <v>121</v>
      </c>
      <c r="BI179" s="61">
        <v>4.4999999999999998E-2</v>
      </c>
      <c r="BJ179" s="61">
        <v>2.4279999999999999</v>
      </c>
      <c r="BK179" s="66">
        <v>2.4279999999999999</v>
      </c>
      <c r="BL179" s="67">
        <v>5.431</v>
      </c>
      <c r="BM179" s="61" t="s">
        <v>121</v>
      </c>
      <c r="BN179" s="61" t="s">
        <v>121</v>
      </c>
      <c r="BO179" s="61" t="s">
        <v>121</v>
      </c>
      <c r="BP179" s="61">
        <v>5.431</v>
      </c>
      <c r="BQ179" s="61">
        <v>189.41399999999999</v>
      </c>
      <c r="BR179" s="61">
        <v>9.2569999999999997</v>
      </c>
      <c r="BS179" s="61">
        <v>8.0000000000000002E-3</v>
      </c>
      <c r="BT179" s="61">
        <v>2E-3</v>
      </c>
      <c r="BU179" s="61">
        <v>0.73899999999999999</v>
      </c>
      <c r="BV179" s="61">
        <v>0.53200000000000003</v>
      </c>
      <c r="BW179" s="61">
        <v>1.2709999999999999</v>
      </c>
      <c r="BX179" s="67">
        <v>199.953</v>
      </c>
      <c r="BY179" s="68">
        <v>82401</v>
      </c>
      <c r="BZ179" s="68">
        <v>85130</v>
      </c>
      <c r="CA179" s="69">
        <v>6646</v>
      </c>
      <c r="CB179" s="68">
        <v>126762</v>
      </c>
      <c r="CC179" s="68">
        <v>1924</v>
      </c>
      <c r="CD179" s="61"/>
      <c r="CE179" s="64"/>
      <c r="CF179" s="64"/>
      <c r="CG179" s="70">
        <f t="shared" si="11"/>
        <v>5324.0039999999999</v>
      </c>
      <c r="CH179" s="70">
        <f t="shared" si="12"/>
        <v>279.13200000000001</v>
      </c>
      <c r="CI179" s="70">
        <f t="shared" si="13"/>
        <v>80.808000000000007</v>
      </c>
      <c r="CJ179" s="70">
        <f t="shared" si="15"/>
        <v>3460.8420000000001</v>
      </c>
      <c r="CK179" s="70">
        <f t="shared" si="15"/>
        <v>3575.46</v>
      </c>
      <c r="CL179" s="70">
        <f t="shared" si="14"/>
        <v>80.808000000000007</v>
      </c>
      <c r="CM179" s="61"/>
      <c r="CN179" s="61"/>
      <c r="CO179" s="61"/>
      <c r="CP179" s="61"/>
      <c r="CQ179" s="61"/>
      <c r="CR179" s="61"/>
      <c r="CS179" s="61"/>
      <c r="CT179" s="61"/>
      <c r="CU179" s="61"/>
      <c r="CV179" s="61"/>
      <c r="CW179" s="61"/>
      <c r="CX179" s="61"/>
      <c r="CY179" s="61"/>
      <c r="CZ179" s="61"/>
      <c r="DA179" s="61"/>
      <c r="DB179" s="61"/>
      <c r="DC179" s="61"/>
      <c r="DD179" s="61"/>
      <c r="DE179" s="61"/>
      <c r="DF179" s="61"/>
      <c r="DG179" s="61"/>
      <c r="DH179" s="61"/>
      <c r="DI179" s="61"/>
      <c r="DJ179" s="61"/>
      <c r="DK179" s="61"/>
      <c r="DL179" s="61"/>
      <c r="DM179" s="61"/>
      <c r="DN179" s="61"/>
      <c r="DO179" s="61"/>
      <c r="DP179" s="61"/>
      <c r="DQ179" s="61"/>
      <c r="DR179" s="61"/>
      <c r="DS179" s="61"/>
      <c r="DT179" s="61"/>
      <c r="DU179" s="61"/>
      <c r="DV179" s="61"/>
      <c r="DW179" s="61"/>
      <c r="DX179" s="61"/>
      <c r="DY179" s="61"/>
      <c r="DZ179" s="61"/>
      <c r="EA179" s="61"/>
      <c r="EB179" s="61"/>
      <c r="EC179" s="61"/>
      <c r="ED179" s="61"/>
      <c r="EE179" s="61"/>
      <c r="EF179" s="61"/>
      <c r="EG179" s="61"/>
      <c r="EH179" s="61"/>
      <c r="EI179" s="61"/>
      <c r="EJ179" s="61"/>
      <c r="EK179" s="61"/>
      <c r="EL179" s="61"/>
      <c r="EM179" s="61"/>
      <c r="EN179" s="61"/>
      <c r="EO179" s="61"/>
      <c r="EP179" s="61"/>
      <c r="EQ179" s="61"/>
      <c r="ER179" s="61"/>
      <c r="ES179" s="61"/>
      <c r="ET179" s="61"/>
      <c r="EU179" s="61"/>
      <c r="EV179" s="61"/>
      <c r="EW179" s="61"/>
    </row>
    <row r="180" spans="1:153">
      <c r="A180" s="56">
        <v>32051</v>
      </c>
      <c r="B180" s="57"/>
      <c r="C180" s="7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71"/>
      <c r="P180" s="60">
        <v>209.11199999999999</v>
      </c>
      <c r="Q180" s="61">
        <v>10.423</v>
      </c>
      <c r="R180" s="61">
        <v>244.059</v>
      </c>
      <c r="S180" s="61">
        <v>442.65499999999997</v>
      </c>
      <c r="T180" s="61">
        <v>189.215</v>
      </c>
      <c r="U180" s="61">
        <v>9.375</v>
      </c>
      <c r="V180" s="61">
        <v>6.0000000000000001E-3</v>
      </c>
      <c r="W180" s="61">
        <v>1E-3</v>
      </c>
      <c r="X180" s="61">
        <v>209.11199999999999</v>
      </c>
      <c r="Y180" s="61">
        <v>24.523</v>
      </c>
      <c r="Z180" s="61">
        <v>10.423</v>
      </c>
      <c r="AA180" s="61">
        <v>244.059</v>
      </c>
      <c r="AB180" s="60">
        <v>442.65499999999997</v>
      </c>
      <c r="AC180" s="62"/>
      <c r="AD180" s="61"/>
      <c r="AE180" s="61"/>
      <c r="AF180" s="61"/>
      <c r="AG180" s="61"/>
      <c r="AH180" s="61"/>
      <c r="AI180" s="61"/>
      <c r="AJ180" s="61"/>
      <c r="AK180" s="62"/>
      <c r="AL180" s="63"/>
      <c r="AM180" s="64"/>
      <c r="AN180" s="65" t="e">
        <v>#N/A</v>
      </c>
      <c r="AO180" s="61" t="e">
        <v>#N/A</v>
      </c>
      <c r="AP180" s="61" t="e">
        <v>#N/A</v>
      </c>
      <c r="AQ180" s="61" t="e">
        <v>#N/A</v>
      </c>
      <c r="AR180" s="61" t="e">
        <v>#N/A</v>
      </c>
      <c r="AS180" s="61" t="e">
        <v>#N/A</v>
      </c>
      <c r="AT180" s="61" t="e">
        <v>#N/A</v>
      </c>
      <c r="AU180" s="61" t="e">
        <v>#N/A</v>
      </c>
      <c r="AV180" s="61" t="e">
        <v>#N/A</v>
      </c>
      <c r="AW180" s="61" t="e">
        <v>#N/A</v>
      </c>
      <c r="AX180" s="65" t="e">
        <v>#N/A</v>
      </c>
      <c r="AY180" s="66" t="s">
        <v>121</v>
      </c>
      <c r="AZ180" s="61" t="s">
        <v>121</v>
      </c>
      <c r="BA180" s="61">
        <v>72.191999999999993</v>
      </c>
      <c r="BB180" s="61">
        <v>72.191999999999993</v>
      </c>
      <c r="BC180" s="61" t="s">
        <v>121</v>
      </c>
      <c r="BD180" s="61" t="s">
        <v>121</v>
      </c>
      <c r="BE180" s="61" t="s">
        <v>121</v>
      </c>
      <c r="BF180" s="61" t="s">
        <v>121</v>
      </c>
      <c r="BG180" s="61">
        <v>2.4630000000000001</v>
      </c>
      <c r="BH180" s="61" t="s">
        <v>121</v>
      </c>
      <c r="BI180" s="61">
        <v>4.5999999999999999E-2</v>
      </c>
      <c r="BJ180" s="61">
        <v>2.5089999999999999</v>
      </c>
      <c r="BK180" s="66">
        <v>2.5089999999999999</v>
      </c>
      <c r="BL180" s="67">
        <v>5.6120000000000001</v>
      </c>
      <c r="BM180" s="61" t="s">
        <v>121</v>
      </c>
      <c r="BN180" s="61" t="s">
        <v>121</v>
      </c>
      <c r="BO180" s="61" t="s">
        <v>121</v>
      </c>
      <c r="BP180" s="61">
        <v>5.6120000000000001</v>
      </c>
      <c r="BQ180" s="61">
        <v>187.06899999999999</v>
      </c>
      <c r="BR180" s="61">
        <v>9.375</v>
      </c>
      <c r="BS180" s="61">
        <v>6.0000000000000001E-3</v>
      </c>
      <c r="BT180" s="61">
        <v>1E-3</v>
      </c>
      <c r="BU180" s="61">
        <v>0.60499999999999998</v>
      </c>
      <c r="BV180" s="61">
        <v>0.59199999999999997</v>
      </c>
      <c r="BW180" s="61">
        <v>1.1970000000000001</v>
      </c>
      <c r="BX180" s="67">
        <v>197.648</v>
      </c>
      <c r="BY180" s="68">
        <v>86157</v>
      </c>
      <c r="BZ180" s="68">
        <v>97691</v>
      </c>
      <c r="CA180" s="69">
        <v>7348</v>
      </c>
      <c r="CB180" s="68">
        <v>120974</v>
      </c>
      <c r="CC180" s="68">
        <v>1640</v>
      </c>
      <c r="CD180" s="61"/>
      <c r="CE180" s="64"/>
      <c r="CF180" s="64"/>
      <c r="CG180" s="70">
        <f t="shared" si="11"/>
        <v>5080.9080000000004</v>
      </c>
      <c r="CH180" s="70">
        <f t="shared" si="12"/>
        <v>308.61599999999999</v>
      </c>
      <c r="CI180" s="70">
        <f t="shared" si="13"/>
        <v>68.88</v>
      </c>
      <c r="CJ180" s="70">
        <f t="shared" si="15"/>
        <v>3618.5940000000001</v>
      </c>
      <c r="CK180" s="70">
        <f t="shared" si="15"/>
        <v>4103.0219999999999</v>
      </c>
      <c r="CL180" s="70">
        <f t="shared" si="14"/>
        <v>68.88</v>
      </c>
      <c r="CM180" s="61"/>
      <c r="CN180" s="61"/>
      <c r="CO180" s="61"/>
      <c r="CP180" s="61"/>
      <c r="CQ180" s="61"/>
      <c r="CR180" s="61"/>
      <c r="CS180" s="61"/>
      <c r="CT180" s="61"/>
      <c r="CU180" s="61"/>
      <c r="CV180" s="61"/>
      <c r="CW180" s="61"/>
      <c r="CX180" s="61"/>
      <c r="CY180" s="61"/>
      <c r="CZ180" s="61"/>
      <c r="DA180" s="61"/>
      <c r="DB180" s="61"/>
      <c r="DC180" s="61"/>
      <c r="DD180" s="61"/>
      <c r="DE180" s="61"/>
      <c r="DF180" s="61"/>
      <c r="DG180" s="61"/>
      <c r="DH180" s="61"/>
      <c r="DI180" s="61"/>
      <c r="DJ180" s="61"/>
      <c r="DK180" s="61"/>
      <c r="DL180" s="61"/>
      <c r="DM180" s="61"/>
      <c r="DN180" s="61"/>
      <c r="DO180" s="61"/>
      <c r="DP180" s="61"/>
      <c r="DQ180" s="61"/>
      <c r="DR180" s="61"/>
      <c r="DS180" s="61"/>
      <c r="DT180" s="61"/>
      <c r="DU180" s="61"/>
      <c r="DV180" s="61"/>
      <c r="DW180" s="61"/>
      <c r="DX180" s="61"/>
      <c r="DY180" s="61"/>
      <c r="DZ180" s="61"/>
      <c r="EA180" s="61"/>
      <c r="EB180" s="61"/>
      <c r="EC180" s="61"/>
      <c r="ED180" s="61"/>
      <c r="EE180" s="61"/>
      <c r="EF180" s="61"/>
      <c r="EG180" s="61"/>
      <c r="EH180" s="61"/>
      <c r="EI180" s="61"/>
      <c r="EJ180" s="61"/>
      <c r="EK180" s="61"/>
      <c r="EL180" s="61"/>
      <c r="EM180" s="61"/>
      <c r="EN180" s="61"/>
      <c r="EO180" s="61"/>
      <c r="EP180" s="61"/>
      <c r="EQ180" s="61"/>
      <c r="ER180" s="61"/>
      <c r="ES180" s="61"/>
      <c r="ET180" s="61"/>
      <c r="EU180" s="61"/>
      <c r="EV180" s="61"/>
      <c r="EW180" s="61"/>
    </row>
    <row r="181" spans="1:153">
      <c r="A181" s="56">
        <v>32082</v>
      </c>
      <c r="B181" s="57"/>
      <c r="C181" s="7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71"/>
      <c r="P181" s="60">
        <v>202.46199999999999</v>
      </c>
      <c r="Q181" s="61">
        <v>10.087</v>
      </c>
      <c r="R181" s="61">
        <v>236.197</v>
      </c>
      <c r="S181" s="61">
        <v>423.20800000000003</v>
      </c>
      <c r="T181" s="61">
        <v>177.94300000000001</v>
      </c>
      <c r="U181" s="61">
        <v>9.0640000000000001</v>
      </c>
      <c r="V181" s="61">
        <v>3.0000000000000001E-3</v>
      </c>
      <c r="W181" s="61">
        <v>1E-3</v>
      </c>
      <c r="X181" s="61">
        <v>202.46199999999999</v>
      </c>
      <c r="Y181" s="61">
        <v>23.648</v>
      </c>
      <c r="Z181" s="61">
        <v>10.087</v>
      </c>
      <c r="AA181" s="61">
        <v>236.197</v>
      </c>
      <c r="AB181" s="60">
        <v>423.20800000000003</v>
      </c>
      <c r="AC181" s="62"/>
      <c r="AD181" s="61"/>
      <c r="AE181" s="61"/>
      <c r="AF181" s="61"/>
      <c r="AG181" s="61"/>
      <c r="AH181" s="61"/>
      <c r="AI181" s="61"/>
      <c r="AJ181" s="61"/>
      <c r="AK181" s="62"/>
      <c r="AL181" s="63"/>
      <c r="AM181" s="64"/>
      <c r="AN181" s="65" t="e">
        <v>#N/A</v>
      </c>
      <c r="AO181" s="61" t="e">
        <v>#N/A</v>
      </c>
      <c r="AP181" s="61" t="e">
        <v>#N/A</v>
      </c>
      <c r="AQ181" s="61" t="e">
        <v>#N/A</v>
      </c>
      <c r="AR181" s="61" t="e">
        <v>#N/A</v>
      </c>
      <c r="AS181" s="61" t="e">
        <v>#N/A</v>
      </c>
      <c r="AT181" s="61" t="e">
        <v>#N/A</v>
      </c>
      <c r="AU181" s="61" t="e">
        <v>#N/A</v>
      </c>
      <c r="AV181" s="61" t="e">
        <v>#N/A</v>
      </c>
      <c r="AW181" s="61" t="e">
        <v>#N/A</v>
      </c>
      <c r="AX181" s="65" t="e">
        <v>#N/A</v>
      </c>
      <c r="AY181" s="66" t="s">
        <v>121</v>
      </c>
      <c r="AZ181" s="61" t="s">
        <v>121</v>
      </c>
      <c r="BA181" s="61">
        <v>69.863</v>
      </c>
      <c r="BB181" s="61">
        <v>69.863</v>
      </c>
      <c r="BC181" s="61" t="s">
        <v>121</v>
      </c>
      <c r="BD181" s="61" t="s">
        <v>121</v>
      </c>
      <c r="BE181" s="61" t="s">
        <v>121</v>
      </c>
      <c r="BF181" s="61" t="s">
        <v>121</v>
      </c>
      <c r="BG181" s="61">
        <v>2.3839999999999999</v>
      </c>
      <c r="BH181" s="61" t="s">
        <v>121</v>
      </c>
      <c r="BI181" s="61">
        <v>4.4999999999999998E-2</v>
      </c>
      <c r="BJ181" s="61">
        <v>2.4279999999999999</v>
      </c>
      <c r="BK181" s="66">
        <v>2.4279999999999999</v>
      </c>
      <c r="BL181" s="67">
        <v>5.431</v>
      </c>
      <c r="BM181" s="61" t="s">
        <v>121</v>
      </c>
      <c r="BN181" s="61" t="s">
        <v>121</v>
      </c>
      <c r="BO181" s="61" t="s">
        <v>121</v>
      </c>
      <c r="BP181" s="61">
        <v>5.431</v>
      </c>
      <c r="BQ181" s="61">
        <v>175.63499999999999</v>
      </c>
      <c r="BR181" s="61">
        <v>9.0640000000000001</v>
      </c>
      <c r="BS181" s="61">
        <v>3.0000000000000001E-3</v>
      </c>
      <c r="BT181" s="61">
        <v>1E-3</v>
      </c>
      <c r="BU181" s="61">
        <v>0.68200000000000005</v>
      </c>
      <c r="BV181" s="61">
        <v>0.48899999999999999</v>
      </c>
      <c r="BW181" s="61">
        <v>1.17</v>
      </c>
      <c r="BX181" s="67">
        <v>185.87299999999999</v>
      </c>
      <c r="BY181" s="68">
        <v>91012</v>
      </c>
      <c r="BZ181" s="68">
        <v>87966</v>
      </c>
      <c r="CA181" s="69">
        <v>5624</v>
      </c>
      <c r="CB181" s="68">
        <v>128004</v>
      </c>
      <c r="CC181" s="68">
        <v>1686</v>
      </c>
      <c r="CD181" s="61"/>
      <c r="CE181" s="64"/>
      <c r="CF181" s="64"/>
      <c r="CG181" s="70">
        <f t="shared" si="11"/>
        <v>5376.1679999999997</v>
      </c>
      <c r="CH181" s="70">
        <f t="shared" si="12"/>
        <v>236.208</v>
      </c>
      <c r="CI181" s="70">
        <f t="shared" si="13"/>
        <v>70.811999999999998</v>
      </c>
      <c r="CJ181" s="70">
        <f t="shared" si="15"/>
        <v>3822.5039999999999</v>
      </c>
      <c r="CK181" s="70">
        <f t="shared" si="15"/>
        <v>3694.5720000000001</v>
      </c>
      <c r="CL181" s="70">
        <f t="shared" si="14"/>
        <v>70.811999999999998</v>
      </c>
      <c r="CM181" s="61"/>
      <c r="CN181" s="61"/>
      <c r="CO181" s="61"/>
      <c r="CP181" s="61"/>
      <c r="CQ181" s="61"/>
      <c r="CR181" s="61"/>
      <c r="CS181" s="61"/>
      <c r="CT181" s="61"/>
      <c r="CU181" s="61"/>
      <c r="CV181" s="61"/>
      <c r="CW181" s="61"/>
      <c r="CX181" s="61"/>
      <c r="CY181" s="61"/>
      <c r="CZ181" s="61"/>
      <c r="DA181" s="61"/>
      <c r="DB181" s="61"/>
      <c r="DC181" s="61"/>
      <c r="DD181" s="61"/>
      <c r="DE181" s="61"/>
      <c r="DF181" s="61"/>
      <c r="DG181" s="61"/>
      <c r="DH181" s="61"/>
      <c r="DI181" s="61"/>
      <c r="DJ181" s="61"/>
      <c r="DK181" s="61"/>
      <c r="DL181" s="61"/>
      <c r="DM181" s="61"/>
      <c r="DN181" s="61"/>
      <c r="DO181" s="61"/>
      <c r="DP181" s="61"/>
      <c r="DQ181" s="61"/>
      <c r="DR181" s="61"/>
      <c r="DS181" s="61"/>
      <c r="DT181" s="61"/>
      <c r="DU181" s="61"/>
      <c r="DV181" s="61"/>
      <c r="DW181" s="61"/>
      <c r="DX181" s="61"/>
      <c r="DY181" s="61"/>
      <c r="DZ181" s="61"/>
      <c r="EA181" s="61"/>
      <c r="EB181" s="61"/>
      <c r="EC181" s="61"/>
      <c r="ED181" s="61"/>
      <c r="EE181" s="61"/>
      <c r="EF181" s="61"/>
      <c r="EG181" s="61"/>
      <c r="EH181" s="61"/>
      <c r="EI181" s="61"/>
      <c r="EJ181" s="61"/>
      <c r="EK181" s="61"/>
      <c r="EL181" s="61"/>
      <c r="EM181" s="61"/>
      <c r="EN181" s="61"/>
      <c r="EO181" s="61"/>
      <c r="EP181" s="61"/>
      <c r="EQ181" s="61"/>
      <c r="ER181" s="61"/>
      <c r="ES181" s="61"/>
      <c r="ET181" s="61"/>
      <c r="EU181" s="61"/>
      <c r="EV181" s="61"/>
      <c r="EW181" s="61"/>
    </row>
    <row r="182" spans="1:153">
      <c r="A182" s="56">
        <v>32112</v>
      </c>
      <c r="B182" s="57"/>
      <c r="C182" s="7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71"/>
      <c r="P182" s="60">
        <v>209.30799999999999</v>
      </c>
      <c r="Q182" s="61">
        <v>10.423</v>
      </c>
      <c r="R182" s="61">
        <v>244.10400000000001</v>
      </c>
      <c r="S182" s="61">
        <v>475.58</v>
      </c>
      <c r="T182" s="61">
        <v>222.161</v>
      </c>
      <c r="U182" s="61">
        <v>9.3119999999999994</v>
      </c>
      <c r="V182" s="61">
        <v>2E-3</v>
      </c>
      <c r="W182" s="61">
        <v>2E-3</v>
      </c>
      <c r="X182" s="61">
        <v>209.30799999999999</v>
      </c>
      <c r="Y182" s="61">
        <v>24.373000000000001</v>
      </c>
      <c r="Z182" s="61">
        <v>10.423</v>
      </c>
      <c r="AA182" s="61">
        <v>244.10400000000001</v>
      </c>
      <c r="AB182" s="60">
        <v>475.58</v>
      </c>
      <c r="AC182" s="62"/>
      <c r="AD182" s="61"/>
      <c r="AE182" s="61"/>
      <c r="AF182" s="61"/>
      <c r="AG182" s="61"/>
      <c r="AH182" s="61"/>
      <c r="AI182" s="61"/>
      <c r="AJ182" s="61"/>
      <c r="AK182" s="62"/>
      <c r="AL182" s="63"/>
      <c r="AM182" s="64"/>
      <c r="AN182" s="65" t="e">
        <v>#N/A</v>
      </c>
      <c r="AO182" s="61" t="e">
        <v>#N/A</v>
      </c>
      <c r="AP182" s="61" t="e">
        <v>#N/A</v>
      </c>
      <c r="AQ182" s="61" t="e">
        <v>#N/A</v>
      </c>
      <c r="AR182" s="61" t="e">
        <v>#N/A</v>
      </c>
      <c r="AS182" s="61" t="e">
        <v>#N/A</v>
      </c>
      <c r="AT182" s="61" t="e">
        <v>#N/A</v>
      </c>
      <c r="AU182" s="61" t="e">
        <v>#N/A</v>
      </c>
      <c r="AV182" s="61" t="e">
        <v>#N/A</v>
      </c>
      <c r="AW182" s="61" t="e">
        <v>#N/A</v>
      </c>
      <c r="AX182" s="65" t="e">
        <v>#N/A</v>
      </c>
      <c r="AY182" s="66" t="s">
        <v>121</v>
      </c>
      <c r="AZ182" s="61" t="s">
        <v>121</v>
      </c>
      <c r="BA182" s="61">
        <v>72.191999999999993</v>
      </c>
      <c r="BB182" s="61">
        <v>72.191999999999993</v>
      </c>
      <c r="BC182" s="61" t="s">
        <v>121</v>
      </c>
      <c r="BD182" s="61" t="s">
        <v>121</v>
      </c>
      <c r="BE182" s="61" t="s">
        <v>121</v>
      </c>
      <c r="BF182" s="61" t="s">
        <v>121</v>
      </c>
      <c r="BG182" s="61">
        <v>2.4630000000000001</v>
      </c>
      <c r="BH182" s="61" t="s">
        <v>121</v>
      </c>
      <c r="BI182" s="61">
        <v>4.5999999999999999E-2</v>
      </c>
      <c r="BJ182" s="61">
        <v>2.5089999999999999</v>
      </c>
      <c r="BK182" s="66">
        <v>2.5089999999999999</v>
      </c>
      <c r="BL182" s="67">
        <v>5.6120000000000001</v>
      </c>
      <c r="BM182" s="61" t="s">
        <v>121</v>
      </c>
      <c r="BN182" s="61" t="s">
        <v>121</v>
      </c>
      <c r="BO182" s="61" t="s">
        <v>121</v>
      </c>
      <c r="BP182" s="61">
        <v>5.6120000000000001</v>
      </c>
      <c r="BQ182" s="61">
        <v>219.703</v>
      </c>
      <c r="BR182" s="61">
        <v>9.3119999999999994</v>
      </c>
      <c r="BS182" s="61">
        <v>2E-3</v>
      </c>
      <c r="BT182" s="61">
        <v>2E-3</v>
      </c>
      <c r="BU182" s="61">
        <v>0.80100000000000005</v>
      </c>
      <c r="BV182" s="61">
        <v>0.442</v>
      </c>
      <c r="BW182" s="61">
        <v>1.2430000000000001</v>
      </c>
      <c r="BX182" s="67">
        <v>230.261</v>
      </c>
      <c r="BY182" s="68">
        <v>100450</v>
      </c>
      <c r="BZ182" s="68">
        <v>102857</v>
      </c>
      <c r="CA182" s="69">
        <v>11705</v>
      </c>
      <c r="CB182" s="68">
        <v>134485</v>
      </c>
      <c r="CC182" s="68">
        <v>2859</v>
      </c>
      <c r="CD182" s="61"/>
      <c r="CE182" s="64"/>
      <c r="CF182" s="64"/>
      <c r="CG182" s="70">
        <f t="shared" si="11"/>
        <v>5648.37</v>
      </c>
      <c r="CH182" s="70">
        <f t="shared" si="12"/>
        <v>491.61</v>
      </c>
      <c r="CI182" s="70">
        <f t="shared" si="13"/>
        <v>120.078</v>
      </c>
      <c r="CJ182" s="70">
        <f t="shared" si="15"/>
        <v>4218.8999999999996</v>
      </c>
      <c r="CK182" s="70">
        <f t="shared" si="15"/>
        <v>4319.9939999999997</v>
      </c>
      <c r="CL182" s="70">
        <f t="shared" si="14"/>
        <v>120.078</v>
      </c>
      <c r="CM182" s="61"/>
      <c r="CN182" s="61"/>
      <c r="CO182" s="61"/>
      <c r="CP182" s="61"/>
      <c r="CQ182" s="61"/>
      <c r="CR182" s="61"/>
      <c r="CS182" s="61"/>
      <c r="CT182" s="61"/>
      <c r="CU182" s="61"/>
      <c r="CV182" s="61"/>
      <c r="CW182" s="61"/>
      <c r="CX182" s="61"/>
      <c r="CY182" s="61"/>
      <c r="CZ182" s="61"/>
      <c r="DA182" s="61"/>
      <c r="DB182" s="61"/>
      <c r="DC182" s="61"/>
      <c r="DD182" s="61"/>
      <c r="DE182" s="61"/>
      <c r="DF182" s="61"/>
      <c r="DG182" s="61"/>
      <c r="DH182" s="61"/>
      <c r="DI182" s="61"/>
      <c r="DJ182" s="61"/>
      <c r="DK182" s="61"/>
      <c r="DL182" s="61"/>
      <c r="DM182" s="61"/>
      <c r="DN182" s="61"/>
      <c r="DO182" s="61"/>
      <c r="DP182" s="61"/>
      <c r="DQ182" s="61"/>
      <c r="DR182" s="61"/>
      <c r="DS182" s="61"/>
      <c r="DT182" s="61"/>
      <c r="DU182" s="61"/>
      <c r="DV182" s="61"/>
      <c r="DW182" s="61"/>
      <c r="DX182" s="61"/>
      <c r="DY182" s="61"/>
      <c r="DZ182" s="61"/>
      <c r="EA182" s="61"/>
      <c r="EB182" s="61"/>
      <c r="EC182" s="61"/>
      <c r="ED182" s="61"/>
      <c r="EE182" s="61"/>
      <c r="EF182" s="61"/>
      <c r="EG182" s="61"/>
      <c r="EH182" s="61"/>
      <c r="EI182" s="61"/>
      <c r="EJ182" s="61"/>
      <c r="EK182" s="61"/>
      <c r="EL182" s="61"/>
      <c r="EM182" s="61"/>
      <c r="EN182" s="61"/>
      <c r="EO182" s="61"/>
      <c r="EP182" s="61"/>
      <c r="EQ182" s="61"/>
      <c r="ER182" s="61"/>
      <c r="ES182" s="61"/>
      <c r="ET182" s="61"/>
      <c r="EU182" s="61"/>
      <c r="EV182" s="61"/>
      <c r="EW182" s="61"/>
    </row>
    <row r="183" spans="1:153">
      <c r="A183" s="56">
        <v>32143</v>
      </c>
      <c r="B183" s="57"/>
      <c r="C183" s="7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71"/>
      <c r="P183" s="60">
        <v>218.36799999999999</v>
      </c>
      <c r="Q183" s="61">
        <v>10.507999999999999</v>
      </c>
      <c r="R183" s="61">
        <v>255.33099999999999</v>
      </c>
      <c r="S183" s="61">
        <v>495.13200000000001</v>
      </c>
      <c r="T183" s="61">
        <v>230.477</v>
      </c>
      <c r="U183" s="61">
        <v>9.3119999999999994</v>
      </c>
      <c r="V183" s="61">
        <v>5.0000000000000001E-3</v>
      </c>
      <c r="W183" s="61">
        <v>7.0000000000000001E-3</v>
      </c>
      <c r="X183" s="61">
        <v>218.36799999999999</v>
      </c>
      <c r="Y183" s="61">
        <v>26.454999999999998</v>
      </c>
      <c r="Z183" s="61">
        <v>10.507999999999999</v>
      </c>
      <c r="AA183" s="61">
        <v>255.33099999999999</v>
      </c>
      <c r="AB183" s="60">
        <v>495.13200000000001</v>
      </c>
      <c r="AC183" s="62"/>
      <c r="AD183" s="61"/>
      <c r="AE183" s="61"/>
      <c r="AF183" s="61"/>
      <c r="AG183" s="61"/>
      <c r="AH183" s="61"/>
      <c r="AI183" s="61"/>
      <c r="AJ183" s="61"/>
      <c r="AK183" s="62"/>
      <c r="AL183" s="63"/>
      <c r="AM183" s="64"/>
      <c r="AN183" s="65" t="e">
        <v>#N/A</v>
      </c>
      <c r="AO183" s="61" t="e">
        <v>#N/A</v>
      </c>
      <c r="AP183" s="61" t="e">
        <v>#N/A</v>
      </c>
      <c r="AQ183" s="61" t="e">
        <v>#N/A</v>
      </c>
      <c r="AR183" s="61" t="e">
        <v>#N/A</v>
      </c>
      <c r="AS183" s="61" t="e">
        <v>#N/A</v>
      </c>
      <c r="AT183" s="61" t="e">
        <v>#N/A</v>
      </c>
      <c r="AU183" s="61" t="e">
        <v>#N/A</v>
      </c>
      <c r="AV183" s="61" t="e">
        <v>#N/A</v>
      </c>
      <c r="AW183" s="61" t="e">
        <v>#N/A</v>
      </c>
      <c r="AX183" s="65" t="e">
        <v>#N/A</v>
      </c>
      <c r="AY183" s="66" t="s">
        <v>121</v>
      </c>
      <c r="AZ183" s="61" t="s">
        <v>121</v>
      </c>
      <c r="BA183" s="61">
        <v>77.076999999999998</v>
      </c>
      <c r="BB183" s="61">
        <v>77.076999999999998</v>
      </c>
      <c r="BC183" s="61" t="s">
        <v>121</v>
      </c>
      <c r="BD183" s="61" t="s">
        <v>121</v>
      </c>
      <c r="BE183" s="61" t="s">
        <v>121</v>
      </c>
      <c r="BF183" s="61" t="s">
        <v>121</v>
      </c>
      <c r="BG183" s="61">
        <v>2.71</v>
      </c>
      <c r="BH183" s="61" t="s">
        <v>121</v>
      </c>
      <c r="BI183" s="61">
        <v>4.4999999999999998E-2</v>
      </c>
      <c r="BJ183" s="61">
        <v>2.7559999999999998</v>
      </c>
      <c r="BK183" s="66">
        <v>2.7559999999999998</v>
      </c>
      <c r="BL183" s="67">
        <v>5.6849999999999996</v>
      </c>
      <c r="BM183" s="61" t="s">
        <v>121</v>
      </c>
      <c r="BN183" s="61" t="s">
        <v>121</v>
      </c>
      <c r="BO183" s="61" t="s">
        <v>121</v>
      </c>
      <c r="BP183" s="61">
        <v>5.6849999999999996</v>
      </c>
      <c r="BQ183" s="61">
        <v>227.46600000000001</v>
      </c>
      <c r="BR183" s="61">
        <v>9.3119999999999994</v>
      </c>
      <c r="BS183" s="61">
        <v>5.0000000000000001E-3</v>
      </c>
      <c r="BT183" s="61">
        <v>7.0000000000000001E-3</v>
      </c>
      <c r="BU183" s="61">
        <v>0.94499999999999995</v>
      </c>
      <c r="BV183" s="61">
        <v>0.39300000000000002</v>
      </c>
      <c r="BW183" s="61">
        <v>1.337</v>
      </c>
      <c r="BX183" s="67">
        <v>238.12700000000001</v>
      </c>
      <c r="BY183" s="68">
        <v>93258</v>
      </c>
      <c r="BZ183" s="68">
        <v>110302</v>
      </c>
      <c r="CA183" s="69">
        <v>13154</v>
      </c>
      <c r="CB183" s="68">
        <v>128098</v>
      </c>
      <c r="CC183" s="68">
        <v>2541</v>
      </c>
      <c r="CD183" s="61"/>
      <c r="CE183" s="64"/>
      <c r="CF183" s="64"/>
      <c r="CG183" s="70">
        <f t="shared" si="11"/>
        <v>5380.116</v>
      </c>
      <c r="CH183" s="70">
        <f t="shared" si="12"/>
        <v>552.46799999999996</v>
      </c>
      <c r="CI183" s="70">
        <f t="shared" si="13"/>
        <v>106.72199999999999</v>
      </c>
      <c r="CJ183" s="70">
        <f t="shared" si="15"/>
        <v>3916.8359999999998</v>
      </c>
      <c r="CK183" s="70">
        <f t="shared" si="15"/>
        <v>4632.6840000000002</v>
      </c>
      <c r="CL183" s="70">
        <f t="shared" si="14"/>
        <v>106.72199999999999</v>
      </c>
      <c r="CM183" s="61"/>
      <c r="CN183" s="61"/>
      <c r="CO183" s="61"/>
      <c r="CP183" s="61"/>
      <c r="CQ183" s="61"/>
      <c r="CR183" s="61"/>
      <c r="CS183" s="61"/>
      <c r="CT183" s="61"/>
      <c r="CU183" s="61"/>
      <c r="CV183" s="61"/>
      <c r="CW183" s="61"/>
      <c r="CX183" s="61"/>
      <c r="CY183" s="61"/>
      <c r="CZ183" s="61"/>
      <c r="DA183" s="61"/>
      <c r="DB183" s="61"/>
      <c r="DC183" s="61"/>
      <c r="DD183" s="61"/>
      <c r="DE183" s="61"/>
      <c r="DF183" s="61"/>
      <c r="DG183" s="61"/>
      <c r="DH183" s="61"/>
      <c r="DI183" s="61"/>
      <c r="DJ183" s="61"/>
      <c r="DK183" s="61"/>
      <c r="DL183" s="61"/>
      <c r="DM183" s="61"/>
      <c r="DN183" s="61"/>
      <c r="DO183" s="61"/>
      <c r="DP183" s="61"/>
      <c r="DQ183" s="61"/>
      <c r="DR183" s="61"/>
      <c r="DS183" s="61"/>
      <c r="DT183" s="61"/>
      <c r="DU183" s="61"/>
      <c r="DV183" s="61"/>
      <c r="DW183" s="61"/>
      <c r="DX183" s="61"/>
      <c r="DY183" s="61"/>
      <c r="DZ183" s="61"/>
      <c r="EA183" s="61"/>
      <c r="EB183" s="61"/>
      <c r="EC183" s="61"/>
      <c r="ED183" s="61"/>
      <c r="EE183" s="61"/>
      <c r="EF183" s="61"/>
      <c r="EG183" s="61"/>
      <c r="EH183" s="61"/>
      <c r="EI183" s="61"/>
      <c r="EJ183" s="61"/>
      <c r="EK183" s="61"/>
      <c r="EL183" s="61"/>
      <c r="EM183" s="61"/>
      <c r="EN183" s="61"/>
      <c r="EO183" s="61"/>
      <c r="EP183" s="61"/>
      <c r="EQ183" s="61"/>
      <c r="ER183" s="61"/>
      <c r="ES183" s="61"/>
      <c r="ET183" s="61"/>
      <c r="EU183" s="61"/>
      <c r="EV183" s="61"/>
      <c r="EW183" s="61"/>
    </row>
    <row r="184" spans="1:153">
      <c r="A184" s="56">
        <v>32174</v>
      </c>
      <c r="B184" s="57"/>
      <c r="C184" s="7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71"/>
      <c r="P184" s="60">
        <v>204.24600000000001</v>
      </c>
      <c r="Q184" s="61">
        <v>9.83</v>
      </c>
      <c r="R184" s="61">
        <v>238.85300000000001</v>
      </c>
      <c r="S184" s="61">
        <v>446.66300000000001</v>
      </c>
      <c r="T184" s="61">
        <v>199.78899999999999</v>
      </c>
      <c r="U184" s="61">
        <v>8.0129999999999999</v>
      </c>
      <c r="V184" s="61">
        <v>8.0000000000000002E-3</v>
      </c>
      <c r="W184" s="61">
        <v>0</v>
      </c>
      <c r="X184" s="61">
        <v>204.24600000000001</v>
      </c>
      <c r="Y184" s="61">
        <v>24.777999999999999</v>
      </c>
      <c r="Z184" s="61">
        <v>9.83</v>
      </c>
      <c r="AA184" s="61">
        <v>238.85300000000001</v>
      </c>
      <c r="AB184" s="60">
        <v>446.66300000000001</v>
      </c>
      <c r="AC184" s="62"/>
      <c r="AD184" s="61"/>
      <c r="AE184" s="61"/>
      <c r="AF184" s="61"/>
      <c r="AG184" s="61"/>
      <c r="AH184" s="61"/>
      <c r="AI184" s="61"/>
      <c r="AJ184" s="61"/>
      <c r="AK184" s="62"/>
      <c r="AL184" s="63"/>
      <c r="AM184" s="64"/>
      <c r="AN184" s="65" t="e">
        <v>#N/A</v>
      </c>
      <c r="AO184" s="61" t="e">
        <v>#N/A</v>
      </c>
      <c r="AP184" s="61" t="e">
        <v>#N/A</v>
      </c>
      <c r="AQ184" s="61" t="e">
        <v>#N/A</v>
      </c>
      <c r="AR184" s="61" t="e">
        <v>#N/A</v>
      </c>
      <c r="AS184" s="61" t="e">
        <v>#N/A</v>
      </c>
      <c r="AT184" s="61" t="e">
        <v>#N/A</v>
      </c>
      <c r="AU184" s="61" t="e">
        <v>#N/A</v>
      </c>
      <c r="AV184" s="61" t="e">
        <v>#N/A</v>
      </c>
      <c r="AW184" s="61" t="e">
        <v>#N/A</v>
      </c>
      <c r="AX184" s="65" t="e">
        <v>#N/A</v>
      </c>
      <c r="AY184" s="66" t="s">
        <v>121</v>
      </c>
      <c r="AZ184" s="61" t="s">
        <v>121</v>
      </c>
      <c r="BA184" s="61">
        <v>72.103999999999999</v>
      </c>
      <c r="BB184" s="61">
        <v>72.103999999999999</v>
      </c>
      <c r="BC184" s="61" t="s">
        <v>121</v>
      </c>
      <c r="BD184" s="61" t="s">
        <v>121</v>
      </c>
      <c r="BE184" s="61" t="s">
        <v>121</v>
      </c>
      <c r="BF184" s="61" t="s">
        <v>121</v>
      </c>
      <c r="BG184" s="61">
        <v>2.536</v>
      </c>
      <c r="BH184" s="61" t="s">
        <v>121</v>
      </c>
      <c r="BI184" s="61">
        <v>4.2999999999999997E-2</v>
      </c>
      <c r="BJ184" s="61">
        <v>2.5779999999999998</v>
      </c>
      <c r="BK184" s="66">
        <v>2.5779999999999998</v>
      </c>
      <c r="BL184" s="67">
        <v>5.319</v>
      </c>
      <c r="BM184" s="61" t="s">
        <v>121</v>
      </c>
      <c r="BN184" s="61" t="s">
        <v>121</v>
      </c>
      <c r="BO184" s="61" t="s">
        <v>121</v>
      </c>
      <c r="BP184" s="61">
        <v>5.319</v>
      </c>
      <c r="BQ184" s="61">
        <v>197.245</v>
      </c>
      <c r="BR184" s="61">
        <v>8.0129999999999999</v>
      </c>
      <c r="BS184" s="61">
        <v>8.0000000000000002E-3</v>
      </c>
      <c r="BT184" s="61">
        <v>0</v>
      </c>
      <c r="BU184" s="61">
        <v>0.85</v>
      </c>
      <c r="BV184" s="61">
        <v>0.39600000000000002</v>
      </c>
      <c r="BW184" s="61">
        <v>1.246</v>
      </c>
      <c r="BX184" s="67">
        <v>206.512</v>
      </c>
      <c r="BY184" s="68">
        <v>77303</v>
      </c>
      <c r="BZ184" s="68">
        <v>103153</v>
      </c>
      <c r="CA184" s="69">
        <v>11107</v>
      </c>
      <c r="CB184" s="68">
        <v>110301</v>
      </c>
      <c r="CC184" s="68">
        <v>3095</v>
      </c>
      <c r="CD184" s="61"/>
      <c r="CE184" s="64"/>
      <c r="CF184" s="64"/>
      <c r="CG184" s="70">
        <f t="shared" si="11"/>
        <v>4632.6419999999998</v>
      </c>
      <c r="CH184" s="70">
        <f t="shared" si="12"/>
        <v>466.49400000000003</v>
      </c>
      <c r="CI184" s="70">
        <f t="shared" si="13"/>
        <v>129.99</v>
      </c>
      <c r="CJ184" s="70">
        <f t="shared" si="15"/>
        <v>3246.7260000000001</v>
      </c>
      <c r="CK184" s="70">
        <f t="shared" si="15"/>
        <v>4332.4260000000004</v>
      </c>
      <c r="CL184" s="70">
        <f t="shared" si="14"/>
        <v>129.99</v>
      </c>
      <c r="CM184" s="61"/>
      <c r="CN184" s="61"/>
      <c r="CO184" s="61"/>
      <c r="CP184" s="61"/>
      <c r="CQ184" s="61"/>
      <c r="CR184" s="61"/>
      <c r="CS184" s="61"/>
      <c r="CT184" s="61"/>
      <c r="CU184" s="61"/>
      <c r="CV184" s="61"/>
      <c r="CW184" s="61"/>
      <c r="CX184" s="61"/>
      <c r="CY184" s="61"/>
      <c r="CZ184" s="61"/>
      <c r="DA184" s="61"/>
      <c r="DB184" s="61"/>
      <c r="DC184" s="61"/>
      <c r="DD184" s="61"/>
      <c r="DE184" s="61"/>
      <c r="DF184" s="61"/>
      <c r="DG184" s="61"/>
      <c r="DH184" s="61"/>
      <c r="DI184" s="61"/>
      <c r="DJ184" s="61"/>
      <c r="DK184" s="61"/>
      <c r="DL184" s="61"/>
      <c r="DM184" s="61"/>
      <c r="DN184" s="61"/>
      <c r="DO184" s="61"/>
      <c r="DP184" s="61"/>
      <c r="DQ184" s="61"/>
      <c r="DR184" s="61"/>
      <c r="DS184" s="61"/>
      <c r="DT184" s="61"/>
      <c r="DU184" s="61"/>
      <c r="DV184" s="61"/>
      <c r="DW184" s="61"/>
      <c r="DX184" s="61"/>
      <c r="DY184" s="61"/>
      <c r="DZ184" s="61"/>
      <c r="EA184" s="61"/>
      <c r="EB184" s="61"/>
      <c r="EC184" s="61"/>
      <c r="ED184" s="61"/>
      <c r="EE184" s="61"/>
      <c r="EF184" s="61"/>
      <c r="EG184" s="61"/>
      <c r="EH184" s="61"/>
      <c r="EI184" s="61"/>
      <c r="EJ184" s="61"/>
      <c r="EK184" s="61"/>
      <c r="EL184" s="61"/>
      <c r="EM184" s="61"/>
      <c r="EN184" s="61"/>
      <c r="EO184" s="61"/>
      <c r="EP184" s="61"/>
      <c r="EQ184" s="61"/>
      <c r="ER184" s="61"/>
      <c r="ES184" s="61"/>
      <c r="ET184" s="61"/>
      <c r="EU184" s="61"/>
      <c r="EV184" s="61"/>
      <c r="EW184" s="61"/>
    </row>
    <row r="185" spans="1:153">
      <c r="A185" s="56">
        <v>32203</v>
      </c>
      <c r="B185" s="57"/>
      <c r="C185" s="7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71"/>
      <c r="P185" s="60">
        <v>218.351</v>
      </c>
      <c r="Q185" s="61">
        <v>10.507999999999999</v>
      </c>
      <c r="R185" s="61">
        <v>255.38499999999999</v>
      </c>
      <c r="S185" s="61">
        <v>469.09800000000001</v>
      </c>
      <c r="T185" s="61">
        <v>204.35900000000001</v>
      </c>
      <c r="U185" s="61">
        <v>9.3409999999999993</v>
      </c>
      <c r="V185" s="61">
        <v>1.2999999999999999E-2</v>
      </c>
      <c r="W185" s="61">
        <v>0</v>
      </c>
      <c r="X185" s="61">
        <v>218.351</v>
      </c>
      <c r="Y185" s="61">
        <v>26.526</v>
      </c>
      <c r="Z185" s="61">
        <v>10.507999999999999</v>
      </c>
      <c r="AA185" s="61">
        <v>255.38499999999999</v>
      </c>
      <c r="AB185" s="60">
        <v>469.09800000000001</v>
      </c>
      <c r="AC185" s="62"/>
      <c r="AD185" s="61"/>
      <c r="AE185" s="61"/>
      <c r="AF185" s="61"/>
      <c r="AG185" s="61"/>
      <c r="AH185" s="61"/>
      <c r="AI185" s="61"/>
      <c r="AJ185" s="61"/>
      <c r="AK185" s="62"/>
      <c r="AL185" s="63"/>
      <c r="AM185" s="64"/>
      <c r="AN185" s="65" t="e">
        <v>#N/A</v>
      </c>
      <c r="AO185" s="61" t="e">
        <v>#N/A</v>
      </c>
      <c r="AP185" s="61" t="e">
        <v>#N/A</v>
      </c>
      <c r="AQ185" s="61" t="e">
        <v>#N/A</v>
      </c>
      <c r="AR185" s="61" t="e">
        <v>#N/A</v>
      </c>
      <c r="AS185" s="61" t="e">
        <v>#N/A</v>
      </c>
      <c r="AT185" s="61" t="e">
        <v>#N/A</v>
      </c>
      <c r="AU185" s="61" t="e">
        <v>#N/A</v>
      </c>
      <c r="AV185" s="61" t="e">
        <v>#N/A</v>
      </c>
      <c r="AW185" s="61" t="e">
        <v>#N/A</v>
      </c>
      <c r="AX185" s="65" t="e">
        <v>#N/A</v>
      </c>
      <c r="AY185" s="66" t="s">
        <v>121</v>
      </c>
      <c r="AZ185" s="61" t="s">
        <v>121</v>
      </c>
      <c r="BA185" s="61">
        <v>77.076999999999998</v>
      </c>
      <c r="BB185" s="61">
        <v>77.076999999999998</v>
      </c>
      <c r="BC185" s="61" t="s">
        <v>121</v>
      </c>
      <c r="BD185" s="61" t="s">
        <v>121</v>
      </c>
      <c r="BE185" s="61" t="s">
        <v>121</v>
      </c>
      <c r="BF185" s="61" t="s">
        <v>121</v>
      </c>
      <c r="BG185" s="61">
        <v>2.71</v>
      </c>
      <c r="BH185" s="61" t="s">
        <v>121</v>
      </c>
      <c r="BI185" s="61">
        <v>4.4999999999999998E-2</v>
      </c>
      <c r="BJ185" s="61">
        <v>2.7559999999999998</v>
      </c>
      <c r="BK185" s="66">
        <v>2.7559999999999998</v>
      </c>
      <c r="BL185" s="67">
        <v>5.6849999999999996</v>
      </c>
      <c r="BM185" s="61" t="s">
        <v>121</v>
      </c>
      <c r="BN185" s="61" t="s">
        <v>121</v>
      </c>
      <c r="BO185" s="61" t="s">
        <v>121</v>
      </c>
      <c r="BP185" s="61">
        <v>5.6849999999999996</v>
      </c>
      <c r="BQ185" s="61">
        <v>201.46299999999999</v>
      </c>
      <c r="BR185" s="61">
        <v>9.3409999999999993</v>
      </c>
      <c r="BS185" s="61">
        <v>1.2999999999999999E-2</v>
      </c>
      <c r="BT185" s="61">
        <v>0</v>
      </c>
      <c r="BU185" s="61">
        <v>0.92700000000000005</v>
      </c>
      <c r="BV185" s="61">
        <v>0.46400000000000002</v>
      </c>
      <c r="BW185" s="61">
        <v>1.391</v>
      </c>
      <c r="BX185" s="67">
        <v>212.209</v>
      </c>
      <c r="BY185" s="68">
        <v>83855</v>
      </c>
      <c r="BZ185" s="68">
        <v>109695</v>
      </c>
      <c r="CA185" s="69">
        <v>7648</v>
      </c>
      <c r="CB185" s="68">
        <v>89843</v>
      </c>
      <c r="CC185" s="68">
        <v>2309</v>
      </c>
      <c r="CD185" s="61"/>
      <c r="CE185" s="64"/>
      <c r="CF185" s="64"/>
      <c r="CG185" s="70">
        <f t="shared" si="11"/>
        <v>3773.4059999999999</v>
      </c>
      <c r="CH185" s="70">
        <f t="shared" si="12"/>
        <v>321.21600000000001</v>
      </c>
      <c r="CI185" s="70">
        <f t="shared" si="13"/>
        <v>96.977999999999994</v>
      </c>
      <c r="CJ185" s="70">
        <f t="shared" si="15"/>
        <v>3521.91</v>
      </c>
      <c r="CK185" s="70">
        <f t="shared" si="15"/>
        <v>4607.1899999999996</v>
      </c>
      <c r="CL185" s="70">
        <f t="shared" si="14"/>
        <v>96.977999999999994</v>
      </c>
      <c r="CM185" s="61"/>
      <c r="CN185" s="61"/>
      <c r="CO185" s="61"/>
      <c r="CP185" s="61"/>
      <c r="CQ185" s="61"/>
      <c r="CR185" s="61"/>
      <c r="CS185" s="61"/>
      <c r="CT185" s="61"/>
      <c r="CU185" s="61"/>
      <c r="CV185" s="61"/>
      <c r="CW185" s="61"/>
      <c r="CX185" s="61"/>
      <c r="CY185" s="61"/>
      <c r="CZ185" s="61"/>
      <c r="DA185" s="61"/>
      <c r="DB185" s="61"/>
      <c r="DC185" s="61"/>
      <c r="DD185" s="61"/>
      <c r="DE185" s="61"/>
      <c r="DF185" s="61"/>
      <c r="DG185" s="61"/>
      <c r="DH185" s="61"/>
      <c r="DI185" s="61"/>
      <c r="DJ185" s="61"/>
      <c r="DK185" s="61"/>
      <c r="DL185" s="61"/>
      <c r="DM185" s="61"/>
      <c r="DN185" s="61"/>
      <c r="DO185" s="61"/>
      <c r="DP185" s="61"/>
      <c r="DQ185" s="61"/>
      <c r="DR185" s="61"/>
      <c r="DS185" s="61"/>
      <c r="DT185" s="61"/>
      <c r="DU185" s="61"/>
      <c r="DV185" s="61"/>
      <c r="DW185" s="61"/>
      <c r="DX185" s="61"/>
      <c r="DY185" s="61"/>
      <c r="DZ185" s="61"/>
      <c r="EA185" s="61"/>
      <c r="EB185" s="61"/>
      <c r="EC185" s="61"/>
      <c r="ED185" s="61"/>
      <c r="EE185" s="61"/>
      <c r="EF185" s="61"/>
      <c r="EG185" s="61"/>
      <c r="EH185" s="61"/>
      <c r="EI185" s="61"/>
      <c r="EJ185" s="61"/>
      <c r="EK185" s="61"/>
      <c r="EL185" s="61"/>
      <c r="EM185" s="61"/>
      <c r="EN185" s="61"/>
      <c r="EO185" s="61"/>
      <c r="EP185" s="61"/>
      <c r="EQ185" s="61"/>
      <c r="ER185" s="61"/>
      <c r="ES185" s="61"/>
      <c r="ET185" s="61"/>
      <c r="EU185" s="61"/>
      <c r="EV185" s="61"/>
      <c r="EW185" s="61"/>
    </row>
    <row r="186" spans="1:153">
      <c r="A186" s="56">
        <v>32234</v>
      </c>
      <c r="B186" s="57"/>
      <c r="C186" s="7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71"/>
      <c r="P186" s="60">
        <v>211.12200000000001</v>
      </c>
      <c r="Q186" s="61">
        <v>10.169</v>
      </c>
      <c r="R186" s="61">
        <v>247.24100000000001</v>
      </c>
      <c r="S186" s="61">
        <v>455.99299999999999</v>
      </c>
      <c r="T186" s="61">
        <v>200.29300000000001</v>
      </c>
      <c r="U186" s="61">
        <v>8.4540000000000006</v>
      </c>
      <c r="V186" s="61">
        <v>5.0000000000000001E-3</v>
      </c>
      <c r="W186" s="61">
        <v>0</v>
      </c>
      <c r="X186" s="61">
        <v>211.12200000000001</v>
      </c>
      <c r="Y186" s="61">
        <v>25.95</v>
      </c>
      <c r="Z186" s="61">
        <v>10.169</v>
      </c>
      <c r="AA186" s="61">
        <v>247.24100000000001</v>
      </c>
      <c r="AB186" s="60">
        <v>455.99299999999999</v>
      </c>
      <c r="AC186" s="62"/>
      <c r="AD186" s="61"/>
      <c r="AE186" s="61"/>
      <c r="AF186" s="61"/>
      <c r="AG186" s="61"/>
      <c r="AH186" s="61"/>
      <c r="AI186" s="61"/>
      <c r="AJ186" s="61"/>
      <c r="AK186" s="62"/>
      <c r="AL186" s="63"/>
      <c r="AM186" s="64"/>
      <c r="AN186" s="65" t="e">
        <v>#N/A</v>
      </c>
      <c r="AO186" s="61" t="e">
        <v>#N/A</v>
      </c>
      <c r="AP186" s="61" t="e">
        <v>#N/A</v>
      </c>
      <c r="AQ186" s="61" t="e">
        <v>#N/A</v>
      </c>
      <c r="AR186" s="61" t="e">
        <v>#N/A</v>
      </c>
      <c r="AS186" s="61" t="e">
        <v>#N/A</v>
      </c>
      <c r="AT186" s="61" t="e">
        <v>#N/A</v>
      </c>
      <c r="AU186" s="61" t="e">
        <v>#N/A</v>
      </c>
      <c r="AV186" s="61" t="e">
        <v>#N/A</v>
      </c>
      <c r="AW186" s="61" t="e">
        <v>#N/A</v>
      </c>
      <c r="AX186" s="65" t="e">
        <v>#N/A</v>
      </c>
      <c r="AY186" s="66" t="s">
        <v>121</v>
      </c>
      <c r="AZ186" s="61" t="s">
        <v>121</v>
      </c>
      <c r="BA186" s="61">
        <v>74.59</v>
      </c>
      <c r="BB186" s="61">
        <v>74.59</v>
      </c>
      <c r="BC186" s="61" t="s">
        <v>121</v>
      </c>
      <c r="BD186" s="61" t="s">
        <v>121</v>
      </c>
      <c r="BE186" s="61" t="s">
        <v>121</v>
      </c>
      <c r="BF186" s="61" t="s">
        <v>121</v>
      </c>
      <c r="BG186" s="61">
        <v>2.6230000000000002</v>
      </c>
      <c r="BH186" s="61" t="s">
        <v>121</v>
      </c>
      <c r="BI186" s="61">
        <v>4.3999999999999997E-2</v>
      </c>
      <c r="BJ186" s="61">
        <v>2.6669999999999998</v>
      </c>
      <c r="BK186" s="66">
        <v>2.6669999999999998</v>
      </c>
      <c r="BL186" s="67">
        <v>5.5019999999999998</v>
      </c>
      <c r="BM186" s="61" t="s">
        <v>121</v>
      </c>
      <c r="BN186" s="61" t="s">
        <v>121</v>
      </c>
      <c r="BO186" s="61" t="s">
        <v>121</v>
      </c>
      <c r="BP186" s="61">
        <v>5.5019999999999998</v>
      </c>
      <c r="BQ186" s="61">
        <v>197.22900000000001</v>
      </c>
      <c r="BR186" s="61">
        <v>8.4540000000000006</v>
      </c>
      <c r="BS186" s="61">
        <v>5.0000000000000001E-3</v>
      </c>
      <c r="BT186" s="61">
        <v>0</v>
      </c>
      <c r="BU186" s="61">
        <v>0.71199999999999997</v>
      </c>
      <c r="BV186" s="61">
        <v>0.72799999999999998</v>
      </c>
      <c r="BW186" s="61">
        <v>1.4410000000000001</v>
      </c>
      <c r="BX186" s="67">
        <v>207.12799999999999</v>
      </c>
      <c r="BY186" s="68">
        <v>85952</v>
      </c>
      <c r="BZ186" s="68">
        <v>85921</v>
      </c>
      <c r="CA186" s="69">
        <v>6313</v>
      </c>
      <c r="CB186" s="68">
        <v>94972</v>
      </c>
      <c r="CC186" s="68">
        <v>1268</v>
      </c>
      <c r="CD186" s="61"/>
      <c r="CE186" s="64"/>
      <c r="CF186" s="64"/>
      <c r="CG186" s="70">
        <f t="shared" si="11"/>
        <v>3988.8240000000001</v>
      </c>
      <c r="CH186" s="70">
        <f t="shared" si="12"/>
        <v>265.14600000000002</v>
      </c>
      <c r="CI186" s="70">
        <f t="shared" si="13"/>
        <v>53.256</v>
      </c>
      <c r="CJ186" s="70">
        <f t="shared" si="15"/>
        <v>3609.9839999999999</v>
      </c>
      <c r="CK186" s="70">
        <f t="shared" si="15"/>
        <v>3608.6819999999998</v>
      </c>
      <c r="CL186" s="70">
        <f t="shared" si="14"/>
        <v>53.256</v>
      </c>
      <c r="CM186" s="61"/>
      <c r="CN186" s="61"/>
      <c r="CO186" s="61"/>
      <c r="CP186" s="61"/>
      <c r="CQ186" s="61"/>
      <c r="CR186" s="61"/>
      <c r="CS186" s="61"/>
      <c r="CT186" s="61"/>
      <c r="CU186" s="61"/>
      <c r="CV186" s="61"/>
      <c r="CW186" s="61"/>
      <c r="CX186" s="61"/>
      <c r="CY186" s="61"/>
      <c r="CZ186" s="61"/>
      <c r="DA186" s="61"/>
      <c r="DB186" s="61"/>
      <c r="DC186" s="61"/>
      <c r="DD186" s="61"/>
      <c r="DE186" s="61"/>
      <c r="DF186" s="61"/>
      <c r="DG186" s="61"/>
      <c r="DH186" s="61"/>
      <c r="DI186" s="61"/>
      <c r="DJ186" s="61"/>
      <c r="DK186" s="61"/>
      <c r="DL186" s="61"/>
      <c r="DM186" s="61"/>
      <c r="DN186" s="61"/>
      <c r="DO186" s="61"/>
      <c r="DP186" s="61"/>
      <c r="DQ186" s="61"/>
      <c r="DR186" s="61"/>
      <c r="DS186" s="61"/>
      <c r="DT186" s="61"/>
      <c r="DU186" s="61"/>
      <c r="DV186" s="61"/>
      <c r="DW186" s="61"/>
      <c r="DX186" s="61"/>
      <c r="DY186" s="61"/>
      <c r="DZ186" s="61"/>
      <c r="EA186" s="61"/>
      <c r="EB186" s="61"/>
      <c r="EC186" s="61"/>
      <c r="ED186" s="61"/>
      <c r="EE186" s="61"/>
      <c r="EF186" s="61"/>
      <c r="EG186" s="61"/>
      <c r="EH186" s="61"/>
      <c r="EI186" s="61"/>
      <c r="EJ186" s="61"/>
      <c r="EK186" s="61"/>
      <c r="EL186" s="61"/>
      <c r="EM186" s="61"/>
      <c r="EN186" s="61"/>
      <c r="EO186" s="61"/>
      <c r="EP186" s="61"/>
      <c r="EQ186" s="61"/>
      <c r="ER186" s="61"/>
      <c r="ES186" s="61"/>
      <c r="ET186" s="61"/>
      <c r="EU186" s="61"/>
      <c r="EV186" s="61"/>
      <c r="EW186" s="61"/>
    </row>
    <row r="187" spans="1:153">
      <c r="A187" s="56">
        <v>32264</v>
      </c>
      <c r="B187" s="57"/>
      <c r="C187" s="7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71"/>
      <c r="P187" s="60">
        <v>217.82499999999999</v>
      </c>
      <c r="Q187" s="61">
        <v>10.507999999999999</v>
      </c>
      <c r="R187" s="61">
        <v>255.18799999999999</v>
      </c>
      <c r="S187" s="61">
        <v>486.21199999999999</v>
      </c>
      <c r="T187" s="61">
        <v>222.70099999999999</v>
      </c>
      <c r="U187" s="61">
        <v>8.31</v>
      </c>
      <c r="V187" s="61">
        <v>1.2999999999999999E-2</v>
      </c>
      <c r="W187" s="61">
        <v>0</v>
      </c>
      <c r="X187" s="61">
        <v>217.82499999999999</v>
      </c>
      <c r="Y187" s="61">
        <v>26.855</v>
      </c>
      <c r="Z187" s="61">
        <v>10.507999999999999</v>
      </c>
      <c r="AA187" s="61">
        <v>255.18799999999999</v>
      </c>
      <c r="AB187" s="60">
        <v>486.21199999999999</v>
      </c>
      <c r="AC187" s="62"/>
      <c r="AD187" s="61"/>
      <c r="AE187" s="61"/>
      <c r="AF187" s="61"/>
      <c r="AG187" s="61"/>
      <c r="AH187" s="61"/>
      <c r="AI187" s="61"/>
      <c r="AJ187" s="61"/>
      <c r="AK187" s="62"/>
      <c r="AL187" s="63"/>
      <c r="AM187" s="64"/>
      <c r="AN187" s="65" t="e">
        <v>#N/A</v>
      </c>
      <c r="AO187" s="61" t="e">
        <v>#N/A</v>
      </c>
      <c r="AP187" s="61" t="e">
        <v>#N/A</v>
      </c>
      <c r="AQ187" s="61" t="e">
        <v>#N/A</v>
      </c>
      <c r="AR187" s="61" t="e">
        <v>#N/A</v>
      </c>
      <c r="AS187" s="61" t="e">
        <v>#N/A</v>
      </c>
      <c r="AT187" s="61" t="e">
        <v>#N/A</v>
      </c>
      <c r="AU187" s="61" t="e">
        <v>#N/A</v>
      </c>
      <c r="AV187" s="61" t="e">
        <v>#N/A</v>
      </c>
      <c r="AW187" s="61" t="e">
        <v>#N/A</v>
      </c>
      <c r="AX187" s="65" t="e">
        <v>#N/A</v>
      </c>
      <c r="AY187" s="66" t="s">
        <v>121</v>
      </c>
      <c r="AZ187" s="61" t="s">
        <v>121</v>
      </c>
      <c r="BA187" s="61">
        <v>77.076999999999998</v>
      </c>
      <c r="BB187" s="61">
        <v>77.076999999999998</v>
      </c>
      <c r="BC187" s="61" t="s">
        <v>121</v>
      </c>
      <c r="BD187" s="61" t="s">
        <v>121</v>
      </c>
      <c r="BE187" s="61" t="s">
        <v>121</v>
      </c>
      <c r="BF187" s="61" t="s">
        <v>121</v>
      </c>
      <c r="BG187" s="61">
        <v>2.71</v>
      </c>
      <c r="BH187" s="61" t="s">
        <v>121</v>
      </c>
      <c r="BI187" s="61">
        <v>4.4999999999999998E-2</v>
      </c>
      <c r="BJ187" s="61">
        <v>2.7559999999999998</v>
      </c>
      <c r="BK187" s="66">
        <v>2.7559999999999998</v>
      </c>
      <c r="BL187" s="67">
        <v>5.6849999999999996</v>
      </c>
      <c r="BM187" s="61" t="s">
        <v>121</v>
      </c>
      <c r="BN187" s="61" t="s">
        <v>121</v>
      </c>
      <c r="BO187" s="61" t="s">
        <v>121</v>
      </c>
      <c r="BP187" s="61">
        <v>5.6849999999999996</v>
      </c>
      <c r="BQ187" s="61">
        <v>219.26499999999999</v>
      </c>
      <c r="BR187" s="61">
        <v>8.31</v>
      </c>
      <c r="BS187" s="61">
        <v>1.2999999999999999E-2</v>
      </c>
      <c r="BT187" s="61">
        <v>0</v>
      </c>
      <c r="BU187" s="61">
        <v>0.40100000000000002</v>
      </c>
      <c r="BV187" s="61">
        <v>0.79200000000000004</v>
      </c>
      <c r="BW187" s="61">
        <v>1.194</v>
      </c>
      <c r="BX187" s="67">
        <v>228.78299999999999</v>
      </c>
      <c r="BY187" s="68">
        <v>90978</v>
      </c>
      <c r="BZ187" s="68">
        <v>86658</v>
      </c>
      <c r="CA187" s="69">
        <v>7838</v>
      </c>
      <c r="CB187" s="68">
        <v>104879</v>
      </c>
      <c r="CC187" s="68">
        <v>2295</v>
      </c>
      <c r="CD187" s="61"/>
      <c r="CE187" s="64"/>
      <c r="CF187" s="64"/>
      <c r="CG187" s="70">
        <f t="shared" si="11"/>
        <v>4404.9179999999997</v>
      </c>
      <c r="CH187" s="70">
        <f t="shared" si="12"/>
        <v>329.19600000000003</v>
      </c>
      <c r="CI187" s="70">
        <f t="shared" si="13"/>
        <v>96.39</v>
      </c>
      <c r="CJ187" s="70">
        <f t="shared" si="15"/>
        <v>3821.076</v>
      </c>
      <c r="CK187" s="70">
        <f t="shared" si="15"/>
        <v>3639.636</v>
      </c>
      <c r="CL187" s="70">
        <f t="shared" si="14"/>
        <v>96.39</v>
      </c>
      <c r="CM187" s="61"/>
      <c r="CN187" s="61"/>
      <c r="CO187" s="61"/>
      <c r="CP187" s="61"/>
      <c r="CQ187" s="61"/>
      <c r="CR187" s="61"/>
      <c r="CS187" s="61"/>
      <c r="CT187" s="61"/>
      <c r="CU187" s="61"/>
      <c r="CV187" s="61"/>
      <c r="CW187" s="61"/>
      <c r="CX187" s="61"/>
      <c r="CY187" s="61"/>
      <c r="CZ187" s="61"/>
      <c r="DA187" s="61"/>
      <c r="DB187" s="61"/>
      <c r="DC187" s="61"/>
      <c r="DD187" s="61"/>
      <c r="DE187" s="61"/>
      <c r="DF187" s="61"/>
      <c r="DG187" s="61"/>
      <c r="DH187" s="61"/>
      <c r="DI187" s="61"/>
      <c r="DJ187" s="61"/>
      <c r="DK187" s="61"/>
      <c r="DL187" s="61"/>
      <c r="DM187" s="61"/>
      <c r="DN187" s="61"/>
      <c r="DO187" s="61"/>
      <c r="DP187" s="61"/>
      <c r="DQ187" s="61"/>
      <c r="DR187" s="61"/>
      <c r="DS187" s="61"/>
      <c r="DT187" s="61"/>
      <c r="DU187" s="61"/>
      <c r="DV187" s="61"/>
      <c r="DW187" s="61"/>
      <c r="DX187" s="61"/>
      <c r="DY187" s="61"/>
      <c r="DZ187" s="61"/>
      <c r="EA187" s="61"/>
      <c r="EB187" s="61"/>
      <c r="EC187" s="61"/>
      <c r="ED187" s="61"/>
      <c r="EE187" s="61"/>
      <c r="EF187" s="61"/>
      <c r="EG187" s="61"/>
      <c r="EH187" s="61"/>
      <c r="EI187" s="61"/>
      <c r="EJ187" s="61"/>
      <c r="EK187" s="61"/>
      <c r="EL187" s="61"/>
      <c r="EM187" s="61"/>
      <c r="EN187" s="61"/>
      <c r="EO187" s="61"/>
      <c r="EP187" s="61"/>
      <c r="EQ187" s="61"/>
      <c r="ER187" s="61"/>
      <c r="ES187" s="61"/>
      <c r="ET187" s="61"/>
      <c r="EU187" s="61"/>
      <c r="EV187" s="61"/>
      <c r="EW187" s="61"/>
    </row>
    <row r="188" spans="1:153">
      <c r="A188" s="56">
        <v>32295</v>
      </c>
      <c r="B188" s="57"/>
      <c r="C188" s="7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71"/>
      <c r="P188" s="60">
        <v>211.24199999999999</v>
      </c>
      <c r="Q188" s="61">
        <v>10.169</v>
      </c>
      <c r="R188" s="61">
        <v>247.34</v>
      </c>
      <c r="S188" s="61">
        <v>453.89100000000002</v>
      </c>
      <c r="T188" s="61">
        <v>197.72300000000001</v>
      </c>
      <c r="U188" s="61">
        <v>8.8149999999999995</v>
      </c>
      <c r="V188" s="61">
        <v>1.4E-2</v>
      </c>
      <c r="W188" s="61">
        <v>0</v>
      </c>
      <c r="X188" s="61">
        <v>211.24199999999999</v>
      </c>
      <c r="Y188" s="61">
        <v>25.928999999999998</v>
      </c>
      <c r="Z188" s="61">
        <v>10.169</v>
      </c>
      <c r="AA188" s="61">
        <v>247.34</v>
      </c>
      <c r="AB188" s="60">
        <v>453.89100000000002</v>
      </c>
      <c r="AC188" s="62"/>
      <c r="AD188" s="61"/>
      <c r="AE188" s="61"/>
      <c r="AF188" s="61"/>
      <c r="AG188" s="61"/>
      <c r="AH188" s="61"/>
      <c r="AI188" s="61"/>
      <c r="AJ188" s="61"/>
      <c r="AK188" s="62"/>
      <c r="AL188" s="63"/>
      <c r="AM188" s="64"/>
      <c r="AN188" s="65" t="e">
        <v>#N/A</v>
      </c>
      <c r="AO188" s="61" t="e">
        <v>#N/A</v>
      </c>
      <c r="AP188" s="61" t="e">
        <v>#N/A</v>
      </c>
      <c r="AQ188" s="61" t="e">
        <v>#N/A</v>
      </c>
      <c r="AR188" s="61" t="e">
        <v>#N/A</v>
      </c>
      <c r="AS188" s="61" t="e">
        <v>#N/A</v>
      </c>
      <c r="AT188" s="61" t="e">
        <v>#N/A</v>
      </c>
      <c r="AU188" s="61" t="e">
        <v>#N/A</v>
      </c>
      <c r="AV188" s="61" t="e">
        <v>#N/A</v>
      </c>
      <c r="AW188" s="61" t="e">
        <v>#N/A</v>
      </c>
      <c r="AX188" s="65" t="e">
        <v>#N/A</v>
      </c>
      <c r="AY188" s="66" t="s">
        <v>121</v>
      </c>
      <c r="AZ188" s="61" t="s">
        <v>121</v>
      </c>
      <c r="BA188" s="61">
        <v>74.59</v>
      </c>
      <c r="BB188" s="61">
        <v>74.59</v>
      </c>
      <c r="BC188" s="61" t="s">
        <v>121</v>
      </c>
      <c r="BD188" s="61" t="s">
        <v>121</v>
      </c>
      <c r="BE188" s="61" t="s">
        <v>121</v>
      </c>
      <c r="BF188" s="61" t="s">
        <v>121</v>
      </c>
      <c r="BG188" s="61">
        <v>2.6230000000000002</v>
      </c>
      <c r="BH188" s="61" t="s">
        <v>121</v>
      </c>
      <c r="BI188" s="61">
        <v>4.3999999999999997E-2</v>
      </c>
      <c r="BJ188" s="61">
        <v>2.6669999999999998</v>
      </c>
      <c r="BK188" s="66">
        <v>2.6669999999999998</v>
      </c>
      <c r="BL188" s="67">
        <v>5.5019999999999998</v>
      </c>
      <c r="BM188" s="61" t="s">
        <v>121</v>
      </c>
      <c r="BN188" s="61" t="s">
        <v>121</v>
      </c>
      <c r="BO188" s="61" t="s">
        <v>121</v>
      </c>
      <c r="BP188" s="61">
        <v>5.5019999999999998</v>
      </c>
      <c r="BQ188" s="61">
        <v>194.43100000000001</v>
      </c>
      <c r="BR188" s="61">
        <v>8.8149999999999995</v>
      </c>
      <c r="BS188" s="61">
        <v>1.4E-2</v>
      </c>
      <c r="BT188" s="61">
        <v>0</v>
      </c>
      <c r="BU188" s="61">
        <v>0.83299999999999996</v>
      </c>
      <c r="BV188" s="61">
        <v>0.70699999999999996</v>
      </c>
      <c r="BW188" s="61">
        <v>1.5389999999999999</v>
      </c>
      <c r="BX188" s="67">
        <v>204.8</v>
      </c>
      <c r="BY188" s="68">
        <v>86736</v>
      </c>
      <c r="BZ188" s="68">
        <v>85628</v>
      </c>
      <c r="CA188" s="69">
        <v>6649</v>
      </c>
      <c r="CB188" s="68">
        <v>110418</v>
      </c>
      <c r="CC188" s="68">
        <v>2267</v>
      </c>
      <c r="CD188" s="61"/>
      <c r="CE188" s="64"/>
      <c r="CF188" s="64"/>
      <c r="CG188" s="70">
        <f t="shared" si="11"/>
        <v>4637.5559999999996</v>
      </c>
      <c r="CH188" s="70">
        <f t="shared" si="12"/>
        <v>279.25799999999998</v>
      </c>
      <c r="CI188" s="70">
        <f t="shared" si="13"/>
        <v>95.213999999999999</v>
      </c>
      <c r="CJ188" s="70">
        <f t="shared" si="15"/>
        <v>3642.9119999999998</v>
      </c>
      <c r="CK188" s="70">
        <f t="shared" si="15"/>
        <v>3596.3760000000002</v>
      </c>
      <c r="CL188" s="70">
        <f t="shared" si="14"/>
        <v>95.213999999999999</v>
      </c>
      <c r="CM188" s="61"/>
      <c r="CN188" s="61"/>
      <c r="CO188" s="61"/>
      <c r="CP188" s="61"/>
      <c r="CQ188" s="61"/>
      <c r="CR188" s="61"/>
      <c r="CS188" s="61"/>
      <c r="CT188" s="61"/>
      <c r="CU188" s="61"/>
      <c r="CV188" s="61"/>
      <c r="CW188" s="61"/>
      <c r="CX188" s="61"/>
      <c r="CY188" s="61"/>
      <c r="CZ188" s="61"/>
      <c r="DA188" s="61"/>
      <c r="DB188" s="61"/>
      <c r="DC188" s="61"/>
      <c r="DD188" s="61"/>
      <c r="DE188" s="61"/>
      <c r="DF188" s="61"/>
      <c r="DG188" s="61"/>
      <c r="DH188" s="61"/>
      <c r="DI188" s="61"/>
      <c r="DJ188" s="61"/>
      <c r="DK188" s="61"/>
      <c r="DL188" s="61"/>
      <c r="DM188" s="61"/>
      <c r="DN188" s="61"/>
      <c r="DO188" s="61"/>
      <c r="DP188" s="61"/>
      <c r="DQ188" s="61"/>
      <c r="DR188" s="61"/>
      <c r="DS188" s="61"/>
      <c r="DT188" s="61"/>
      <c r="DU188" s="61"/>
      <c r="DV188" s="61"/>
      <c r="DW188" s="61"/>
      <c r="DX188" s="61"/>
      <c r="DY188" s="61"/>
      <c r="DZ188" s="61"/>
      <c r="EA188" s="61"/>
      <c r="EB188" s="61"/>
      <c r="EC188" s="61"/>
      <c r="ED188" s="61"/>
      <c r="EE188" s="61"/>
      <c r="EF188" s="61"/>
      <c r="EG188" s="61"/>
      <c r="EH188" s="61"/>
      <c r="EI188" s="61"/>
      <c r="EJ188" s="61"/>
      <c r="EK188" s="61"/>
      <c r="EL188" s="61"/>
      <c r="EM188" s="61"/>
      <c r="EN188" s="61"/>
      <c r="EO188" s="61"/>
      <c r="EP188" s="61"/>
      <c r="EQ188" s="61"/>
      <c r="ER188" s="61"/>
      <c r="ES188" s="61"/>
      <c r="ET188" s="61"/>
      <c r="EU188" s="61"/>
      <c r="EV188" s="61"/>
      <c r="EW188" s="61"/>
    </row>
    <row r="189" spans="1:153">
      <c r="A189" s="56">
        <v>32325</v>
      </c>
      <c r="B189" s="57"/>
      <c r="C189" s="7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71"/>
      <c r="P189" s="60">
        <v>218.27199999999999</v>
      </c>
      <c r="Q189" s="61">
        <v>10.507999999999999</v>
      </c>
      <c r="R189" s="61">
        <v>255.58199999999999</v>
      </c>
      <c r="S189" s="61">
        <v>442.60199999999998</v>
      </c>
      <c r="T189" s="61">
        <v>177.42</v>
      </c>
      <c r="U189" s="61">
        <v>9.5890000000000004</v>
      </c>
      <c r="V189" s="61">
        <v>1.2E-2</v>
      </c>
      <c r="W189" s="61">
        <v>0</v>
      </c>
      <c r="X189" s="61">
        <v>218.27199999999999</v>
      </c>
      <c r="Y189" s="61">
        <v>26.802</v>
      </c>
      <c r="Z189" s="61">
        <v>10.507999999999999</v>
      </c>
      <c r="AA189" s="61">
        <v>255.58199999999999</v>
      </c>
      <c r="AB189" s="60">
        <v>442.60199999999998</v>
      </c>
      <c r="AC189" s="62"/>
      <c r="AD189" s="61"/>
      <c r="AE189" s="61"/>
      <c r="AF189" s="61"/>
      <c r="AG189" s="61"/>
      <c r="AH189" s="61"/>
      <c r="AI189" s="61"/>
      <c r="AJ189" s="61"/>
      <c r="AK189" s="62"/>
      <c r="AL189" s="63"/>
      <c r="AM189" s="64"/>
      <c r="AN189" s="65" t="e">
        <v>#N/A</v>
      </c>
      <c r="AO189" s="61" t="e">
        <v>#N/A</v>
      </c>
      <c r="AP189" s="61" t="e">
        <v>#N/A</v>
      </c>
      <c r="AQ189" s="61" t="e">
        <v>#N/A</v>
      </c>
      <c r="AR189" s="61" t="e">
        <v>#N/A</v>
      </c>
      <c r="AS189" s="61" t="e">
        <v>#N/A</v>
      </c>
      <c r="AT189" s="61" t="e">
        <v>#N/A</v>
      </c>
      <c r="AU189" s="61" t="e">
        <v>#N/A</v>
      </c>
      <c r="AV189" s="61" t="e">
        <v>#N/A</v>
      </c>
      <c r="AW189" s="61" t="e">
        <v>#N/A</v>
      </c>
      <c r="AX189" s="65" t="e">
        <v>#N/A</v>
      </c>
      <c r="AY189" s="66" t="s">
        <v>121</v>
      </c>
      <c r="AZ189" s="61" t="s">
        <v>121</v>
      </c>
      <c r="BA189" s="61">
        <v>77.076999999999998</v>
      </c>
      <c r="BB189" s="61">
        <v>77.076999999999998</v>
      </c>
      <c r="BC189" s="61" t="s">
        <v>121</v>
      </c>
      <c r="BD189" s="61" t="s">
        <v>121</v>
      </c>
      <c r="BE189" s="61" t="s">
        <v>121</v>
      </c>
      <c r="BF189" s="61" t="s">
        <v>121</v>
      </c>
      <c r="BG189" s="61">
        <v>2.71</v>
      </c>
      <c r="BH189" s="61" t="s">
        <v>121</v>
      </c>
      <c r="BI189" s="61">
        <v>4.4999999999999998E-2</v>
      </c>
      <c r="BJ189" s="61">
        <v>2.7559999999999998</v>
      </c>
      <c r="BK189" s="66">
        <v>2.7559999999999998</v>
      </c>
      <c r="BL189" s="67">
        <v>5.6849999999999996</v>
      </c>
      <c r="BM189" s="61" t="s">
        <v>121</v>
      </c>
      <c r="BN189" s="61" t="s">
        <v>121</v>
      </c>
      <c r="BO189" s="61" t="s">
        <v>121</v>
      </c>
      <c r="BP189" s="61">
        <v>5.6849999999999996</v>
      </c>
      <c r="BQ189" s="61">
        <v>174.51300000000001</v>
      </c>
      <c r="BR189" s="61">
        <v>9.5890000000000004</v>
      </c>
      <c r="BS189" s="61">
        <v>1.2E-2</v>
      </c>
      <c r="BT189" s="61">
        <v>0</v>
      </c>
      <c r="BU189" s="61">
        <v>0.84899999999999998</v>
      </c>
      <c r="BV189" s="61">
        <v>0.74</v>
      </c>
      <c r="BW189" s="61">
        <v>1.5880000000000001</v>
      </c>
      <c r="BX189" s="67">
        <v>185.702</v>
      </c>
      <c r="BY189" s="68">
        <v>86260</v>
      </c>
      <c r="BZ189" s="68">
        <v>81841</v>
      </c>
      <c r="CA189" s="69">
        <v>6872</v>
      </c>
      <c r="CB189" s="68">
        <v>119955</v>
      </c>
      <c r="CC189" s="68">
        <v>1796</v>
      </c>
      <c r="CD189" s="61"/>
      <c r="CE189" s="64"/>
      <c r="CF189" s="64"/>
      <c r="CG189" s="70">
        <f t="shared" si="11"/>
        <v>5038.1099999999997</v>
      </c>
      <c r="CH189" s="70">
        <f t="shared" si="12"/>
        <v>288.62400000000002</v>
      </c>
      <c r="CI189" s="70">
        <f t="shared" si="13"/>
        <v>75.432000000000002</v>
      </c>
      <c r="CJ189" s="70">
        <f t="shared" si="15"/>
        <v>3622.92</v>
      </c>
      <c r="CK189" s="70">
        <f t="shared" si="15"/>
        <v>3437.3220000000001</v>
      </c>
      <c r="CL189" s="70">
        <f t="shared" si="14"/>
        <v>75.432000000000002</v>
      </c>
      <c r="CM189" s="61"/>
      <c r="CN189" s="61"/>
      <c r="CO189" s="61"/>
      <c r="CP189" s="61"/>
      <c r="CQ189" s="61"/>
      <c r="CR189" s="61"/>
      <c r="CS189" s="61"/>
      <c r="CT189" s="61"/>
      <c r="CU189" s="61"/>
      <c r="CV189" s="61"/>
      <c r="CW189" s="61"/>
      <c r="CX189" s="61"/>
      <c r="CY189" s="61"/>
      <c r="CZ189" s="61"/>
      <c r="DA189" s="61"/>
      <c r="DB189" s="61"/>
      <c r="DC189" s="61"/>
      <c r="DD189" s="61"/>
      <c r="DE189" s="61"/>
      <c r="DF189" s="61"/>
      <c r="DG189" s="61"/>
      <c r="DH189" s="61"/>
      <c r="DI189" s="61"/>
      <c r="DJ189" s="61"/>
      <c r="DK189" s="61"/>
      <c r="DL189" s="61"/>
      <c r="DM189" s="61"/>
      <c r="DN189" s="61"/>
      <c r="DO189" s="61"/>
      <c r="DP189" s="61"/>
      <c r="DQ189" s="61"/>
      <c r="DR189" s="61"/>
      <c r="DS189" s="61"/>
      <c r="DT189" s="61"/>
      <c r="DU189" s="61"/>
      <c r="DV189" s="61"/>
      <c r="DW189" s="61"/>
      <c r="DX189" s="61"/>
      <c r="DY189" s="61"/>
      <c r="DZ189" s="61"/>
      <c r="EA189" s="61"/>
      <c r="EB189" s="61"/>
      <c r="EC189" s="61"/>
      <c r="ED189" s="61"/>
      <c r="EE189" s="61"/>
      <c r="EF189" s="61"/>
      <c r="EG189" s="61"/>
      <c r="EH189" s="61"/>
      <c r="EI189" s="61"/>
      <c r="EJ189" s="61"/>
      <c r="EK189" s="61"/>
      <c r="EL189" s="61"/>
      <c r="EM189" s="61"/>
      <c r="EN189" s="61"/>
      <c r="EO189" s="61"/>
      <c r="EP189" s="61"/>
      <c r="EQ189" s="61"/>
      <c r="ER189" s="61"/>
      <c r="ES189" s="61"/>
      <c r="ET189" s="61"/>
      <c r="EU189" s="61"/>
      <c r="EV189" s="61"/>
      <c r="EW189" s="61"/>
    </row>
    <row r="190" spans="1:153">
      <c r="A190" s="56">
        <v>32356</v>
      </c>
      <c r="B190" s="57"/>
      <c r="C190" s="7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71"/>
      <c r="P190" s="60">
        <v>218.41499999999999</v>
      </c>
      <c r="Q190" s="61">
        <v>10.507999999999999</v>
      </c>
      <c r="R190" s="61">
        <v>255.815</v>
      </c>
      <c r="S190" s="61">
        <v>437.214</v>
      </c>
      <c r="T190" s="61">
        <v>172.238</v>
      </c>
      <c r="U190" s="61">
        <v>9.1489999999999991</v>
      </c>
      <c r="V190" s="61">
        <v>1.2E-2</v>
      </c>
      <c r="W190" s="61">
        <v>0</v>
      </c>
      <c r="X190" s="61">
        <v>218.41499999999999</v>
      </c>
      <c r="Y190" s="61">
        <v>26.893000000000001</v>
      </c>
      <c r="Z190" s="61">
        <v>10.507999999999999</v>
      </c>
      <c r="AA190" s="61">
        <v>255.815</v>
      </c>
      <c r="AB190" s="60">
        <v>437.214</v>
      </c>
      <c r="AC190" s="62"/>
      <c r="AD190" s="61"/>
      <c r="AE190" s="61"/>
      <c r="AF190" s="61"/>
      <c r="AG190" s="61"/>
      <c r="AH190" s="61"/>
      <c r="AI190" s="61"/>
      <c r="AJ190" s="61"/>
      <c r="AK190" s="62"/>
      <c r="AL190" s="63"/>
      <c r="AM190" s="64"/>
      <c r="AN190" s="65" t="e">
        <v>#N/A</v>
      </c>
      <c r="AO190" s="61" t="e">
        <v>#N/A</v>
      </c>
      <c r="AP190" s="61" t="e">
        <v>#N/A</v>
      </c>
      <c r="AQ190" s="61" t="e">
        <v>#N/A</v>
      </c>
      <c r="AR190" s="61" t="e">
        <v>#N/A</v>
      </c>
      <c r="AS190" s="61" t="e">
        <v>#N/A</v>
      </c>
      <c r="AT190" s="61" t="e">
        <v>#N/A</v>
      </c>
      <c r="AU190" s="61" t="e">
        <v>#N/A</v>
      </c>
      <c r="AV190" s="61" t="e">
        <v>#N/A</v>
      </c>
      <c r="AW190" s="61" t="e">
        <v>#N/A</v>
      </c>
      <c r="AX190" s="65" t="e">
        <v>#N/A</v>
      </c>
      <c r="AY190" s="66" t="s">
        <v>121</v>
      </c>
      <c r="AZ190" s="61" t="s">
        <v>121</v>
      </c>
      <c r="BA190" s="61">
        <v>77.076999999999998</v>
      </c>
      <c r="BB190" s="61">
        <v>77.076999999999998</v>
      </c>
      <c r="BC190" s="61" t="s">
        <v>121</v>
      </c>
      <c r="BD190" s="61" t="s">
        <v>121</v>
      </c>
      <c r="BE190" s="61" t="s">
        <v>121</v>
      </c>
      <c r="BF190" s="61" t="s">
        <v>121</v>
      </c>
      <c r="BG190" s="61">
        <v>2.71</v>
      </c>
      <c r="BH190" s="61" t="s">
        <v>121</v>
      </c>
      <c r="BI190" s="61">
        <v>4.4999999999999998E-2</v>
      </c>
      <c r="BJ190" s="61">
        <v>2.7559999999999998</v>
      </c>
      <c r="BK190" s="66">
        <v>2.7559999999999998</v>
      </c>
      <c r="BL190" s="67">
        <v>5.6849999999999996</v>
      </c>
      <c r="BM190" s="61" t="s">
        <v>121</v>
      </c>
      <c r="BN190" s="61" t="s">
        <v>121</v>
      </c>
      <c r="BO190" s="61" t="s">
        <v>121</v>
      </c>
      <c r="BP190" s="61">
        <v>5.6849999999999996</v>
      </c>
      <c r="BQ190" s="61">
        <v>169.80099999999999</v>
      </c>
      <c r="BR190" s="61">
        <v>9.1489999999999991</v>
      </c>
      <c r="BS190" s="61">
        <v>1.2E-2</v>
      </c>
      <c r="BT190" s="61">
        <v>0</v>
      </c>
      <c r="BU190" s="61">
        <v>0.99099999999999999</v>
      </c>
      <c r="BV190" s="61">
        <v>0.83</v>
      </c>
      <c r="BW190" s="61">
        <v>1.821</v>
      </c>
      <c r="BX190" s="67">
        <v>180.78299999999999</v>
      </c>
      <c r="BY190" s="68">
        <v>88255</v>
      </c>
      <c r="BZ190" s="68">
        <v>89052</v>
      </c>
      <c r="CA190" s="69">
        <v>8648</v>
      </c>
      <c r="CB190" s="68">
        <v>125689</v>
      </c>
      <c r="CC190" s="68">
        <v>2158</v>
      </c>
      <c r="CD190" s="61"/>
      <c r="CE190" s="64"/>
      <c r="CF190" s="64"/>
      <c r="CG190" s="70">
        <f t="shared" si="11"/>
        <v>5278.9380000000001</v>
      </c>
      <c r="CH190" s="70">
        <f t="shared" si="12"/>
        <v>363.21600000000001</v>
      </c>
      <c r="CI190" s="70">
        <f t="shared" si="13"/>
        <v>90.635999999999996</v>
      </c>
      <c r="CJ190" s="70">
        <f t="shared" si="15"/>
        <v>3706.71</v>
      </c>
      <c r="CK190" s="70">
        <f t="shared" si="15"/>
        <v>3740.1840000000002</v>
      </c>
      <c r="CL190" s="70">
        <f t="shared" si="14"/>
        <v>90.635999999999996</v>
      </c>
      <c r="CM190" s="61"/>
      <c r="CN190" s="61"/>
      <c r="CO190" s="61"/>
      <c r="CP190" s="61"/>
      <c r="CQ190" s="61"/>
      <c r="CR190" s="61"/>
      <c r="CS190" s="61"/>
      <c r="CT190" s="61"/>
      <c r="CU190" s="61"/>
      <c r="CV190" s="61"/>
      <c r="CW190" s="61"/>
      <c r="CX190" s="61"/>
      <c r="CY190" s="61"/>
      <c r="CZ190" s="61"/>
      <c r="DA190" s="61"/>
      <c r="DB190" s="61"/>
      <c r="DC190" s="61"/>
      <c r="DD190" s="61"/>
      <c r="DE190" s="61"/>
      <c r="DF190" s="61"/>
      <c r="DG190" s="61"/>
      <c r="DH190" s="61"/>
      <c r="DI190" s="61"/>
      <c r="DJ190" s="61"/>
      <c r="DK190" s="61"/>
      <c r="DL190" s="61"/>
      <c r="DM190" s="61"/>
      <c r="DN190" s="61"/>
      <c r="DO190" s="61"/>
      <c r="DP190" s="61"/>
      <c r="DQ190" s="61"/>
      <c r="DR190" s="61"/>
      <c r="DS190" s="61"/>
      <c r="DT190" s="61"/>
      <c r="DU190" s="61"/>
      <c r="DV190" s="61"/>
      <c r="DW190" s="61"/>
      <c r="DX190" s="61"/>
      <c r="DY190" s="61"/>
      <c r="DZ190" s="61"/>
      <c r="EA190" s="61"/>
      <c r="EB190" s="61"/>
      <c r="EC190" s="61"/>
      <c r="ED190" s="61"/>
      <c r="EE190" s="61"/>
      <c r="EF190" s="61"/>
      <c r="EG190" s="61"/>
      <c r="EH190" s="61"/>
      <c r="EI190" s="61"/>
      <c r="EJ190" s="61"/>
      <c r="EK190" s="61"/>
      <c r="EL190" s="61"/>
      <c r="EM190" s="61"/>
      <c r="EN190" s="61"/>
      <c r="EO190" s="61"/>
      <c r="EP190" s="61"/>
      <c r="EQ190" s="61"/>
      <c r="ER190" s="61"/>
      <c r="ES190" s="61"/>
      <c r="ET190" s="61"/>
      <c r="EU190" s="61"/>
      <c r="EV190" s="61"/>
      <c r="EW190" s="61"/>
    </row>
    <row r="191" spans="1:153">
      <c r="A191" s="56">
        <v>32387</v>
      </c>
      <c r="B191" s="57"/>
      <c r="C191" s="7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71"/>
      <c r="P191" s="60">
        <v>211.21799999999999</v>
      </c>
      <c r="Q191" s="61">
        <v>10.169</v>
      </c>
      <c r="R191" s="61">
        <v>247.357</v>
      </c>
      <c r="S191" s="61">
        <v>426.31200000000001</v>
      </c>
      <c r="T191" s="61">
        <v>170.17400000000001</v>
      </c>
      <c r="U191" s="61">
        <v>8.7720000000000002</v>
      </c>
      <c r="V191" s="61">
        <v>0.01</v>
      </c>
      <c r="W191" s="61">
        <v>0</v>
      </c>
      <c r="X191" s="61">
        <v>211.21799999999999</v>
      </c>
      <c r="Y191" s="61">
        <v>25.97</v>
      </c>
      <c r="Z191" s="61">
        <v>10.169</v>
      </c>
      <c r="AA191" s="61">
        <v>247.357</v>
      </c>
      <c r="AB191" s="60">
        <v>426.31200000000001</v>
      </c>
      <c r="AC191" s="62"/>
      <c r="AD191" s="61"/>
      <c r="AE191" s="61"/>
      <c r="AF191" s="61"/>
      <c r="AG191" s="61"/>
      <c r="AH191" s="61"/>
      <c r="AI191" s="61"/>
      <c r="AJ191" s="61"/>
      <c r="AK191" s="62"/>
      <c r="AL191" s="63"/>
      <c r="AM191" s="64"/>
      <c r="AN191" s="65" t="e">
        <v>#N/A</v>
      </c>
      <c r="AO191" s="61" t="e">
        <v>#N/A</v>
      </c>
      <c r="AP191" s="61" t="e">
        <v>#N/A</v>
      </c>
      <c r="AQ191" s="61" t="e">
        <v>#N/A</v>
      </c>
      <c r="AR191" s="61" t="e">
        <v>#N/A</v>
      </c>
      <c r="AS191" s="61" t="e">
        <v>#N/A</v>
      </c>
      <c r="AT191" s="61" t="e">
        <v>#N/A</v>
      </c>
      <c r="AU191" s="61" t="e">
        <v>#N/A</v>
      </c>
      <c r="AV191" s="61" t="e">
        <v>#N/A</v>
      </c>
      <c r="AW191" s="61" t="e">
        <v>#N/A</v>
      </c>
      <c r="AX191" s="65" t="e">
        <v>#N/A</v>
      </c>
      <c r="AY191" s="66" t="s">
        <v>121</v>
      </c>
      <c r="AZ191" s="61" t="s">
        <v>121</v>
      </c>
      <c r="BA191" s="61">
        <v>74.59</v>
      </c>
      <c r="BB191" s="61">
        <v>74.59</v>
      </c>
      <c r="BC191" s="61" t="s">
        <v>121</v>
      </c>
      <c r="BD191" s="61" t="s">
        <v>121</v>
      </c>
      <c r="BE191" s="61" t="s">
        <v>121</v>
      </c>
      <c r="BF191" s="61" t="s">
        <v>121</v>
      </c>
      <c r="BG191" s="61">
        <v>2.6230000000000002</v>
      </c>
      <c r="BH191" s="61" t="s">
        <v>121</v>
      </c>
      <c r="BI191" s="61">
        <v>4.3999999999999997E-2</v>
      </c>
      <c r="BJ191" s="61">
        <v>2.6669999999999998</v>
      </c>
      <c r="BK191" s="66">
        <v>2.6669999999999998</v>
      </c>
      <c r="BL191" s="67">
        <v>5.5019999999999998</v>
      </c>
      <c r="BM191" s="61" t="s">
        <v>121</v>
      </c>
      <c r="BN191" s="61" t="s">
        <v>121</v>
      </c>
      <c r="BO191" s="61" t="s">
        <v>121</v>
      </c>
      <c r="BP191" s="61">
        <v>5.5019999999999998</v>
      </c>
      <c r="BQ191" s="61">
        <v>167.97300000000001</v>
      </c>
      <c r="BR191" s="61">
        <v>8.7720000000000002</v>
      </c>
      <c r="BS191" s="61">
        <v>0.01</v>
      </c>
      <c r="BT191" s="61">
        <v>0</v>
      </c>
      <c r="BU191" s="61">
        <v>0.80800000000000005</v>
      </c>
      <c r="BV191" s="61">
        <v>0.748</v>
      </c>
      <c r="BW191" s="61">
        <v>1.556</v>
      </c>
      <c r="BX191" s="67">
        <v>178.31100000000001</v>
      </c>
      <c r="BY191" s="68">
        <v>83310</v>
      </c>
      <c r="BZ191" s="68">
        <v>84629</v>
      </c>
      <c r="CA191" s="69">
        <v>9204</v>
      </c>
      <c r="CB191" s="68">
        <v>131451</v>
      </c>
      <c r="CC191" s="68">
        <v>2156</v>
      </c>
      <c r="CD191" s="61"/>
      <c r="CE191" s="64"/>
      <c r="CF191" s="64"/>
      <c r="CG191" s="70">
        <f t="shared" si="11"/>
        <v>5520.942</v>
      </c>
      <c r="CH191" s="70">
        <f t="shared" si="12"/>
        <v>386.56799999999998</v>
      </c>
      <c r="CI191" s="70">
        <f t="shared" si="13"/>
        <v>90.552000000000007</v>
      </c>
      <c r="CJ191" s="70">
        <f t="shared" si="15"/>
        <v>3499.02</v>
      </c>
      <c r="CK191" s="70">
        <f t="shared" si="15"/>
        <v>3554.4180000000001</v>
      </c>
      <c r="CL191" s="70">
        <f t="shared" si="14"/>
        <v>90.552000000000007</v>
      </c>
      <c r="CM191" s="61"/>
      <c r="CN191" s="61"/>
      <c r="CO191" s="61"/>
      <c r="CP191" s="61"/>
      <c r="CQ191" s="61"/>
      <c r="CR191" s="61"/>
      <c r="CS191" s="61"/>
      <c r="CT191" s="61"/>
      <c r="CU191" s="61"/>
      <c r="CV191" s="61"/>
      <c r="CW191" s="61"/>
      <c r="CX191" s="61"/>
      <c r="CY191" s="61"/>
      <c r="CZ191" s="61"/>
      <c r="DA191" s="61"/>
      <c r="DB191" s="61"/>
      <c r="DC191" s="61"/>
      <c r="DD191" s="61"/>
      <c r="DE191" s="61"/>
      <c r="DF191" s="61"/>
      <c r="DG191" s="61"/>
      <c r="DH191" s="61"/>
      <c r="DI191" s="61"/>
      <c r="DJ191" s="61"/>
      <c r="DK191" s="61"/>
      <c r="DL191" s="61"/>
      <c r="DM191" s="61"/>
      <c r="DN191" s="61"/>
      <c r="DO191" s="61"/>
      <c r="DP191" s="61"/>
      <c r="DQ191" s="61"/>
      <c r="DR191" s="61"/>
      <c r="DS191" s="61"/>
      <c r="DT191" s="61"/>
      <c r="DU191" s="61"/>
      <c r="DV191" s="61"/>
      <c r="DW191" s="61"/>
      <c r="DX191" s="61"/>
      <c r="DY191" s="61"/>
      <c r="DZ191" s="61"/>
      <c r="EA191" s="61"/>
      <c r="EB191" s="61"/>
      <c r="EC191" s="61"/>
      <c r="ED191" s="61"/>
      <c r="EE191" s="61"/>
      <c r="EF191" s="61"/>
      <c r="EG191" s="61"/>
      <c r="EH191" s="61"/>
      <c r="EI191" s="61"/>
      <c r="EJ191" s="61"/>
      <c r="EK191" s="61"/>
      <c r="EL191" s="61"/>
      <c r="EM191" s="61"/>
      <c r="EN191" s="61"/>
      <c r="EO191" s="61"/>
      <c r="EP191" s="61"/>
      <c r="EQ191" s="61"/>
      <c r="ER191" s="61"/>
      <c r="ES191" s="61"/>
      <c r="ET191" s="61"/>
      <c r="EU191" s="61"/>
      <c r="EV191" s="61"/>
      <c r="EW191" s="61"/>
    </row>
    <row r="192" spans="1:153">
      <c r="A192" s="56">
        <v>32417</v>
      </c>
      <c r="B192" s="57"/>
      <c r="C192" s="7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71"/>
      <c r="P192" s="60">
        <v>218.19800000000001</v>
      </c>
      <c r="Q192" s="61">
        <v>10.507999999999999</v>
      </c>
      <c r="R192" s="61">
        <v>255.517</v>
      </c>
      <c r="S192" s="61">
        <v>422.60199999999998</v>
      </c>
      <c r="T192" s="61">
        <v>158.14400000000001</v>
      </c>
      <c r="U192" s="61">
        <v>8.9390000000000001</v>
      </c>
      <c r="V192" s="61">
        <v>1E-3</v>
      </c>
      <c r="W192" s="61">
        <v>0</v>
      </c>
      <c r="X192" s="61">
        <v>218.19800000000001</v>
      </c>
      <c r="Y192" s="61">
        <v>26.811</v>
      </c>
      <c r="Z192" s="61">
        <v>10.507999999999999</v>
      </c>
      <c r="AA192" s="61">
        <v>255.517</v>
      </c>
      <c r="AB192" s="60">
        <v>422.60199999999998</v>
      </c>
      <c r="AC192" s="62"/>
      <c r="AD192" s="61"/>
      <c r="AE192" s="61"/>
      <c r="AF192" s="61"/>
      <c r="AG192" s="61"/>
      <c r="AH192" s="61"/>
      <c r="AI192" s="61"/>
      <c r="AJ192" s="61"/>
      <c r="AK192" s="62"/>
      <c r="AL192" s="63"/>
      <c r="AM192" s="64"/>
      <c r="AN192" s="65" t="e">
        <v>#N/A</v>
      </c>
      <c r="AO192" s="61" t="e">
        <v>#N/A</v>
      </c>
      <c r="AP192" s="61" t="e">
        <v>#N/A</v>
      </c>
      <c r="AQ192" s="61" t="e">
        <v>#N/A</v>
      </c>
      <c r="AR192" s="61" t="e">
        <v>#N/A</v>
      </c>
      <c r="AS192" s="61" t="e">
        <v>#N/A</v>
      </c>
      <c r="AT192" s="61" t="e">
        <v>#N/A</v>
      </c>
      <c r="AU192" s="61" t="e">
        <v>#N/A</v>
      </c>
      <c r="AV192" s="61" t="e">
        <v>#N/A</v>
      </c>
      <c r="AW192" s="61" t="e">
        <v>#N/A</v>
      </c>
      <c r="AX192" s="65" t="e">
        <v>#N/A</v>
      </c>
      <c r="AY192" s="66" t="s">
        <v>121</v>
      </c>
      <c r="AZ192" s="61" t="s">
        <v>121</v>
      </c>
      <c r="BA192" s="61">
        <v>77.076999999999998</v>
      </c>
      <c r="BB192" s="61">
        <v>77.076999999999998</v>
      </c>
      <c r="BC192" s="61" t="s">
        <v>121</v>
      </c>
      <c r="BD192" s="61" t="s">
        <v>121</v>
      </c>
      <c r="BE192" s="61" t="s">
        <v>121</v>
      </c>
      <c r="BF192" s="61" t="s">
        <v>121</v>
      </c>
      <c r="BG192" s="61">
        <v>2.71</v>
      </c>
      <c r="BH192" s="61" t="s">
        <v>121</v>
      </c>
      <c r="BI192" s="61">
        <v>4.4999999999999998E-2</v>
      </c>
      <c r="BJ192" s="61">
        <v>2.7559999999999998</v>
      </c>
      <c r="BK192" s="66">
        <v>2.7559999999999998</v>
      </c>
      <c r="BL192" s="67">
        <v>5.6849999999999996</v>
      </c>
      <c r="BM192" s="61" t="s">
        <v>121</v>
      </c>
      <c r="BN192" s="61" t="s">
        <v>121</v>
      </c>
      <c r="BO192" s="61" t="s">
        <v>121</v>
      </c>
      <c r="BP192" s="61">
        <v>5.6849999999999996</v>
      </c>
      <c r="BQ192" s="61">
        <v>156.018</v>
      </c>
      <c r="BR192" s="61">
        <v>8.9390000000000001</v>
      </c>
      <c r="BS192" s="61">
        <v>1E-3</v>
      </c>
      <c r="BT192" s="61">
        <v>0</v>
      </c>
      <c r="BU192" s="61">
        <v>0.77500000000000002</v>
      </c>
      <c r="BV192" s="61">
        <v>0.749</v>
      </c>
      <c r="BW192" s="61">
        <v>1.5229999999999999</v>
      </c>
      <c r="BX192" s="67">
        <v>166.482</v>
      </c>
      <c r="BY192" s="68">
        <v>87591</v>
      </c>
      <c r="BZ192" s="68">
        <v>99767</v>
      </c>
      <c r="CA192" s="69">
        <v>10423</v>
      </c>
      <c r="CB192" s="68">
        <v>128248</v>
      </c>
      <c r="CC192" s="68">
        <v>1489</v>
      </c>
      <c r="CD192" s="61"/>
      <c r="CE192" s="64"/>
      <c r="CF192" s="64"/>
      <c r="CG192" s="70">
        <f t="shared" si="11"/>
        <v>5386.4160000000002</v>
      </c>
      <c r="CH192" s="70">
        <f t="shared" si="12"/>
        <v>437.76600000000002</v>
      </c>
      <c r="CI192" s="70">
        <f t="shared" si="13"/>
        <v>62.537999999999997</v>
      </c>
      <c r="CJ192" s="70">
        <f t="shared" si="15"/>
        <v>3678.8220000000001</v>
      </c>
      <c r="CK192" s="70">
        <f t="shared" si="15"/>
        <v>4190.2139999999999</v>
      </c>
      <c r="CL192" s="70">
        <f t="shared" si="14"/>
        <v>62.537999999999997</v>
      </c>
      <c r="CM192" s="61"/>
      <c r="CN192" s="61"/>
      <c r="CO192" s="61"/>
      <c r="CP192" s="61"/>
      <c r="CQ192" s="61"/>
      <c r="CR192" s="61"/>
      <c r="CS192" s="61"/>
      <c r="CT192" s="61"/>
      <c r="CU192" s="61"/>
      <c r="CV192" s="61"/>
      <c r="CW192" s="61"/>
      <c r="CX192" s="61"/>
      <c r="CY192" s="61"/>
      <c r="CZ192" s="61"/>
      <c r="DA192" s="61"/>
      <c r="DB192" s="61"/>
      <c r="DC192" s="61"/>
      <c r="DD192" s="61"/>
      <c r="DE192" s="61"/>
      <c r="DF192" s="61"/>
      <c r="DG192" s="61"/>
      <c r="DH192" s="61"/>
      <c r="DI192" s="61"/>
      <c r="DJ192" s="61"/>
      <c r="DK192" s="61"/>
      <c r="DL192" s="61"/>
      <c r="DM192" s="61"/>
      <c r="DN192" s="61"/>
      <c r="DO192" s="61"/>
      <c r="DP192" s="61"/>
      <c r="DQ192" s="61"/>
      <c r="DR192" s="61"/>
      <c r="DS192" s="61"/>
      <c r="DT192" s="61"/>
      <c r="DU192" s="61"/>
      <c r="DV192" s="61"/>
      <c r="DW192" s="61"/>
      <c r="DX192" s="61"/>
      <c r="DY192" s="61"/>
      <c r="DZ192" s="61"/>
      <c r="EA192" s="61"/>
      <c r="EB192" s="61"/>
      <c r="EC192" s="61"/>
      <c r="ED192" s="61"/>
      <c r="EE192" s="61"/>
      <c r="EF192" s="61"/>
      <c r="EG192" s="61"/>
      <c r="EH192" s="61"/>
      <c r="EI192" s="61"/>
      <c r="EJ192" s="61"/>
      <c r="EK192" s="61"/>
      <c r="EL192" s="61"/>
      <c r="EM192" s="61"/>
      <c r="EN192" s="61"/>
      <c r="EO192" s="61"/>
      <c r="EP192" s="61"/>
      <c r="EQ192" s="61"/>
      <c r="ER192" s="61"/>
      <c r="ES192" s="61"/>
      <c r="ET192" s="61"/>
      <c r="EU192" s="61"/>
      <c r="EV192" s="61"/>
      <c r="EW192" s="61"/>
    </row>
    <row r="193" spans="1:153">
      <c r="A193" s="56">
        <v>32448</v>
      </c>
      <c r="B193" s="57"/>
      <c r="C193" s="7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71"/>
      <c r="P193" s="60">
        <v>211.191</v>
      </c>
      <c r="Q193" s="61">
        <v>10.169</v>
      </c>
      <c r="R193" s="61">
        <v>247.096</v>
      </c>
      <c r="S193" s="61">
        <v>448.90300000000002</v>
      </c>
      <c r="T193" s="61">
        <v>192.93199999999999</v>
      </c>
      <c r="U193" s="61">
        <v>8.8740000000000006</v>
      </c>
      <c r="V193" s="61">
        <v>1E-3</v>
      </c>
      <c r="W193" s="61">
        <v>0</v>
      </c>
      <c r="X193" s="61">
        <v>211.191</v>
      </c>
      <c r="Y193" s="61">
        <v>25.736999999999998</v>
      </c>
      <c r="Z193" s="61">
        <v>10.169</v>
      </c>
      <c r="AA193" s="61">
        <v>247.096</v>
      </c>
      <c r="AB193" s="60">
        <v>448.90300000000002</v>
      </c>
      <c r="AC193" s="62"/>
      <c r="AD193" s="61"/>
      <c r="AE193" s="61"/>
      <c r="AF193" s="61"/>
      <c r="AG193" s="61"/>
      <c r="AH193" s="61"/>
      <c r="AI193" s="61"/>
      <c r="AJ193" s="61"/>
      <c r="AK193" s="62"/>
      <c r="AL193" s="63"/>
      <c r="AM193" s="64"/>
      <c r="AN193" s="65" t="e">
        <v>#N/A</v>
      </c>
      <c r="AO193" s="61" t="e">
        <v>#N/A</v>
      </c>
      <c r="AP193" s="61" t="e">
        <v>#N/A</v>
      </c>
      <c r="AQ193" s="61" t="e">
        <v>#N/A</v>
      </c>
      <c r="AR193" s="61" t="e">
        <v>#N/A</v>
      </c>
      <c r="AS193" s="61" t="e">
        <v>#N/A</v>
      </c>
      <c r="AT193" s="61" t="e">
        <v>#N/A</v>
      </c>
      <c r="AU193" s="61" t="e">
        <v>#N/A</v>
      </c>
      <c r="AV193" s="61" t="e">
        <v>#N/A</v>
      </c>
      <c r="AW193" s="61" t="e">
        <v>#N/A</v>
      </c>
      <c r="AX193" s="65" t="e">
        <v>#N/A</v>
      </c>
      <c r="AY193" s="66" t="s">
        <v>121</v>
      </c>
      <c r="AZ193" s="61" t="s">
        <v>121</v>
      </c>
      <c r="BA193" s="61">
        <v>74.59</v>
      </c>
      <c r="BB193" s="61">
        <v>74.59</v>
      </c>
      <c r="BC193" s="61" t="s">
        <v>121</v>
      </c>
      <c r="BD193" s="61" t="s">
        <v>121</v>
      </c>
      <c r="BE193" s="61" t="s">
        <v>121</v>
      </c>
      <c r="BF193" s="61" t="s">
        <v>121</v>
      </c>
      <c r="BG193" s="61">
        <v>2.6230000000000002</v>
      </c>
      <c r="BH193" s="61" t="s">
        <v>121</v>
      </c>
      <c r="BI193" s="61">
        <v>4.3999999999999997E-2</v>
      </c>
      <c r="BJ193" s="61">
        <v>2.6669999999999998</v>
      </c>
      <c r="BK193" s="66">
        <v>2.6669999999999998</v>
      </c>
      <c r="BL193" s="67">
        <v>5.5019999999999998</v>
      </c>
      <c r="BM193" s="61" t="s">
        <v>121</v>
      </c>
      <c r="BN193" s="61" t="s">
        <v>121</v>
      </c>
      <c r="BO193" s="61" t="s">
        <v>121</v>
      </c>
      <c r="BP193" s="61">
        <v>5.5019999999999998</v>
      </c>
      <c r="BQ193" s="61">
        <v>190.64500000000001</v>
      </c>
      <c r="BR193" s="61">
        <v>8.8740000000000006</v>
      </c>
      <c r="BS193" s="61">
        <v>1E-3</v>
      </c>
      <c r="BT193" s="61">
        <v>0</v>
      </c>
      <c r="BU193" s="61">
        <v>0.78100000000000003</v>
      </c>
      <c r="BV193" s="61">
        <v>0.51500000000000001</v>
      </c>
      <c r="BW193" s="61">
        <v>1.296</v>
      </c>
      <c r="BX193" s="67">
        <v>200.816</v>
      </c>
      <c r="BY193" s="68">
        <v>87225</v>
      </c>
      <c r="BZ193" s="68">
        <v>95488</v>
      </c>
      <c r="CA193" s="69">
        <v>9817</v>
      </c>
      <c r="CB193" s="68">
        <v>128805</v>
      </c>
      <c r="CC193" s="68">
        <v>1033</v>
      </c>
      <c r="CD193" s="61"/>
      <c r="CE193" s="64"/>
      <c r="CF193" s="64"/>
      <c r="CG193" s="70">
        <f t="shared" si="11"/>
        <v>5409.81</v>
      </c>
      <c r="CH193" s="70">
        <f t="shared" si="12"/>
        <v>412.31400000000002</v>
      </c>
      <c r="CI193" s="70">
        <f t="shared" si="13"/>
        <v>43.386000000000003</v>
      </c>
      <c r="CJ193" s="70">
        <f t="shared" si="15"/>
        <v>3663.45</v>
      </c>
      <c r="CK193" s="70">
        <f t="shared" si="15"/>
        <v>4010.4960000000001</v>
      </c>
      <c r="CL193" s="70">
        <f t="shared" si="14"/>
        <v>43.386000000000003</v>
      </c>
      <c r="CM193" s="61"/>
      <c r="CN193" s="61"/>
      <c r="CO193" s="61"/>
      <c r="CP193" s="61"/>
      <c r="CQ193" s="61"/>
      <c r="CR193" s="61"/>
      <c r="CS193" s="61"/>
      <c r="CT193" s="61"/>
      <c r="CU193" s="61"/>
      <c r="CV193" s="61"/>
      <c r="CW193" s="61"/>
      <c r="CX193" s="61"/>
      <c r="CY193" s="61"/>
      <c r="CZ193" s="61"/>
      <c r="DA193" s="61"/>
      <c r="DB193" s="61"/>
      <c r="DC193" s="61"/>
      <c r="DD193" s="61"/>
      <c r="DE193" s="61"/>
      <c r="DF193" s="61"/>
      <c r="DG193" s="61"/>
      <c r="DH193" s="61"/>
      <c r="DI193" s="61"/>
      <c r="DJ193" s="61"/>
      <c r="DK193" s="61"/>
      <c r="DL193" s="61"/>
      <c r="DM193" s="61"/>
      <c r="DN193" s="61"/>
      <c r="DO193" s="61"/>
      <c r="DP193" s="61"/>
      <c r="DQ193" s="61"/>
      <c r="DR193" s="61"/>
      <c r="DS193" s="61"/>
      <c r="DT193" s="61"/>
      <c r="DU193" s="61"/>
      <c r="DV193" s="61"/>
      <c r="DW193" s="61"/>
      <c r="DX193" s="61"/>
      <c r="DY193" s="61"/>
      <c r="DZ193" s="61"/>
      <c r="EA193" s="61"/>
      <c r="EB193" s="61"/>
      <c r="EC193" s="61"/>
      <c r="ED193" s="61"/>
      <c r="EE193" s="61"/>
      <c r="EF193" s="61"/>
      <c r="EG193" s="61"/>
      <c r="EH193" s="61"/>
      <c r="EI193" s="61"/>
      <c r="EJ193" s="61"/>
      <c r="EK193" s="61"/>
      <c r="EL193" s="61"/>
      <c r="EM193" s="61"/>
      <c r="EN193" s="61"/>
      <c r="EO193" s="61"/>
      <c r="EP193" s="61"/>
      <c r="EQ193" s="61"/>
      <c r="ER193" s="61"/>
      <c r="ES193" s="61"/>
      <c r="ET193" s="61"/>
      <c r="EU193" s="61"/>
      <c r="EV193" s="61"/>
      <c r="EW193" s="61"/>
    </row>
    <row r="194" spans="1:153">
      <c r="A194" s="56">
        <v>32478</v>
      </c>
      <c r="B194" s="57"/>
      <c r="C194" s="7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71"/>
      <c r="P194" s="60">
        <v>218.215</v>
      </c>
      <c r="Q194" s="61">
        <v>10.507999999999999</v>
      </c>
      <c r="R194" s="61">
        <v>255.345</v>
      </c>
      <c r="S194" s="61">
        <v>472.13200000000001</v>
      </c>
      <c r="T194" s="61">
        <v>208.01599999999999</v>
      </c>
      <c r="U194" s="61">
        <v>8.77</v>
      </c>
      <c r="V194" s="61">
        <v>1E-3</v>
      </c>
      <c r="W194" s="61">
        <v>1E-3</v>
      </c>
      <c r="X194" s="61">
        <v>218.215</v>
      </c>
      <c r="Y194" s="61">
        <v>26.623000000000001</v>
      </c>
      <c r="Z194" s="61">
        <v>10.507999999999999</v>
      </c>
      <c r="AA194" s="61">
        <v>255.345</v>
      </c>
      <c r="AB194" s="60">
        <v>472.13200000000001</v>
      </c>
      <c r="AC194" s="62"/>
      <c r="AD194" s="61"/>
      <c r="AE194" s="61"/>
      <c r="AF194" s="61"/>
      <c r="AG194" s="61"/>
      <c r="AH194" s="61"/>
      <c r="AI194" s="61"/>
      <c r="AJ194" s="61"/>
      <c r="AK194" s="62"/>
      <c r="AL194" s="63"/>
      <c r="AM194" s="64"/>
      <c r="AN194" s="65" t="e">
        <v>#N/A</v>
      </c>
      <c r="AO194" s="61" t="e">
        <v>#N/A</v>
      </c>
      <c r="AP194" s="61" t="e">
        <v>#N/A</v>
      </c>
      <c r="AQ194" s="61" t="e">
        <v>#N/A</v>
      </c>
      <c r="AR194" s="61" t="e">
        <v>#N/A</v>
      </c>
      <c r="AS194" s="61" t="e">
        <v>#N/A</v>
      </c>
      <c r="AT194" s="61" t="e">
        <v>#N/A</v>
      </c>
      <c r="AU194" s="61" t="e">
        <v>#N/A</v>
      </c>
      <c r="AV194" s="61" t="e">
        <v>#N/A</v>
      </c>
      <c r="AW194" s="61" t="e">
        <v>#N/A</v>
      </c>
      <c r="AX194" s="65" t="e">
        <v>#N/A</v>
      </c>
      <c r="AY194" s="66" t="s">
        <v>121</v>
      </c>
      <c r="AZ194" s="61" t="s">
        <v>121</v>
      </c>
      <c r="BA194" s="61">
        <v>77.076999999999998</v>
      </c>
      <c r="BB194" s="61">
        <v>77.076999999999998</v>
      </c>
      <c r="BC194" s="61" t="s">
        <v>121</v>
      </c>
      <c r="BD194" s="61" t="s">
        <v>121</v>
      </c>
      <c r="BE194" s="61" t="s">
        <v>121</v>
      </c>
      <c r="BF194" s="61" t="s">
        <v>121</v>
      </c>
      <c r="BG194" s="61">
        <v>2.71</v>
      </c>
      <c r="BH194" s="61" t="s">
        <v>121</v>
      </c>
      <c r="BI194" s="61">
        <v>4.4999999999999998E-2</v>
      </c>
      <c r="BJ194" s="61">
        <v>2.7559999999999998</v>
      </c>
      <c r="BK194" s="66">
        <v>2.7559999999999998</v>
      </c>
      <c r="BL194" s="67">
        <v>5.6849999999999996</v>
      </c>
      <c r="BM194" s="61" t="s">
        <v>121</v>
      </c>
      <c r="BN194" s="61" t="s">
        <v>121</v>
      </c>
      <c r="BO194" s="61" t="s">
        <v>121</v>
      </c>
      <c r="BP194" s="61">
        <v>5.6849999999999996</v>
      </c>
      <c r="BQ194" s="61">
        <v>205.58</v>
      </c>
      <c r="BR194" s="61">
        <v>8.77</v>
      </c>
      <c r="BS194" s="61">
        <v>1E-3</v>
      </c>
      <c r="BT194" s="61">
        <v>1E-3</v>
      </c>
      <c r="BU194" s="61">
        <v>0.79100000000000004</v>
      </c>
      <c r="BV194" s="61">
        <v>0.56000000000000005</v>
      </c>
      <c r="BW194" s="61">
        <v>1.3520000000000001</v>
      </c>
      <c r="BX194" s="67">
        <v>215.703</v>
      </c>
      <c r="BY194" s="68">
        <v>95063</v>
      </c>
      <c r="BZ194" s="68">
        <v>110375</v>
      </c>
      <c r="CA194" s="69">
        <v>12681</v>
      </c>
      <c r="CB194" s="68">
        <v>123517</v>
      </c>
      <c r="CC194" s="68">
        <v>2694</v>
      </c>
      <c r="CD194" s="61"/>
      <c r="CE194" s="64"/>
      <c r="CF194" s="64"/>
      <c r="CG194" s="70">
        <f t="shared" si="11"/>
        <v>5187.7139999999999</v>
      </c>
      <c r="CH194" s="70">
        <f t="shared" si="12"/>
        <v>532.60199999999998</v>
      </c>
      <c r="CI194" s="70">
        <f t="shared" si="13"/>
        <v>113.148</v>
      </c>
      <c r="CJ194" s="70">
        <f t="shared" si="15"/>
        <v>3992.6460000000002</v>
      </c>
      <c r="CK194" s="70">
        <f t="shared" si="15"/>
        <v>4635.75</v>
      </c>
      <c r="CL194" s="70">
        <f t="shared" si="14"/>
        <v>113.148</v>
      </c>
      <c r="CM194" s="61"/>
      <c r="CN194" s="61"/>
      <c r="CO194" s="61"/>
      <c r="CP194" s="61"/>
      <c r="CQ194" s="61"/>
      <c r="CR194" s="61"/>
      <c r="CS194" s="61"/>
      <c r="CT194" s="61"/>
      <c r="CU194" s="61"/>
      <c r="CV194" s="61"/>
      <c r="CW194" s="61"/>
      <c r="CX194" s="61"/>
      <c r="CY194" s="61"/>
      <c r="CZ194" s="61"/>
      <c r="DA194" s="61"/>
      <c r="DB194" s="61"/>
      <c r="DC194" s="61"/>
      <c r="DD194" s="61"/>
      <c r="DE194" s="61"/>
      <c r="DF194" s="61"/>
      <c r="DG194" s="61"/>
      <c r="DH194" s="61"/>
      <c r="DI194" s="61"/>
      <c r="DJ194" s="61"/>
      <c r="DK194" s="61"/>
      <c r="DL194" s="61"/>
      <c r="DM194" s="61"/>
      <c r="DN194" s="61"/>
      <c r="DO194" s="61"/>
      <c r="DP194" s="61"/>
      <c r="DQ194" s="61"/>
      <c r="DR194" s="61"/>
      <c r="DS194" s="61"/>
      <c r="DT194" s="61"/>
      <c r="DU194" s="61"/>
      <c r="DV194" s="61"/>
      <c r="DW194" s="61"/>
      <c r="DX194" s="61"/>
      <c r="DY194" s="61"/>
      <c r="DZ194" s="61"/>
      <c r="EA194" s="61"/>
      <c r="EB194" s="61"/>
      <c r="EC194" s="61"/>
      <c r="ED194" s="61"/>
      <c r="EE194" s="61"/>
      <c r="EF194" s="61"/>
      <c r="EG194" s="61"/>
      <c r="EH194" s="61"/>
      <c r="EI194" s="61"/>
      <c r="EJ194" s="61"/>
      <c r="EK194" s="61"/>
      <c r="EL194" s="61"/>
      <c r="EM194" s="61"/>
      <c r="EN194" s="61"/>
      <c r="EO194" s="61"/>
      <c r="EP194" s="61"/>
      <c r="EQ194" s="61"/>
      <c r="ER194" s="61"/>
      <c r="ES194" s="61"/>
      <c r="ET194" s="61"/>
      <c r="EU194" s="61"/>
      <c r="EV194" s="61"/>
      <c r="EW194" s="61"/>
    </row>
    <row r="195" spans="1:153">
      <c r="A195" s="56">
        <v>32509</v>
      </c>
      <c r="B195" s="57"/>
      <c r="C195" s="7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71"/>
      <c r="P195" s="60">
        <v>231.17</v>
      </c>
      <c r="Q195" s="61">
        <v>10.648999999999999</v>
      </c>
      <c r="R195" s="61">
        <v>266.572</v>
      </c>
      <c r="S195" s="61">
        <v>509.14600000000002</v>
      </c>
      <c r="T195" s="61">
        <v>224.04</v>
      </c>
      <c r="U195" s="61">
        <v>14.134</v>
      </c>
      <c r="V195" s="61">
        <v>2.8809999999999998</v>
      </c>
      <c r="W195" s="61">
        <v>1.5209999999999999</v>
      </c>
      <c r="X195" s="61">
        <v>231.17</v>
      </c>
      <c r="Y195" s="61">
        <v>24.753</v>
      </c>
      <c r="Z195" s="61">
        <v>10.648999999999999</v>
      </c>
      <c r="AA195" s="61">
        <v>266.572</v>
      </c>
      <c r="AB195" s="60">
        <v>509.14600000000002</v>
      </c>
      <c r="AC195" s="62"/>
      <c r="AD195" s="61"/>
      <c r="AE195" s="61"/>
      <c r="AF195" s="61"/>
      <c r="AG195" s="61"/>
      <c r="AH195" s="61"/>
      <c r="AI195" s="61"/>
      <c r="AJ195" s="61"/>
      <c r="AK195" s="62"/>
      <c r="AL195" s="63"/>
      <c r="AM195" s="64"/>
      <c r="AN195" s="65" t="e">
        <v>#N/A</v>
      </c>
      <c r="AO195" s="61" t="e">
        <v>#N/A</v>
      </c>
      <c r="AP195" s="61" t="e">
        <v>#N/A</v>
      </c>
      <c r="AQ195" s="61" t="e">
        <v>#N/A</v>
      </c>
      <c r="AR195" s="61" t="e">
        <v>#N/A</v>
      </c>
      <c r="AS195" s="61" t="e">
        <v>#N/A</v>
      </c>
      <c r="AT195" s="61" t="e">
        <v>#N/A</v>
      </c>
      <c r="AU195" s="61" t="e">
        <v>#N/A</v>
      </c>
      <c r="AV195" s="61" t="e">
        <v>#N/A</v>
      </c>
      <c r="AW195" s="61" t="e">
        <v>#N/A</v>
      </c>
      <c r="AX195" s="65" t="e">
        <v>#N/A</v>
      </c>
      <c r="AY195" s="66">
        <v>0.42499999999999999</v>
      </c>
      <c r="AZ195" s="61">
        <v>2.798</v>
      </c>
      <c r="BA195" s="61">
        <v>78.137</v>
      </c>
      <c r="BB195" s="61">
        <v>81.36</v>
      </c>
      <c r="BC195" s="61">
        <v>5.3999999999999999E-2</v>
      </c>
      <c r="BD195" s="61">
        <v>0.21199999999999999</v>
      </c>
      <c r="BE195" s="61">
        <v>8.0000000000000002E-3</v>
      </c>
      <c r="BF195" s="61" t="s">
        <v>122</v>
      </c>
      <c r="BG195" s="61">
        <v>6.5030000000000001</v>
      </c>
      <c r="BH195" s="61">
        <v>1.2450000000000001</v>
      </c>
      <c r="BI195" s="61">
        <v>4.2999999999999997E-2</v>
      </c>
      <c r="BJ195" s="61">
        <v>7.7910000000000004</v>
      </c>
      <c r="BK195" s="66">
        <v>8.0649999999999995</v>
      </c>
      <c r="BL195" s="67">
        <v>5.7830000000000004</v>
      </c>
      <c r="BM195" s="61" t="s">
        <v>121</v>
      </c>
      <c r="BN195" s="61" t="s">
        <v>121</v>
      </c>
      <c r="BO195" s="61" t="s">
        <v>121</v>
      </c>
      <c r="BP195" s="61">
        <v>5.7830000000000004</v>
      </c>
      <c r="BQ195" s="61">
        <v>221.74299999999999</v>
      </c>
      <c r="BR195" s="61">
        <v>13.343999999999999</v>
      </c>
      <c r="BS195" s="61">
        <v>7.2999999999999995E-2</v>
      </c>
      <c r="BT195" s="61">
        <v>1.5209999999999999</v>
      </c>
      <c r="BU195" s="61">
        <v>8.8049999999999997</v>
      </c>
      <c r="BV195" s="61">
        <v>7.468</v>
      </c>
      <c r="BW195" s="61">
        <v>16.273</v>
      </c>
      <c r="BX195" s="67">
        <v>252.952</v>
      </c>
      <c r="BY195" s="68">
        <v>92184</v>
      </c>
      <c r="BZ195" s="68">
        <v>102405</v>
      </c>
      <c r="CA195" s="69">
        <v>10734</v>
      </c>
      <c r="CB195" s="68">
        <v>120620</v>
      </c>
      <c r="CC195" s="68">
        <v>3410</v>
      </c>
      <c r="CD195" s="61"/>
      <c r="CE195" s="64"/>
      <c r="CF195" s="64"/>
      <c r="CG195" s="70">
        <f t="shared" ref="CG195:CG258" si="16">CB195*42/1000</f>
        <v>5066.04</v>
      </c>
      <c r="CH195" s="70">
        <f t="shared" ref="CH195:CH258" si="17">CA195*42/1000</f>
        <v>450.82799999999997</v>
      </c>
      <c r="CI195" s="70">
        <f t="shared" ref="CI195:CI258" si="18">CC195*42/1000</f>
        <v>143.22</v>
      </c>
      <c r="CJ195" s="70">
        <f t="shared" si="15"/>
        <v>3871.7280000000001</v>
      </c>
      <c r="CK195" s="70">
        <f t="shared" si="15"/>
        <v>4301.01</v>
      </c>
      <c r="CL195" s="70">
        <f t="shared" si="14"/>
        <v>143.22</v>
      </c>
      <c r="CM195" s="61"/>
      <c r="CN195" s="61"/>
      <c r="CO195" s="61"/>
      <c r="CP195" s="61"/>
      <c r="CQ195" s="61"/>
      <c r="CR195" s="61"/>
      <c r="CS195" s="61"/>
      <c r="CT195" s="61"/>
      <c r="CU195" s="61"/>
      <c r="CV195" s="61"/>
      <c r="CW195" s="61"/>
      <c r="CX195" s="61"/>
      <c r="CY195" s="61"/>
      <c r="CZ195" s="61"/>
      <c r="DA195" s="61"/>
      <c r="DB195" s="61"/>
      <c r="DC195" s="61"/>
      <c r="DD195" s="61"/>
      <c r="DE195" s="61"/>
      <c r="DF195" s="61"/>
      <c r="DG195" s="61"/>
      <c r="DH195" s="61"/>
      <c r="DI195" s="61"/>
      <c r="DJ195" s="61"/>
      <c r="DK195" s="61"/>
      <c r="DL195" s="61"/>
      <c r="DM195" s="61"/>
      <c r="DN195" s="61"/>
      <c r="DO195" s="61"/>
      <c r="DP195" s="61"/>
      <c r="DQ195" s="61"/>
      <c r="DR195" s="61"/>
      <c r="DS195" s="61"/>
      <c r="DT195" s="61"/>
      <c r="DU195" s="61"/>
      <c r="DV195" s="61"/>
      <c r="DW195" s="61"/>
      <c r="DX195" s="61"/>
      <c r="DY195" s="61"/>
      <c r="DZ195" s="61"/>
      <c r="EA195" s="61"/>
      <c r="EB195" s="61"/>
      <c r="EC195" s="61"/>
      <c r="ED195" s="61"/>
      <c r="EE195" s="61"/>
      <c r="EF195" s="61"/>
      <c r="EG195" s="61"/>
      <c r="EH195" s="61"/>
      <c r="EI195" s="61"/>
      <c r="EJ195" s="61"/>
      <c r="EK195" s="61"/>
      <c r="EL195" s="61"/>
      <c r="EM195" s="61"/>
      <c r="EN195" s="61"/>
      <c r="EO195" s="61"/>
      <c r="EP195" s="61"/>
      <c r="EQ195" s="61"/>
      <c r="ER195" s="61"/>
      <c r="ES195" s="61"/>
      <c r="ET195" s="61"/>
      <c r="EU195" s="61"/>
      <c r="EV195" s="61"/>
      <c r="EW195" s="61"/>
    </row>
    <row r="196" spans="1:153">
      <c r="A196" s="56">
        <v>32540</v>
      </c>
      <c r="B196" s="57"/>
      <c r="C196" s="7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71"/>
      <c r="P196" s="60">
        <v>211.27199999999999</v>
      </c>
      <c r="Q196" s="61">
        <v>9.6180000000000003</v>
      </c>
      <c r="R196" s="61">
        <v>243.92699999999999</v>
      </c>
      <c r="S196" s="61">
        <v>461.43400000000003</v>
      </c>
      <c r="T196" s="61">
        <v>199.31</v>
      </c>
      <c r="U196" s="61">
        <v>12.760999999999999</v>
      </c>
      <c r="V196" s="61">
        <v>3.1040000000000001</v>
      </c>
      <c r="W196" s="61">
        <v>2.331</v>
      </c>
      <c r="X196" s="61">
        <v>211.27199999999999</v>
      </c>
      <c r="Y196" s="61">
        <v>23.036999999999999</v>
      </c>
      <c r="Z196" s="61">
        <v>9.6180000000000003</v>
      </c>
      <c r="AA196" s="61">
        <v>243.92699999999999</v>
      </c>
      <c r="AB196" s="60">
        <v>461.43400000000003</v>
      </c>
      <c r="AC196" s="62"/>
      <c r="AD196" s="61"/>
      <c r="AE196" s="61"/>
      <c r="AF196" s="61"/>
      <c r="AG196" s="61"/>
      <c r="AH196" s="61"/>
      <c r="AI196" s="61"/>
      <c r="AJ196" s="61"/>
      <c r="AK196" s="62"/>
      <c r="AL196" s="63"/>
      <c r="AM196" s="64"/>
      <c r="AN196" s="65" t="e">
        <v>#N/A</v>
      </c>
      <c r="AO196" s="61" t="e">
        <v>#N/A</v>
      </c>
      <c r="AP196" s="61" t="e">
        <v>#N/A</v>
      </c>
      <c r="AQ196" s="61" t="e">
        <v>#N/A</v>
      </c>
      <c r="AR196" s="61" t="e">
        <v>#N/A</v>
      </c>
      <c r="AS196" s="61" t="e">
        <v>#N/A</v>
      </c>
      <c r="AT196" s="61" t="e">
        <v>#N/A</v>
      </c>
      <c r="AU196" s="61" t="e">
        <v>#N/A</v>
      </c>
      <c r="AV196" s="61" t="e">
        <v>#N/A</v>
      </c>
      <c r="AW196" s="61" t="e">
        <v>#N/A</v>
      </c>
      <c r="AX196" s="65" t="e">
        <v>#N/A</v>
      </c>
      <c r="AY196" s="66">
        <v>0.38400000000000001</v>
      </c>
      <c r="AZ196" s="61">
        <v>3.016</v>
      </c>
      <c r="BA196" s="61">
        <v>70.575000000000003</v>
      </c>
      <c r="BB196" s="61">
        <v>73.974999999999994</v>
      </c>
      <c r="BC196" s="61">
        <v>4.8000000000000001E-2</v>
      </c>
      <c r="BD196" s="61">
        <v>0.192</v>
      </c>
      <c r="BE196" s="61">
        <v>8.9999999999999993E-3</v>
      </c>
      <c r="BF196" s="61" t="s">
        <v>122</v>
      </c>
      <c r="BG196" s="61">
        <v>5.8780000000000001</v>
      </c>
      <c r="BH196" s="61">
        <v>1.204</v>
      </c>
      <c r="BI196" s="61">
        <v>3.9E-2</v>
      </c>
      <c r="BJ196" s="61">
        <v>7.1210000000000004</v>
      </c>
      <c r="BK196" s="66">
        <v>7.3689999999999998</v>
      </c>
      <c r="BL196" s="67">
        <v>5.2229999999999999</v>
      </c>
      <c r="BM196" s="61" t="s">
        <v>121</v>
      </c>
      <c r="BN196" s="61" t="s">
        <v>121</v>
      </c>
      <c r="BO196" s="61" t="s">
        <v>121</v>
      </c>
      <c r="BP196" s="61">
        <v>5.2229999999999999</v>
      </c>
      <c r="BQ196" s="61">
        <v>197.267</v>
      </c>
      <c r="BR196" s="61">
        <v>12.048</v>
      </c>
      <c r="BS196" s="61">
        <v>7.6999999999999999E-2</v>
      </c>
      <c r="BT196" s="61">
        <v>2.331</v>
      </c>
      <c r="BU196" s="61">
        <v>8.1920000000000002</v>
      </c>
      <c r="BV196" s="61">
        <v>7.2210000000000001</v>
      </c>
      <c r="BW196" s="61">
        <v>15.413</v>
      </c>
      <c r="BX196" s="67">
        <v>227.136</v>
      </c>
      <c r="BY196" s="68">
        <v>78318</v>
      </c>
      <c r="BZ196" s="68">
        <v>95966</v>
      </c>
      <c r="CA196" s="69">
        <v>9257</v>
      </c>
      <c r="CB196" s="68">
        <v>107648</v>
      </c>
      <c r="CC196" s="68">
        <v>4581</v>
      </c>
      <c r="CD196" s="61"/>
      <c r="CE196" s="64"/>
      <c r="CF196" s="64"/>
      <c r="CG196" s="70">
        <f t="shared" si="16"/>
        <v>4521.2160000000003</v>
      </c>
      <c r="CH196" s="70">
        <f t="shared" si="17"/>
        <v>388.79399999999998</v>
      </c>
      <c r="CI196" s="70">
        <f t="shared" si="18"/>
        <v>192.40199999999999</v>
      </c>
      <c r="CJ196" s="70">
        <f t="shared" si="15"/>
        <v>3289.3560000000002</v>
      </c>
      <c r="CK196" s="70">
        <f t="shared" si="15"/>
        <v>4030.5720000000001</v>
      </c>
      <c r="CL196" s="70">
        <f t="shared" ref="CL196:CL259" si="19">CC196*42/1000</f>
        <v>192.40199999999999</v>
      </c>
      <c r="CM196" s="61"/>
      <c r="CN196" s="61"/>
      <c r="CO196" s="61"/>
      <c r="CP196" s="61"/>
      <c r="CQ196" s="61"/>
      <c r="CR196" s="61"/>
      <c r="CS196" s="61"/>
      <c r="CT196" s="61"/>
      <c r="CU196" s="61"/>
      <c r="CV196" s="61"/>
      <c r="CW196" s="61"/>
      <c r="CX196" s="61"/>
      <c r="CY196" s="61"/>
      <c r="CZ196" s="61"/>
      <c r="DA196" s="61"/>
      <c r="DB196" s="61"/>
      <c r="DC196" s="61"/>
      <c r="DD196" s="61"/>
      <c r="DE196" s="61"/>
      <c r="DF196" s="61"/>
      <c r="DG196" s="61"/>
      <c r="DH196" s="61"/>
      <c r="DI196" s="61"/>
      <c r="DJ196" s="61"/>
      <c r="DK196" s="61"/>
      <c r="DL196" s="61"/>
      <c r="DM196" s="61"/>
      <c r="DN196" s="61"/>
      <c r="DO196" s="61"/>
      <c r="DP196" s="61"/>
      <c r="DQ196" s="61"/>
      <c r="DR196" s="61"/>
      <c r="DS196" s="61"/>
      <c r="DT196" s="61"/>
      <c r="DU196" s="61"/>
      <c r="DV196" s="61"/>
      <c r="DW196" s="61"/>
      <c r="DX196" s="61"/>
      <c r="DY196" s="61"/>
      <c r="DZ196" s="61"/>
      <c r="EA196" s="61"/>
      <c r="EB196" s="61"/>
      <c r="EC196" s="61"/>
      <c r="ED196" s="61"/>
      <c r="EE196" s="61"/>
      <c r="EF196" s="61"/>
      <c r="EG196" s="61"/>
      <c r="EH196" s="61"/>
      <c r="EI196" s="61"/>
      <c r="EJ196" s="61"/>
      <c r="EK196" s="61"/>
      <c r="EL196" s="61"/>
      <c r="EM196" s="61"/>
      <c r="EN196" s="61"/>
      <c r="EO196" s="61"/>
      <c r="EP196" s="61"/>
      <c r="EQ196" s="61"/>
      <c r="ER196" s="61"/>
      <c r="ES196" s="61"/>
      <c r="ET196" s="61"/>
      <c r="EU196" s="61"/>
      <c r="EV196" s="61"/>
      <c r="EW196" s="61"/>
    </row>
    <row r="197" spans="1:153">
      <c r="A197" s="56">
        <v>32568</v>
      </c>
      <c r="B197" s="57"/>
      <c r="C197" s="7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71"/>
      <c r="P197" s="60">
        <v>236.6</v>
      </c>
      <c r="Q197" s="61">
        <v>10.648999999999999</v>
      </c>
      <c r="R197" s="61">
        <v>268.315</v>
      </c>
      <c r="S197" s="61">
        <v>532.71400000000006</v>
      </c>
      <c r="T197" s="61">
        <v>242.358</v>
      </c>
      <c r="U197" s="61">
        <v>15.000999999999999</v>
      </c>
      <c r="V197" s="61">
        <v>4.37</v>
      </c>
      <c r="W197" s="61">
        <v>2.6709999999999998</v>
      </c>
      <c r="X197" s="61">
        <v>236.6</v>
      </c>
      <c r="Y197" s="61">
        <v>21.067</v>
      </c>
      <c r="Z197" s="61">
        <v>10.648999999999999</v>
      </c>
      <c r="AA197" s="61">
        <v>268.315</v>
      </c>
      <c r="AB197" s="60">
        <v>532.71400000000006</v>
      </c>
      <c r="AC197" s="62"/>
      <c r="AD197" s="61"/>
      <c r="AE197" s="61"/>
      <c r="AF197" s="61"/>
      <c r="AG197" s="61"/>
      <c r="AH197" s="61"/>
      <c r="AI197" s="61"/>
      <c r="AJ197" s="61"/>
      <c r="AK197" s="62"/>
      <c r="AL197" s="63"/>
      <c r="AM197" s="64"/>
      <c r="AN197" s="65" t="e">
        <v>#N/A</v>
      </c>
      <c r="AO197" s="61" t="e">
        <v>#N/A</v>
      </c>
      <c r="AP197" s="61" t="e">
        <v>#N/A</v>
      </c>
      <c r="AQ197" s="61" t="e">
        <v>#N/A</v>
      </c>
      <c r="AR197" s="61" t="e">
        <v>#N/A</v>
      </c>
      <c r="AS197" s="61" t="e">
        <v>#N/A</v>
      </c>
      <c r="AT197" s="61" t="e">
        <v>#N/A</v>
      </c>
      <c r="AU197" s="61" t="e">
        <v>#N/A</v>
      </c>
      <c r="AV197" s="61" t="e">
        <v>#N/A</v>
      </c>
      <c r="AW197" s="61" t="e">
        <v>#N/A</v>
      </c>
      <c r="AX197" s="65" t="e">
        <v>#N/A</v>
      </c>
      <c r="AY197" s="66">
        <v>0.42499999999999999</v>
      </c>
      <c r="AZ197" s="61">
        <v>4.1559999999999997</v>
      </c>
      <c r="BA197" s="61">
        <v>78.137</v>
      </c>
      <c r="BB197" s="61">
        <v>82.718000000000004</v>
      </c>
      <c r="BC197" s="61">
        <v>5.8999999999999997E-2</v>
      </c>
      <c r="BD197" s="61">
        <v>0.21199999999999999</v>
      </c>
      <c r="BE197" s="61">
        <v>1.2E-2</v>
      </c>
      <c r="BF197" s="61" t="s">
        <v>122</v>
      </c>
      <c r="BG197" s="61">
        <v>6.5129999999999999</v>
      </c>
      <c r="BH197" s="61">
        <v>0.81499999999999995</v>
      </c>
      <c r="BI197" s="61">
        <v>4.2999999999999997E-2</v>
      </c>
      <c r="BJ197" s="61">
        <v>7.3710000000000004</v>
      </c>
      <c r="BK197" s="66">
        <v>7.6539999999999999</v>
      </c>
      <c r="BL197" s="67">
        <v>5.7830000000000004</v>
      </c>
      <c r="BM197" s="61" t="s">
        <v>121</v>
      </c>
      <c r="BN197" s="61" t="s">
        <v>121</v>
      </c>
      <c r="BO197" s="61" t="s">
        <v>121</v>
      </c>
      <c r="BP197" s="61">
        <v>5.7830000000000004</v>
      </c>
      <c r="BQ197" s="61">
        <v>239.874</v>
      </c>
      <c r="BR197" s="61">
        <v>14.211</v>
      </c>
      <c r="BS197" s="61">
        <v>0.19900000000000001</v>
      </c>
      <c r="BT197" s="61">
        <v>2.6709999999999998</v>
      </c>
      <c r="BU197" s="61">
        <v>9.3309999999999995</v>
      </c>
      <c r="BV197" s="61">
        <v>4.8879999999999999</v>
      </c>
      <c r="BW197" s="61">
        <v>14.218999999999999</v>
      </c>
      <c r="BX197" s="67">
        <v>271.173</v>
      </c>
      <c r="BY197" s="68">
        <v>84107</v>
      </c>
      <c r="BZ197" s="68">
        <v>106268</v>
      </c>
      <c r="CA197" s="69">
        <v>13606</v>
      </c>
      <c r="CB197" s="68">
        <v>96736</v>
      </c>
      <c r="CC197" s="68">
        <v>2357</v>
      </c>
      <c r="CD197" s="61"/>
      <c r="CE197" s="64"/>
      <c r="CF197" s="64"/>
      <c r="CG197" s="70">
        <f t="shared" si="16"/>
        <v>4062.9119999999998</v>
      </c>
      <c r="CH197" s="70">
        <f t="shared" si="17"/>
        <v>571.452</v>
      </c>
      <c r="CI197" s="70">
        <f t="shared" si="18"/>
        <v>98.994</v>
      </c>
      <c r="CJ197" s="70">
        <f t="shared" si="15"/>
        <v>3532.4940000000001</v>
      </c>
      <c r="CK197" s="70">
        <f t="shared" si="15"/>
        <v>4463.2560000000003</v>
      </c>
      <c r="CL197" s="70">
        <f t="shared" si="19"/>
        <v>98.994</v>
      </c>
      <c r="CM197" s="61"/>
      <c r="CN197" s="61"/>
      <c r="CO197" s="61"/>
      <c r="CP197" s="61"/>
      <c r="CQ197" s="61"/>
      <c r="CR197" s="61"/>
      <c r="CS197" s="61"/>
      <c r="CT197" s="61"/>
      <c r="CU197" s="61"/>
      <c r="CV197" s="61"/>
      <c r="CW197" s="61"/>
      <c r="CX197" s="61"/>
      <c r="CY197" s="61"/>
      <c r="CZ197" s="61"/>
      <c r="DA197" s="61"/>
      <c r="DB197" s="61"/>
      <c r="DC197" s="61"/>
      <c r="DD197" s="61"/>
      <c r="DE197" s="61"/>
      <c r="DF197" s="61"/>
      <c r="DG197" s="61"/>
      <c r="DH197" s="61"/>
      <c r="DI197" s="61"/>
      <c r="DJ197" s="61"/>
      <c r="DK197" s="61"/>
      <c r="DL197" s="61"/>
      <c r="DM197" s="61"/>
      <c r="DN197" s="61"/>
      <c r="DO197" s="61"/>
      <c r="DP197" s="61"/>
      <c r="DQ197" s="61"/>
      <c r="DR197" s="61"/>
      <c r="DS197" s="61"/>
      <c r="DT197" s="61"/>
      <c r="DU197" s="61"/>
      <c r="DV197" s="61"/>
      <c r="DW197" s="61"/>
      <c r="DX197" s="61"/>
      <c r="DY197" s="61"/>
      <c r="DZ197" s="61"/>
      <c r="EA197" s="61"/>
      <c r="EB197" s="61"/>
      <c r="EC197" s="61"/>
      <c r="ED197" s="61"/>
      <c r="EE197" s="61"/>
      <c r="EF197" s="61"/>
      <c r="EG197" s="61"/>
      <c r="EH197" s="61"/>
      <c r="EI197" s="61"/>
      <c r="EJ197" s="61"/>
      <c r="EK197" s="61"/>
      <c r="EL197" s="61"/>
      <c r="EM197" s="61"/>
      <c r="EN197" s="61"/>
      <c r="EO197" s="61"/>
      <c r="EP197" s="61"/>
      <c r="EQ197" s="61"/>
      <c r="ER197" s="61"/>
      <c r="ES197" s="61"/>
      <c r="ET197" s="61"/>
      <c r="EU197" s="61"/>
      <c r="EV197" s="61"/>
      <c r="EW197" s="61"/>
    </row>
    <row r="198" spans="1:153">
      <c r="A198" s="56">
        <v>32599</v>
      </c>
      <c r="B198" s="57"/>
      <c r="C198" s="7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71"/>
      <c r="P198" s="60">
        <v>218.29</v>
      </c>
      <c r="Q198" s="61">
        <v>10.305</v>
      </c>
      <c r="R198" s="61">
        <v>251.946</v>
      </c>
      <c r="S198" s="61">
        <v>530.096</v>
      </c>
      <c r="T198" s="61">
        <v>257.72800000000001</v>
      </c>
      <c r="U198" s="61">
        <v>13.095000000000001</v>
      </c>
      <c r="V198" s="61">
        <v>4.843</v>
      </c>
      <c r="W198" s="61">
        <v>2.484</v>
      </c>
      <c r="X198" s="61">
        <v>218.29</v>
      </c>
      <c r="Y198" s="61">
        <v>23.350999999999999</v>
      </c>
      <c r="Z198" s="61">
        <v>10.305</v>
      </c>
      <c r="AA198" s="61">
        <v>251.946</v>
      </c>
      <c r="AB198" s="60">
        <v>530.096</v>
      </c>
      <c r="AC198" s="62"/>
      <c r="AD198" s="61"/>
      <c r="AE198" s="61"/>
      <c r="AF198" s="61"/>
      <c r="AG198" s="61"/>
      <c r="AH198" s="61"/>
      <c r="AI198" s="61"/>
      <c r="AJ198" s="61"/>
      <c r="AK198" s="62"/>
      <c r="AL198" s="63"/>
      <c r="AM198" s="64"/>
      <c r="AN198" s="65" t="e">
        <v>#N/A</v>
      </c>
      <c r="AO198" s="61" t="e">
        <v>#N/A</v>
      </c>
      <c r="AP198" s="61" t="e">
        <v>#N/A</v>
      </c>
      <c r="AQ198" s="61" t="e">
        <v>#N/A</v>
      </c>
      <c r="AR198" s="61" t="e">
        <v>#N/A</v>
      </c>
      <c r="AS198" s="61" t="e">
        <v>#N/A</v>
      </c>
      <c r="AT198" s="61" t="e">
        <v>#N/A</v>
      </c>
      <c r="AU198" s="61" t="e">
        <v>#N/A</v>
      </c>
      <c r="AV198" s="61" t="e">
        <v>#N/A</v>
      </c>
      <c r="AW198" s="61" t="e">
        <v>#N/A</v>
      </c>
      <c r="AX198" s="65" t="e">
        <v>#N/A</v>
      </c>
      <c r="AY198" s="66">
        <v>0.41099999999999998</v>
      </c>
      <c r="AZ198" s="61">
        <v>4.5810000000000004</v>
      </c>
      <c r="BA198" s="61">
        <v>75.616</v>
      </c>
      <c r="BB198" s="61">
        <v>80.608000000000004</v>
      </c>
      <c r="BC198" s="61">
        <v>6.2E-2</v>
      </c>
      <c r="BD198" s="61">
        <v>0.20499999999999999</v>
      </c>
      <c r="BE198" s="61">
        <v>1.2999999999999999E-2</v>
      </c>
      <c r="BF198" s="61" t="s">
        <v>122</v>
      </c>
      <c r="BG198" s="61">
        <v>6.2830000000000004</v>
      </c>
      <c r="BH198" s="61">
        <v>1.1339999999999999</v>
      </c>
      <c r="BI198" s="61">
        <v>4.1000000000000002E-2</v>
      </c>
      <c r="BJ198" s="61">
        <v>7.4580000000000002</v>
      </c>
      <c r="BK198" s="66">
        <v>7.7389999999999999</v>
      </c>
      <c r="BL198" s="67">
        <v>5.5970000000000004</v>
      </c>
      <c r="BM198" s="61" t="s">
        <v>121</v>
      </c>
      <c r="BN198" s="61" t="s">
        <v>121</v>
      </c>
      <c r="BO198" s="61" t="s">
        <v>121</v>
      </c>
      <c r="BP198" s="61">
        <v>5.5970000000000004</v>
      </c>
      <c r="BQ198" s="61">
        <v>255.08600000000001</v>
      </c>
      <c r="BR198" s="61">
        <v>12.33</v>
      </c>
      <c r="BS198" s="61">
        <v>0.247</v>
      </c>
      <c r="BT198" s="61">
        <v>2.484</v>
      </c>
      <c r="BU198" s="61">
        <v>7.9950000000000001</v>
      </c>
      <c r="BV198" s="61">
        <v>6.8049999999999997</v>
      </c>
      <c r="BW198" s="61">
        <v>14.8</v>
      </c>
      <c r="BX198" s="67">
        <v>284.947</v>
      </c>
      <c r="BY198" s="68">
        <v>83679</v>
      </c>
      <c r="BZ198" s="68">
        <v>89242</v>
      </c>
      <c r="CA198" s="69">
        <v>9039</v>
      </c>
      <c r="CB198" s="68">
        <v>98541</v>
      </c>
      <c r="CC198" s="68">
        <v>1671</v>
      </c>
      <c r="CD198" s="61"/>
      <c r="CE198" s="64"/>
      <c r="CF198" s="64"/>
      <c r="CG198" s="70">
        <f t="shared" si="16"/>
        <v>4138.7219999999998</v>
      </c>
      <c r="CH198" s="70">
        <f t="shared" si="17"/>
        <v>379.63799999999998</v>
      </c>
      <c r="CI198" s="70">
        <f t="shared" si="18"/>
        <v>70.182000000000002</v>
      </c>
      <c r="CJ198" s="70">
        <f t="shared" si="15"/>
        <v>3514.518</v>
      </c>
      <c r="CK198" s="70">
        <f t="shared" si="15"/>
        <v>3748.1640000000002</v>
      </c>
      <c r="CL198" s="70">
        <f t="shared" si="19"/>
        <v>70.182000000000002</v>
      </c>
      <c r="CM198" s="61"/>
      <c r="CN198" s="61"/>
      <c r="CO198" s="61"/>
      <c r="CP198" s="61"/>
      <c r="CQ198" s="61"/>
      <c r="CR198" s="61"/>
      <c r="CS198" s="61"/>
      <c r="CT198" s="61"/>
      <c r="CU198" s="61"/>
      <c r="CV198" s="61"/>
      <c r="CW198" s="61"/>
      <c r="CX198" s="61"/>
      <c r="CY198" s="61"/>
      <c r="CZ198" s="61"/>
      <c r="DA198" s="61"/>
      <c r="DB198" s="61"/>
      <c r="DC198" s="61"/>
      <c r="DD198" s="61"/>
      <c r="DE198" s="61"/>
      <c r="DF198" s="61"/>
      <c r="DG198" s="61"/>
      <c r="DH198" s="61"/>
      <c r="DI198" s="61"/>
      <c r="DJ198" s="61"/>
      <c r="DK198" s="61"/>
      <c r="DL198" s="61"/>
      <c r="DM198" s="61"/>
      <c r="DN198" s="61"/>
      <c r="DO198" s="61"/>
      <c r="DP198" s="61"/>
      <c r="DQ198" s="61"/>
      <c r="DR198" s="61"/>
      <c r="DS198" s="61"/>
      <c r="DT198" s="61"/>
      <c r="DU198" s="61"/>
      <c r="DV198" s="61"/>
      <c r="DW198" s="61"/>
      <c r="DX198" s="61"/>
      <c r="DY198" s="61"/>
      <c r="DZ198" s="61"/>
      <c r="EA198" s="61"/>
      <c r="EB198" s="61"/>
      <c r="EC198" s="61"/>
      <c r="ED198" s="61"/>
      <c r="EE198" s="61"/>
      <c r="EF198" s="61"/>
      <c r="EG198" s="61"/>
      <c r="EH198" s="61"/>
      <c r="EI198" s="61"/>
      <c r="EJ198" s="61"/>
      <c r="EK198" s="61"/>
      <c r="EL198" s="61"/>
      <c r="EM198" s="61"/>
      <c r="EN198" s="61"/>
      <c r="EO198" s="61"/>
      <c r="EP198" s="61"/>
      <c r="EQ198" s="61"/>
      <c r="ER198" s="61"/>
      <c r="ES198" s="61"/>
      <c r="ET198" s="61"/>
      <c r="EU198" s="61"/>
      <c r="EV198" s="61"/>
      <c r="EW198" s="61"/>
    </row>
    <row r="199" spans="1:153">
      <c r="A199" s="56">
        <v>32629</v>
      </c>
      <c r="B199" s="57"/>
      <c r="C199" s="7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71"/>
      <c r="P199" s="60">
        <v>200.71100000000001</v>
      </c>
      <c r="Q199" s="61">
        <v>10.648999999999999</v>
      </c>
      <c r="R199" s="61">
        <v>241.23500000000001</v>
      </c>
      <c r="S199" s="61">
        <v>562.69899999999996</v>
      </c>
      <c r="T199" s="61">
        <v>300.24</v>
      </c>
      <c r="U199" s="61">
        <v>13.856999999999999</v>
      </c>
      <c r="V199" s="61">
        <v>5.2370000000000001</v>
      </c>
      <c r="W199" s="61">
        <v>2.1309999999999998</v>
      </c>
      <c r="X199" s="61">
        <v>200.71100000000001</v>
      </c>
      <c r="Y199" s="61">
        <v>29.876000000000001</v>
      </c>
      <c r="Z199" s="61">
        <v>10.648999999999999</v>
      </c>
      <c r="AA199" s="61">
        <v>241.23500000000001</v>
      </c>
      <c r="AB199" s="60">
        <v>562.69899999999996</v>
      </c>
      <c r="AC199" s="62"/>
      <c r="AD199" s="61"/>
      <c r="AE199" s="61"/>
      <c r="AF199" s="61"/>
      <c r="AG199" s="61"/>
      <c r="AH199" s="61"/>
      <c r="AI199" s="61"/>
      <c r="AJ199" s="61"/>
      <c r="AK199" s="62"/>
      <c r="AL199" s="63"/>
      <c r="AM199" s="64"/>
      <c r="AN199" s="65" t="e">
        <v>#N/A</v>
      </c>
      <c r="AO199" s="61" t="e">
        <v>#N/A</v>
      </c>
      <c r="AP199" s="61" t="e">
        <v>#N/A</v>
      </c>
      <c r="AQ199" s="61" t="e">
        <v>#N/A</v>
      </c>
      <c r="AR199" s="61" t="e">
        <v>#N/A</v>
      </c>
      <c r="AS199" s="61" t="e">
        <v>#N/A</v>
      </c>
      <c r="AT199" s="61" t="e">
        <v>#N/A</v>
      </c>
      <c r="AU199" s="61" t="e">
        <v>#N/A</v>
      </c>
      <c r="AV199" s="61" t="e">
        <v>#N/A</v>
      </c>
      <c r="AW199" s="61" t="e">
        <v>#N/A</v>
      </c>
      <c r="AX199" s="65" t="e">
        <v>#N/A</v>
      </c>
      <c r="AY199" s="66">
        <v>0.42499999999999999</v>
      </c>
      <c r="AZ199" s="61">
        <v>5.0570000000000004</v>
      </c>
      <c r="BA199" s="61">
        <v>78.137</v>
      </c>
      <c r="BB199" s="61">
        <v>83.617999999999995</v>
      </c>
      <c r="BC199" s="61">
        <v>7.2999999999999995E-2</v>
      </c>
      <c r="BD199" s="61">
        <v>0.21199999999999999</v>
      </c>
      <c r="BE199" s="61">
        <v>1.4E-2</v>
      </c>
      <c r="BF199" s="61" t="s">
        <v>122</v>
      </c>
      <c r="BG199" s="61">
        <v>6.4450000000000003</v>
      </c>
      <c r="BH199" s="61">
        <v>1.8420000000000001</v>
      </c>
      <c r="BI199" s="61">
        <v>4.2999999999999997E-2</v>
      </c>
      <c r="BJ199" s="61">
        <v>8.33</v>
      </c>
      <c r="BK199" s="66">
        <v>8.6289999999999996</v>
      </c>
      <c r="BL199" s="67">
        <v>5.7830000000000004</v>
      </c>
      <c r="BM199" s="61" t="s">
        <v>121</v>
      </c>
      <c r="BN199" s="61" t="s">
        <v>121</v>
      </c>
      <c r="BO199" s="61" t="s">
        <v>121</v>
      </c>
      <c r="BP199" s="61">
        <v>5.7830000000000004</v>
      </c>
      <c r="BQ199" s="61">
        <v>297.16199999999998</v>
      </c>
      <c r="BR199" s="61">
        <v>13.067</v>
      </c>
      <c r="BS199" s="61">
        <v>0.16200000000000001</v>
      </c>
      <c r="BT199" s="61">
        <v>2.1309999999999998</v>
      </c>
      <c r="BU199" s="61">
        <v>5.8529999999999998</v>
      </c>
      <c r="BV199" s="61">
        <v>11.053000000000001</v>
      </c>
      <c r="BW199" s="61">
        <v>16.905999999999999</v>
      </c>
      <c r="BX199" s="67">
        <v>329.428</v>
      </c>
      <c r="BY199" s="68">
        <v>85239</v>
      </c>
      <c r="BZ199" s="68">
        <v>91561</v>
      </c>
      <c r="CA199" s="69">
        <v>8975</v>
      </c>
      <c r="CB199" s="68">
        <v>99618</v>
      </c>
      <c r="CC199" s="68">
        <v>1576</v>
      </c>
      <c r="CD199" s="61"/>
      <c r="CE199" s="64"/>
      <c r="CF199" s="64"/>
      <c r="CG199" s="70">
        <f t="shared" si="16"/>
        <v>4183.9560000000001</v>
      </c>
      <c r="CH199" s="70">
        <f t="shared" si="17"/>
        <v>376.95</v>
      </c>
      <c r="CI199" s="70">
        <f t="shared" si="18"/>
        <v>66.191999999999993</v>
      </c>
      <c r="CJ199" s="70">
        <f t="shared" ref="CJ199:CK262" si="20">BY199*42/1000</f>
        <v>3580.038</v>
      </c>
      <c r="CK199" s="70">
        <f t="shared" si="20"/>
        <v>3845.5619999999999</v>
      </c>
      <c r="CL199" s="70">
        <f t="shared" si="19"/>
        <v>66.191999999999993</v>
      </c>
      <c r="CM199" s="61"/>
      <c r="CN199" s="61"/>
      <c r="CO199" s="61"/>
      <c r="CP199" s="61"/>
      <c r="CQ199" s="61"/>
      <c r="CR199" s="61"/>
      <c r="CS199" s="61"/>
      <c r="CT199" s="61"/>
      <c r="CU199" s="61"/>
      <c r="CV199" s="61"/>
      <c r="CW199" s="61"/>
      <c r="CX199" s="61"/>
      <c r="CY199" s="61"/>
      <c r="CZ199" s="61"/>
      <c r="DA199" s="61"/>
      <c r="DB199" s="61"/>
      <c r="DC199" s="61"/>
      <c r="DD199" s="61"/>
      <c r="DE199" s="61"/>
      <c r="DF199" s="61"/>
      <c r="DG199" s="61"/>
      <c r="DH199" s="61"/>
      <c r="DI199" s="61"/>
      <c r="DJ199" s="61"/>
      <c r="DK199" s="61"/>
      <c r="DL199" s="61"/>
      <c r="DM199" s="61"/>
      <c r="DN199" s="61"/>
      <c r="DO199" s="61"/>
      <c r="DP199" s="61"/>
      <c r="DQ199" s="61"/>
      <c r="DR199" s="61"/>
      <c r="DS199" s="61"/>
      <c r="DT199" s="61"/>
      <c r="DU199" s="61"/>
      <c r="DV199" s="61"/>
      <c r="DW199" s="61"/>
      <c r="DX199" s="61"/>
      <c r="DY199" s="61"/>
      <c r="DZ199" s="61"/>
      <c r="EA199" s="61"/>
      <c r="EB199" s="61"/>
      <c r="EC199" s="61"/>
      <c r="ED199" s="61"/>
      <c r="EE199" s="61"/>
      <c r="EF199" s="61"/>
      <c r="EG199" s="61"/>
      <c r="EH199" s="61"/>
      <c r="EI199" s="61"/>
      <c r="EJ199" s="61"/>
      <c r="EK199" s="61"/>
      <c r="EL199" s="61"/>
      <c r="EM199" s="61"/>
      <c r="EN199" s="61"/>
      <c r="EO199" s="61"/>
      <c r="EP199" s="61"/>
      <c r="EQ199" s="61"/>
      <c r="ER199" s="61"/>
      <c r="ES199" s="61"/>
      <c r="ET199" s="61"/>
      <c r="EU199" s="61"/>
      <c r="EV199" s="61"/>
      <c r="EW199" s="61"/>
    </row>
    <row r="200" spans="1:153">
      <c r="A200" s="56">
        <v>32660</v>
      </c>
      <c r="B200" s="57"/>
      <c r="C200" s="7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71"/>
      <c r="P200" s="60">
        <v>208.43899999999999</v>
      </c>
      <c r="Q200" s="61">
        <v>10.305</v>
      </c>
      <c r="R200" s="61">
        <v>248.447</v>
      </c>
      <c r="S200" s="61">
        <v>546.13499999999999</v>
      </c>
      <c r="T200" s="61">
        <v>277.04599999999999</v>
      </c>
      <c r="U200" s="61">
        <v>13.664</v>
      </c>
      <c r="V200" s="61">
        <v>5.3460000000000001</v>
      </c>
      <c r="W200" s="61">
        <v>1.631</v>
      </c>
      <c r="X200" s="61">
        <v>208.43899999999999</v>
      </c>
      <c r="Y200" s="61">
        <v>29.704000000000001</v>
      </c>
      <c r="Z200" s="61">
        <v>10.305</v>
      </c>
      <c r="AA200" s="61">
        <v>248.447</v>
      </c>
      <c r="AB200" s="60">
        <v>546.13499999999999</v>
      </c>
      <c r="AC200" s="62"/>
      <c r="AD200" s="61"/>
      <c r="AE200" s="61"/>
      <c r="AF200" s="61"/>
      <c r="AG200" s="61"/>
      <c r="AH200" s="61"/>
      <c r="AI200" s="61"/>
      <c r="AJ200" s="61"/>
      <c r="AK200" s="62"/>
      <c r="AL200" s="63"/>
      <c r="AM200" s="64"/>
      <c r="AN200" s="65" t="e">
        <v>#N/A</v>
      </c>
      <c r="AO200" s="61" t="e">
        <v>#N/A</v>
      </c>
      <c r="AP200" s="61" t="e">
        <v>#N/A</v>
      </c>
      <c r="AQ200" s="61" t="e">
        <v>#N/A</v>
      </c>
      <c r="AR200" s="61" t="e">
        <v>#N/A</v>
      </c>
      <c r="AS200" s="61" t="e">
        <v>#N/A</v>
      </c>
      <c r="AT200" s="61" t="e">
        <v>#N/A</v>
      </c>
      <c r="AU200" s="61" t="e">
        <v>#N/A</v>
      </c>
      <c r="AV200" s="61" t="e">
        <v>#N/A</v>
      </c>
      <c r="AW200" s="61" t="e">
        <v>#N/A</v>
      </c>
      <c r="AX200" s="65" t="e">
        <v>#N/A</v>
      </c>
      <c r="AY200" s="66">
        <v>0.41099999999999998</v>
      </c>
      <c r="AZ200" s="61">
        <v>5.1020000000000003</v>
      </c>
      <c r="BA200" s="61">
        <v>75.616</v>
      </c>
      <c r="BB200" s="61">
        <v>81.13</v>
      </c>
      <c r="BC200" s="61">
        <v>6.7000000000000004E-2</v>
      </c>
      <c r="BD200" s="61">
        <v>0.20499999999999999</v>
      </c>
      <c r="BE200" s="61">
        <v>1.4999999999999999E-2</v>
      </c>
      <c r="BF200" s="61" t="s">
        <v>122</v>
      </c>
      <c r="BG200" s="61">
        <v>6.2640000000000002</v>
      </c>
      <c r="BH200" s="61">
        <v>1.875</v>
      </c>
      <c r="BI200" s="61">
        <v>4.1000000000000002E-2</v>
      </c>
      <c r="BJ200" s="61">
        <v>8.1809999999999992</v>
      </c>
      <c r="BK200" s="66">
        <v>8.468</v>
      </c>
      <c r="BL200" s="67">
        <v>5.5970000000000004</v>
      </c>
      <c r="BM200" s="61" t="s">
        <v>121</v>
      </c>
      <c r="BN200" s="61" t="s">
        <v>121</v>
      </c>
      <c r="BO200" s="61" t="s">
        <v>121</v>
      </c>
      <c r="BP200" s="61">
        <v>5.5970000000000004</v>
      </c>
      <c r="BQ200" s="61">
        <v>274.20600000000002</v>
      </c>
      <c r="BR200" s="61">
        <v>12.9</v>
      </c>
      <c r="BS200" s="61">
        <v>0.22600000000000001</v>
      </c>
      <c r="BT200" s="61">
        <v>1.631</v>
      </c>
      <c r="BU200" s="61">
        <v>7.04</v>
      </c>
      <c r="BV200" s="61">
        <v>11.25</v>
      </c>
      <c r="BW200" s="61">
        <v>18.291</v>
      </c>
      <c r="BX200" s="67">
        <v>307.25400000000002</v>
      </c>
      <c r="BY200" s="68">
        <v>84265</v>
      </c>
      <c r="BZ200" s="68">
        <v>90068</v>
      </c>
      <c r="CA200" s="69">
        <v>6981</v>
      </c>
      <c r="CB200" s="68">
        <v>99613</v>
      </c>
      <c r="CC200" s="68">
        <v>1183</v>
      </c>
      <c r="CD200" s="61"/>
      <c r="CE200" s="64"/>
      <c r="CF200" s="64"/>
      <c r="CG200" s="70">
        <f t="shared" si="16"/>
        <v>4183.7460000000001</v>
      </c>
      <c r="CH200" s="70">
        <f t="shared" si="17"/>
        <v>293.202</v>
      </c>
      <c r="CI200" s="70">
        <f t="shared" si="18"/>
        <v>49.686</v>
      </c>
      <c r="CJ200" s="70">
        <f t="shared" si="20"/>
        <v>3539.13</v>
      </c>
      <c r="CK200" s="70">
        <f t="shared" si="20"/>
        <v>3782.8560000000002</v>
      </c>
      <c r="CL200" s="70">
        <f t="shared" si="19"/>
        <v>49.686</v>
      </c>
      <c r="CM200" s="61"/>
      <c r="CN200" s="61"/>
      <c r="CO200" s="61"/>
      <c r="CP200" s="61"/>
      <c r="CQ200" s="61"/>
      <c r="CR200" s="61"/>
      <c r="CS200" s="61"/>
      <c r="CT200" s="61"/>
      <c r="CU200" s="61"/>
      <c r="CV200" s="61"/>
      <c r="CW200" s="61"/>
      <c r="CX200" s="61"/>
      <c r="CY200" s="61"/>
      <c r="CZ200" s="61"/>
      <c r="DA200" s="61"/>
      <c r="DB200" s="61"/>
      <c r="DC200" s="61"/>
      <c r="DD200" s="61"/>
      <c r="DE200" s="61"/>
      <c r="DF200" s="61"/>
      <c r="DG200" s="61"/>
      <c r="DH200" s="61"/>
      <c r="DI200" s="61"/>
      <c r="DJ200" s="61"/>
      <c r="DK200" s="61"/>
      <c r="DL200" s="61"/>
      <c r="DM200" s="61"/>
      <c r="DN200" s="61"/>
      <c r="DO200" s="61"/>
      <c r="DP200" s="61"/>
      <c r="DQ200" s="61"/>
      <c r="DR200" s="61"/>
      <c r="DS200" s="61"/>
      <c r="DT200" s="61"/>
      <c r="DU200" s="61"/>
      <c r="DV200" s="61"/>
      <c r="DW200" s="61"/>
      <c r="DX200" s="61"/>
      <c r="DY200" s="61"/>
      <c r="DZ200" s="61"/>
      <c r="EA200" s="61"/>
      <c r="EB200" s="61"/>
      <c r="EC200" s="61"/>
      <c r="ED200" s="61"/>
      <c r="EE200" s="61"/>
      <c r="EF200" s="61"/>
      <c r="EG200" s="61"/>
      <c r="EH200" s="61"/>
      <c r="EI200" s="61"/>
      <c r="EJ200" s="61"/>
      <c r="EK200" s="61"/>
      <c r="EL200" s="61"/>
      <c r="EM200" s="61"/>
      <c r="EN200" s="61"/>
      <c r="EO200" s="61"/>
      <c r="EP200" s="61"/>
      <c r="EQ200" s="61"/>
      <c r="ER200" s="61"/>
      <c r="ES200" s="61"/>
      <c r="ET200" s="61"/>
      <c r="EU200" s="61"/>
      <c r="EV200" s="61"/>
      <c r="EW200" s="61"/>
    </row>
    <row r="201" spans="1:153">
      <c r="A201" s="56">
        <v>32690</v>
      </c>
      <c r="B201" s="57"/>
      <c r="C201" s="7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71"/>
      <c r="P201" s="60">
        <v>217.404</v>
      </c>
      <c r="Q201" s="61">
        <v>10.648999999999999</v>
      </c>
      <c r="R201" s="61">
        <v>261.31799999999998</v>
      </c>
      <c r="S201" s="61">
        <v>525.096</v>
      </c>
      <c r="T201" s="61">
        <v>242.678</v>
      </c>
      <c r="U201" s="61">
        <v>13.872</v>
      </c>
      <c r="V201" s="61">
        <v>5.7460000000000004</v>
      </c>
      <c r="W201" s="61">
        <v>1.482</v>
      </c>
      <c r="X201" s="61">
        <v>217.404</v>
      </c>
      <c r="Y201" s="61">
        <v>33.265000000000001</v>
      </c>
      <c r="Z201" s="61">
        <v>10.648999999999999</v>
      </c>
      <c r="AA201" s="61">
        <v>261.31799999999998</v>
      </c>
      <c r="AB201" s="60">
        <v>525.096</v>
      </c>
      <c r="AC201" s="62"/>
      <c r="AD201" s="61"/>
      <c r="AE201" s="61"/>
      <c r="AF201" s="61"/>
      <c r="AG201" s="61"/>
      <c r="AH201" s="61"/>
      <c r="AI201" s="61"/>
      <c r="AJ201" s="61"/>
      <c r="AK201" s="62"/>
      <c r="AL201" s="63"/>
      <c r="AM201" s="64"/>
      <c r="AN201" s="65" t="e">
        <v>#N/A</v>
      </c>
      <c r="AO201" s="61" t="e">
        <v>#N/A</v>
      </c>
      <c r="AP201" s="61" t="e">
        <v>#N/A</v>
      </c>
      <c r="AQ201" s="61" t="e">
        <v>#N/A</v>
      </c>
      <c r="AR201" s="61" t="e">
        <v>#N/A</v>
      </c>
      <c r="AS201" s="61" t="e">
        <v>#N/A</v>
      </c>
      <c r="AT201" s="61" t="e">
        <v>#N/A</v>
      </c>
      <c r="AU201" s="61" t="e">
        <v>#N/A</v>
      </c>
      <c r="AV201" s="61" t="e">
        <v>#N/A</v>
      </c>
      <c r="AW201" s="61" t="e">
        <v>#N/A</v>
      </c>
      <c r="AX201" s="65" t="e">
        <v>#N/A</v>
      </c>
      <c r="AY201" s="66">
        <v>0.42499999999999999</v>
      </c>
      <c r="AZ201" s="61">
        <v>5.3559999999999999</v>
      </c>
      <c r="BA201" s="61">
        <v>78.137</v>
      </c>
      <c r="BB201" s="61">
        <v>83.918000000000006</v>
      </c>
      <c r="BC201" s="61">
        <v>5.8999999999999997E-2</v>
      </c>
      <c r="BD201" s="61">
        <v>0.21199999999999999</v>
      </c>
      <c r="BE201" s="61">
        <v>1.4999999999999999E-2</v>
      </c>
      <c r="BF201" s="61" t="s">
        <v>122</v>
      </c>
      <c r="BG201" s="61">
        <v>6.4770000000000003</v>
      </c>
      <c r="BH201" s="61">
        <v>2.238</v>
      </c>
      <c r="BI201" s="61">
        <v>4.2999999999999997E-2</v>
      </c>
      <c r="BJ201" s="61">
        <v>8.7569999999999997</v>
      </c>
      <c r="BK201" s="66">
        <v>9.0429999999999993</v>
      </c>
      <c r="BL201" s="67">
        <v>5.7830000000000004</v>
      </c>
      <c r="BM201" s="61" t="s">
        <v>121</v>
      </c>
      <c r="BN201" s="61" t="s">
        <v>121</v>
      </c>
      <c r="BO201" s="61" t="s">
        <v>121</v>
      </c>
      <c r="BP201" s="61">
        <v>5.7830000000000004</v>
      </c>
      <c r="BQ201" s="61">
        <v>240.19</v>
      </c>
      <c r="BR201" s="61">
        <v>13.082000000000001</v>
      </c>
      <c r="BS201" s="61">
        <v>0.371</v>
      </c>
      <c r="BT201" s="61">
        <v>1.482</v>
      </c>
      <c r="BU201" s="61">
        <v>7.4710000000000001</v>
      </c>
      <c r="BV201" s="61">
        <v>13.425000000000001</v>
      </c>
      <c r="BW201" s="61">
        <v>20.895</v>
      </c>
      <c r="BX201" s="67">
        <v>276.02100000000002</v>
      </c>
      <c r="BY201" s="68">
        <v>88285</v>
      </c>
      <c r="BZ201" s="68">
        <v>80484</v>
      </c>
      <c r="CA201" s="69">
        <v>10366</v>
      </c>
      <c r="CB201" s="68">
        <v>115036</v>
      </c>
      <c r="CC201" s="68">
        <v>2744</v>
      </c>
      <c r="CD201" s="61"/>
      <c r="CE201" s="64"/>
      <c r="CF201" s="64"/>
      <c r="CG201" s="70">
        <f t="shared" si="16"/>
        <v>4831.5119999999997</v>
      </c>
      <c r="CH201" s="70">
        <f t="shared" si="17"/>
        <v>435.37200000000001</v>
      </c>
      <c r="CI201" s="70">
        <f t="shared" si="18"/>
        <v>115.248</v>
      </c>
      <c r="CJ201" s="70">
        <f t="shared" si="20"/>
        <v>3707.97</v>
      </c>
      <c r="CK201" s="70">
        <f t="shared" si="20"/>
        <v>3380.328</v>
      </c>
      <c r="CL201" s="70">
        <f t="shared" si="19"/>
        <v>115.248</v>
      </c>
      <c r="CM201" s="61"/>
      <c r="CN201" s="61"/>
      <c r="CO201" s="61"/>
      <c r="CP201" s="61"/>
      <c r="CQ201" s="61"/>
      <c r="CR201" s="61"/>
      <c r="CS201" s="61"/>
      <c r="CT201" s="61"/>
      <c r="CU201" s="61"/>
      <c r="CV201" s="61"/>
      <c r="CW201" s="61"/>
      <c r="CX201" s="61"/>
      <c r="CY201" s="61"/>
      <c r="CZ201" s="61"/>
      <c r="DA201" s="61"/>
      <c r="DB201" s="61"/>
      <c r="DC201" s="61"/>
      <c r="DD201" s="61"/>
      <c r="DE201" s="61"/>
      <c r="DF201" s="61"/>
      <c r="DG201" s="61"/>
      <c r="DH201" s="61"/>
      <c r="DI201" s="61"/>
      <c r="DJ201" s="61"/>
      <c r="DK201" s="61"/>
      <c r="DL201" s="61"/>
      <c r="DM201" s="61"/>
      <c r="DN201" s="61"/>
      <c r="DO201" s="61"/>
      <c r="DP201" s="61"/>
      <c r="DQ201" s="61"/>
      <c r="DR201" s="61"/>
      <c r="DS201" s="61"/>
      <c r="DT201" s="61"/>
      <c r="DU201" s="61"/>
      <c r="DV201" s="61"/>
      <c r="DW201" s="61"/>
      <c r="DX201" s="61"/>
      <c r="DY201" s="61"/>
      <c r="DZ201" s="61"/>
      <c r="EA201" s="61"/>
      <c r="EB201" s="61"/>
      <c r="EC201" s="61"/>
      <c r="ED201" s="61"/>
      <c r="EE201" s="61"/>
      <c r="EF201" s="61"/>
      <c r="EG201" s="61"/>
      <c r="EH201" s="61"/>
      <c r="EI201" s="61"/>
      <c r="EJ201" s="61"/>
      <c r="EK201" s="61"/>
      <c r="EL201" s="61"/>
      <c r="EM201" s="61"/>
      <c r="EN201" s="61"/>
      <c r="EO201" s="61"/>
      <c r="EP201" s="61"/>
      <c r="EQ201" s="61"/>
      <c r="ER201" s="61"/>
      <c r="ES201" s="61"/>
      <c r="ET201" s="61"/>
      <c r="EU201" s="61"/>
      <c r="EV201" s="61"/>
      <c r="EW201" s="61"/>
    </row>
    <row r="202" spans="1:153">
      <c r="A202" s="56">
        <v>32721</v>
      </c>
      <c r="B202" s="57"/>
      <c r="C202" s="7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71"/>
      <c r="P202" s="60">
        <v>234.08799999999999</v>
      </c>
      <c r="Q202" s="61">
        <v>10.648999999999999</v>
      </c>
      <c r="R202" s="61">
        <v>276.98500000000001</v>
      </c>
      <c r="S202" s="61">
        <v>513.15300000000002</v>
      </c>
      <c r="T202" s="61">
        <v>216.08600000000001</v>
      </c>
      <c r="U202" s="61">
        <v>13.414</v>
      </c>
      <c r="V202" s="61">
        <v>5.593</v>
      </c>
      <c r="W202" s="61">
        <v>1.075</v>
      </c>
      <c r="X202" s="61">
        <v>234.08799999999999</v>
      </c>
      <c r="Y202" s="61">
        <v>32.249000000000002</v>
      </c>
      <c r="Z202" s="61">
        <v>10.648999999999999</v>
      </c>
      <c r="AA202" s="61">
        <v>276.98500000000001</v>
      </c>
      <c r="AB202" s="60">
        <v>513.15300000000002</v>
      </c>
      <c r="AC202" s="62"/>
      <c r="AD202" s="61"/>
      <c r="AE202" s="61"/>
      <c r="AF202" s="61"/>
      <c r="AG202" s="61"/>
      <c r="AH202" s="61"/>
      <c r="AI202" s="61"/>
      <c r="AJ202" s="61"/>
      <c r="AK202" s="62"/>
      <c r="AL202" s="63"/>
      <c r="AM202" s="64"/>
      <c r="AN202" s="65" t="e">
        <v>#N/A</v>
      </c>
      <c r="AO202" s="61" t="e">
        <v>#N/A</v>
      </c>
      <c r="AP202" s="61" t="e">
        <v>#N/A</v>
      </c>
      <c r="AQ202" s="61" t="e">
        <v>#N/A</v>
      </c>
      <c r="AR202" s="61" t="e">
        <v>#N/A</v>
      </c>
      <c r="AS202" s="61" t="e">
        <v>#N/A</v>
      </c>
      <c r="AT202" s="61" t="e">
        <v>#N/A</v>
      </c>
      <c r="AU202" s="61" t="e">
        <v>#N/A</v>
      </c>
      <c r="AV202" s="61" t="e">
        <v>#N/A</v>
      </c>
      <c r="AW202" s="61" t="e">
        <v>#N/A</v>
      </c>
      <c r="AX202" s="65" t="e">
        <v>#N/A</v>
      </c>
      <c r="AY202" s="66">
        <v>0.42499999999999999</v>
      </c>
      <c r="AZ202" s="61">
        <v>5.3010000000000002</v>
      </c>
      <c r="BA202" s="61">
        <v>78.137</v>
      </c>
      <c r="BB202" s="61">
        <v>83.861999999999995</v>
      </c>
      <c r="BC202" s="61">
        <v>5.1999999999999998E-2</v>
      </c>
      <c r="BD202" s="61">
        <v>0.21199999999999999</v>
      </c>
      <c r="BE202" s="61">
        <v>1.4999999999999999E-2</v>
      </c>
      <c r="BF202" s="61" t="s">
        <v>122</v>
      </c>
      <c r="BG202" s="61">
        <v>6.508</v>
      </c>
      <c r="BH202" s="61">
        <v>2.1190000000000002</v>
      </c>
      <c r="BI202" s="61">
        <v>4.2999999999999997E-2</v>
      </c>
      <c r="BJ202" s="61">
        <v>8.67</v>
      </c>
      <c r="BK202" s="66">
        <v>8.9499999999999993</v>
      </c>
      <c r="BL202" s="67">
        <v>5.7830000000000004</v>
      </c>
      <c r="BM202" s="61" t="s">
        <v>121</v>
      </c>
      <c r="BN202" s="61" t="s">
        <v>121</v>
      </c>
      <c r="BO202" s="61" t="s">
        <v>121</v>
      </c>
      <c r="BP202" s="61">
        <v>5.7830000000000004</v>
      </c>
      <c r="BQ202" s="61">
        <v>213.87100000000001</v>
      </c>
      <c r="BR202" s="61">
        <v>12.624000000000001</v>
      </c>
      <c r="BS202" s="61">
        <v>0.27400000000000002</v>
      </c>
      <c r="BT202" s="61">
        <v>1.075</v>
      </c>
      <c r="BU202" s="61">
        <v>9.0869999999999997</v>
      </c>
      <c r="BV202" s="61">
        <v>12.714</v>
      </c>
      <c r="BW202" s="61">
        <v>21.800999999999998</v>
      </c>
      <c r="BX202" s="67">
        <v>249.64500000000001</v>
      </c>
      <c r="BY202" s="68">
        <v>90103</v>
      </c>
      <c r="BZ202" s="68">
        <v>91933</v>
      </c>
      <c r="CA202" s="69">
        <v>7888</v>
      </c>
      <c r="CB202" s="68">
        <v>116306</v>
      </c>
      <c r="CC202" s="68">
        <v>4788</v>
      </c>
      <c r="CD202" s="61"/>
      <c r="CE202" s="64"/>
      <c r="CF202" s="64"/>
      <c r="CG202" s="70">
        <f t="shared" si="16"/>
        <v>4884.8519999999999</v>
      </c>
      <c r="CH202" s="70">
        <f t="shared" si="17"/>
        <v>331.29599999999999</v>
      </c>
      <c r="CI202" s="70">
        <f t="shared" si="18"/>
        <v>201.096</v>
      </c>
      <c r="CJ202" s="70">
        <f t="shared" si="20"/>
        <v>3784.326</v>
      </c>
      <c r="CK202" s="70">
        <f t="shared" si="20"/>
        <v>3861.1860000000001</v>
      </c>
      <c r="CL202" s="70">
        <f t="shared" si="19"/>
        <v>201.096</v>
      </c>
      <c r="CM202" s="61"/>
      <c r="CN202" s="61"/>
      <c r="CO202" s="61"/>
      <c r="CP202" s="61"/>
      <c r="CQ202" s="61"/>
      <c r="CR202" s="61"/>
      <c r="CS202" s="61"/>
      <c r="CT202" s="61"/>
      <c r="CU202" s="61"/>
      <c r="CV202" s="61"/>
      <c r="CW202" s="61"/>
      <c r="CX202" s="61"/>
      <c r="CY202" s="61"/>
      <c r="CZ202" s="61"/>
      <c r="DA202" s="61"/>
      <c r="DB202" s="61"/>
      <c r="DC202" s="61"/>
      <c r="DD202" s="61"/>
      <c r="DE202" s="61"/>
      <c r="DF202" s="61"/>
      <c r="DG202" s="61"/>
      <c r="DH202" s="61"/>
      <c r="DI202" s="61"/>
      <c r="DJ202" s="61"/>
      <c r="DK202" s="61"/>
      <c r="DL202" s="61"/>
      <c r="DM202" s="61"/>
      <c r="DN202" s="61"/>
      <c r="DO202" s="61"/>
      <c r="DP202" s="61"/>
      <c r="DQ202" s="61"/>
      <c r="DR202" s="61"/>
      <c r="DS202" s="61"/>
      <c r="DT202" s="61"/>
      <c r="DU202" s="61"/>
      <c r="DV202" s="61"/>
      <c r="DW202" s="61"/>
      <c r="DX202" s="61"/>
      <c r="DY202" s="61"/>
      <c r="DZ202" s="61"/>
      <c r="EA202" s="61"/>
      <c r="EB202" s="61"/>
      <c r="EC202" s="61"/>
      <c r="ED202" s="61"/>
      <c r="EE202" s="61"/>
      <c r="EF202" s="61"/>
      <c r="EG202" s="61"/>
      <c r="EH202" s="61"/>
      <c r="EI202" s="61"/>
      <c r="EJ202" s="61"/>
      <c r="EK202" s="61"/>
      <c r="EL202" s="61"/>
      <c r="EM202" s="61"/>
      <c r="EN202" s="61"/>
      <c r="EO202" s="61"/>
      <c r="EP202" s="61"/>
      <c r="EQ202" s="61"/>
      <c r="ER202" s="61"/>
      <c r="ES202" s="61"/>
      <c r="ET202" s="61"/>
      <c r="EU202" s="61"/>
      <c r="EV202" s="61"/>
      <c r="EW202" s="61"/>
    </row>
    <row r="203" spans="1:153">
      <c r="A203" s="56">
        <v>32752</v>
      </c>
      <c r="B203" s="57"/>
      <c r="C203" s="7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71"/>
      <c r="P203" s="60">
        <v>220.47900000000001</v>
      </c>
      <c r="Q203" s="61">
        <v>10.305</v>
      </c>
      <c r="R203" s="61">
        <v>264.81099999999998</v>
      </c>
      <c r="S203" s="61">
        <v>487.94799999999998</v>
      </c>
      <c r="T203" s="61">
        <v>202.51499999999999</v>
      </c>
      <c r="U203" s="61">
        <v>12.52</v>
      </c>
      <c r="V203" s="61">
        <v>5.18</v>
      </c>
      <c r="W203" s="61">
        <v>2.923</v>
      </c>
      <c r="X203" s="61">
        <v>220.47900000000001</v>
      </c>
      <c r="Y203" s="61">
        <v>34.027000000000001</v>
      </c>
      <c r="Z203" s="61">
        <v>10.305</v>
      </c>
      <c r="AA203" s="61">
        <v>264.81099999999998</v>
      </c>
      <c r="AB203" s="60">
        <v>487.94799999999998</v>
      </c>
      <c r="AC203" s="62"/>
      <c r="AD203" s="61"/>
      <c r="AE203" s="61"/>
      <c r="AF203" s="61"/>
      <c r="AG203" s="61"/>
      <c r="AH203" s="61"/>
      <c r="AI203" s="61"/>
      <c r="AJ203" s="61"/>
      <c r="AK203" s="62"/>
      <c r="AL203" s="63"/>
      <c r="AM203" s="64"/>
      <c r="AN203" s="65" t="e">
        <v>#N/A</v>
      </c>
      <c r="AO203" s="61" t="e">
        <v>#N/A</v>
      </c>
      <c r="AP203" s="61" t="e">
        <v>#N/A</v>
      </c>
      <c r="AQ203" s="61" t="e">
        <v>#N/A</v>
      </c>
      <c r="AR203" s="61" t="e">
        <v>#N/A</v>
      </c>
      <c r="AS203" s="61" t="e">
        <v>#N/A</v>
      </c>
      <c r="AT203" s="61" t="e">
        <v>#N/A</v>
      </c>
      <c r="AU203" s="61" t="e">
        <v>#N/A</v>
      </c>
      <c r="AV203" s="61" t="e">
        <v>#N/A</v>
      </c>
      <c r="AW203" s="61" t="e">
        <v>#N/A</v>
      </c>
      <c r="AX203" s="65" t="e">
        <v>#N/A</v>
      </c>
      <c r="AY203" s="66">
        <v>0.41099999999999998</v>
      </c>
      <c r="AZ203" s="61">
        <v>4.835</v>
      </c>
      <c r="BA203" s="61">
        <v>75.616</v>
      </c>
      <c r="BB203" s="61">
        <v>80.861999999999995</v>
      </c>
      <c r="BC203" s="61">
        <v>4.9000000000000002E-2</v>
      </c>
      <c r="BD203" s="61">
        <v>0.20499999999999999</v>
      </c>
      <c r="BE203" s="61">
        <v>1.4E-2</v>
      </c>
      <c r="BF203" s="61" t="s">
        <v>122</v>
      </c>
      <c r="BG203" s="61">
        <v>6.2869999999999999</v>
      </c>
      <c r="BH203" s="61">
        <v>2.38</v>
      </c>
      <c r="BI203" s="61">
        <v>4.1000000000000002E-2</v>
      </c>
      <c r="BJ203" s="61">
        <v>8.7080000000000002</v>
      </c>
      <c r="BK203" s="66">
        <v>8.9760000000000009</v>
      </c>
      <c r="BL203" s="67">
        <v>5.5970000000000004</v>
      </c>
      <c r="BM203" s="61" t="s">
        <v>121</v>
      </c>
      <c r="BN203" s="61" t="s">
        <v>121</v>
      </c>
      <c r="BO203" s="61" t="s">
        <v>121</v>
      </c>
      <c r="BP203" s="61">
        <v>5.5970000000000004</v>
      </c>
      <c r="BQ203" s="61">
        <v>200.43899999999999</v>
      </c>
      <c r="BR203" s="61">
        <v>11.756</v>
      </c>
      <c r="BS203" s="61">
        <v>0.32800000000000001</v>
      </c>
      <c r="BT203" s="61">
        <v>2.923</v>
      </c>
      <c r="BU203" s="61">
        <v>8.2070000000000007</v>
      </c>
      <c r="BV203" s="61">
        <v>14.276</v>
      </c>
      <c r="BW203" s="61">
        <v>22.483000000000001</v>
      </c>
      <c r="BX203" s="67">
        <v>237.928</v>
      </c>
      <c r="BY203" s="68">
        <v>88551</v>
      </c>
      <c r="BZ203" s="68">
        <v>86681</v>
      </c>
      <c r="CA203" s="69">
        <v>7475</v>
      </c>
      <c r="CB203" s="68">
        <v>123226</v>
      </c>
      <c r="CC203" s="68">
        <v>2425</v>
      </c>
      <c r="CD203" s="61"/>
      <c r="CE203" s="64"/>
      <c r="CF203" s="64"/>
      <c r="CG203" s="70">
        <f t="shared" si="16"/>
        <v>5175.4920000000002</v>
      </c>
      <c r="CH203" s="70">
        <f t="shared" si="17"/>
        <v>313.95</v>
      </c>
      <c r="CI203" s="70">
        <f t="shared" si="18"/>
        <v>101.85</v>
      </c>
      <c r="CJ203" s="70">
        <f t="shared" si="20"/>
        <v>3719.1419999999998</v>
      </c>
      <c r="CK203" s="70">
        <f t="shared" si="20"/>
        <v>3640.6019999999999</v>
      </c>
      <c r="CL203" s="70">
        <f t="shared" si="19"/>
        <v>101.85</v>
      </c>
      <c r="CM203" s="61"/>
      <c r="CN203" s="61"/>
      <c r="CO203" s="61"/>
      <c r="CP203" s="61"/>
      <c r="CQ203" s="61"/>
      <c r="CR203" s="61"/>
      <c r="CS203" s="61"/>
      <c r="CT203" s="61"/>
      <c r="CU203" s="61"/>
      <c r="CV203" s="61"/>
      <c r="CW203" s="61"/>
      <c r="CX203" s="61"/>
      <c r="CY203" s="61"/>
      <c r="CZ203" s="61"/>
      <c r="DA203" s="61"/>
      <c r="DB203" s="61"/>
      <c r="DC203" s="61"/>
      <c r="DD203" s="61"/>
      <c r="DE203" s="61"/>
      <c r="DF203" s="61"/>
      <c r="DG203" s="61"/>
      <c r="DH203" s="61"/>
      <c r="DI203" s="61"/>
      <c r="DJ203" s="61"/>
      <c r="DK203" s="61"/>
      <c r="DL203" s="61"/>
      <c r="DM203" s="61"/>
      <c r="DN203" s="61"/>
      <c r="DO203" s="61"/>
      <c r="DP203" s="61"/>
      <c r="DQ203" s="61"/>
      <c r="DR203" s="61"/>
      <c r="DS203" s="61"/>
      <c r="DT203" s="61"/>
      <c r="DU203" s="61"/>
      <c r="DV203" s="61"/>
      <c r="DW203" s="61"/>
      <c r="DX203" s="61"/>
      <c r="DY203" s="61"/>
      <c r="DZ203" s="61"/>
      <c r="EA203" s="61"/>
      <c r="EB203" s="61"/>
      <c r="EC203" s="61"/>
      <c r="ED203" s="61"/>
      <c r="EE203" s="61"/>
      <c r="EF203" s="61"/>
      <c r="EG203" s="61"/>
      <c r="EH203" s="61"/>
      <c r="EI203" s="61"/>
      <c r="EJ203" s="61"/>
      <c r="EK203" s="61"/>
      <c r="EL203" s="61"/>
      <c r="EM203" s="61"/>
      <c r="EN203" s="61"/>
      <c r="EO203" s="61"/>
      <c r="EP203" s="61"/>
      <c r="EQ203" s="61"/>
      <c r="ER203" s="61"/>
      <c r="ES203" s="61"/>
      <c r="ET203" s="61"/>
      <c r="EU203" s="61"/>
      <c r="EV203" s="61"/>
      <c r="EW203" s="61"/>
    </row>
    <row r="204" spans="1:153">
      <c r="A204" s="56">
        <v>32782</v>
      </c>
      <c r="B204" s="57"/>
      <c r="C204" s="7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71"/>
      <c r="P204" s="60">
        <v>230.49199999999999</v>
      </c>
      <c r="Q204" s="61">
        <v>10.648999999999999</v>
      </c>
      <c r="R204" s="61">
        <v>276.46199999999999</v>
      </c>
      <c r="S204" s="61">
        <v>511.05799999999999</v>
      </c>
      <c r="T204" s="61">
        <v>214.892</v>
      </c>
      <c r="U204" s="61">
        <v>13.157</v>
      </c>
      <c r="V204" s="61">
        <v>4.7149999999999999</v>
      </c>
      <c r="W204" s="61">
        <v>1.8320000000000001</v>
      </c>
      <c r="X204" s="61">
        <v>230.49199999999999</v>
      </c>
      <c r="Y204" s="61">
        <v>35.320999999999998</v>
      </c>
      <c r="Z204" s="61">
        <v>10.648999999999999</v>
      </c>
      <c r="AA204" s="61">
        <v>276.46199999999999</v>
      </c>
      <c r="AB204" s="60">
        <v>511.05799999999999</v>
      </c>
      <c r="AC204" s="62"/>
      <c r="AD204" s="61"/>
      <c r="AE204" s="61"/>
      <c r="AF204" s="61"/>
      <c r="AG204" s="61"/>
      <c r="AH204" s="61"/>
      <c r="AI204" s="61"/>
      <c r="AJ204" s="61"/>
      <c r="AK204" s="62"/>
      <c r="AL204" s="63"/>
      <c r="AM204" s="64"/>
      <c r="AN204" s="65" t="e">
        <v>#N/A</v>
      </c>
      <c r="AO204" s="61" t="e">
        <v>#N/A</v>
      </c>
      <c r="AP204" s="61" t="e">
        <v>#N/A</v>
      </c>
      <c r="AQ204" s="61" t="e">
        <v>#N/A</v>
      </c>
      <c r="AR204" s="61" t="e">
        <v>#N/A</v>
      </c>
      <c r="AS204" s="61" t="e">
        <v>#N/A</v>
      </c>
      <c r="AT204" s="61" t="e">
        <v>#N/A</v>
      </c>
      <c r="AU204" s="61" t="e">
        <v>#N/A</v>
      </c>
      <c r="AV204" s="61" t="e">
        <v>#N/A</v>
      </c>
      <c r="AW204" s="61" t="e">
        <v>#N/A</v>
      </c>
      <c r="AX204" s="65" t="e">
        <v>#N/A</v>
      </c>
      <c r="AY204" s="66">
        <v>0.42499999999999999</v>
      </c>
      <c r="AZ204" s="61">
        <v>4.4059999999999997</v>
      </c>
      <c r="BA204" s="61">
        <v>78.137</v>
      </c>
      <c r="BB204" s="61">
        <v>82.968000000000004</v>
      </c>
      <c r="BC204" s="61">
        <v>5.1999999999999998E-2</v>
      </c>
      <c r="BD204" s="61">
        <v>0.21199999999999999</v>
      </c>
      <c r="BE204" s="61">
        <v>1.2999999999999999E-2</v>
      </c>
      <c r="BF204" s="61" t="s">
        <v>122</v>
      </c>
      <c r="BG204" s="61">
        <v>6.5019999999999998</v>
      </c>
      <c r="BH204" s="61">
        <v>2.4780000000000002</v>
      </c>
      <c r="BI204" s="61">
        <v>4.2999999999999997E-2</v>
      </c>
      <c r="BJ204" s="61">
        <v>9.0220000000000002</v>
      </c>
      <c r="BK204" s="66">
        <v>9.2989999999999995</v>
      </c>
      <c r="BL204" s="67">
        <v>5.7830000000000004</v>
      </c>
      <c r="BM204" s="61" t="s">
        <v>121</v>
      </c>
      <c r="BN204" s="61" t="s">
        <v>121</v>
      </c>
      <c r="BO204" s="61" t="s">
        <v>121</v>
      </c>
      <c r="BP204" s="61">
        <v>5.7830000000000004</v>
      </c>
      <c r="BQ204" s="61">
        <v>212.68899999999999</v>
      </c>
      <c r="BR204" s="61">
        <v>12.367000000000001</v>
      </c>
      <c r="BS204" s="61">
        <v>0.29399999999999998</v>
      </c>
      <c r="BT204" s="61">
        <v>1.8320000000000001</v>
      </c>
      <c r="BU204" s="61">
        <v>8.7390000000000008</v>
      </c>
      <c r="BV204" s="61">
        <v>14.864000000000001</v>
      </c>
      <c r="BW204" s="61">
        <v>23.603000000000002</v>
      </c>
      <c r="BX204" s="67">
        <v>250.785</v>
      </c>
      <c r="BY204" s="68">
        <v>90092</v>
      </c>
      <c r="BZ204" s="68">
        <v>96930</v>
      </c>
      <c r="CA204" s="69">
        <v>8088</v>
      </c>
      <c r="CB204" s="68">
        <v>121691</v>
      </c>
      <c r="CC204" s="68">
        <v>2785</v>
      </c>
      <c r="CD204" s="61"/>
      <c r="CE204" s="64"/>
      <c r="CF204" s="64"/>
      <c r="CG204" s="70">
        <f t="shared" si="16"/>
        <v>5111.0219999999999</v>
      </c>
      <c r="CH204" s="70">
        <f t="shared" si="17"/>
        <v>339.69600000000003</v>
      </c>
      <c r="CI204" s="70">
        <f t="shared" si="18"/>
        <v>116.97</v>
      </c>
      <c r="CJ204" s="70">
        <f t="shared" si="20"/>
        <v>3783.864</v>
      </c>
      <c r="CK204" s="70">
        <f t="shared" si="20"/>
        <v>4071.06</v>
      </c>
      <c r="CL204" s="70">
        <f t="shared" si="19"/>
        <v>116.97</v>
      </c>
      <c r="CM204" s="61"/>
      <c r="CN204" s="61"/>
      <c r="CO204" s="61"/>
      <c r="CP204" s="61"/>
      <c r="CQ204" s="61"/>
      <c r="CR204" s="61"/>
      <c r="CS204" s="61"/>
      <c r="CT204" s="61"/>
      <c r="CU204" s="61"/>
      <c r="CV204" s="61"/>
      <c r="CW204" s="61"/>
      <c r="CX204" s="61"/>
      <c r="CY204" s="61"/>
      <c r="CZ204" s="61"/>
      <c r="DA204" s="61"/>
      <c r="DB204" s="61"/>
      <c r="DC204" s="61"/>
      <c r="DD204" s="61"/>
      <c r="DE204" s="61"/>
      <c r="DF204" s="61"/>
      <c r="DG204" s="61"/>
      <c r="DH204" s="61"/>
      <c r="DI204" s="61"/>
      <c r="DJ204" s="61"/>
      <c r="DK204" s="61"/>
      <c r="DL204" s="61"/>
      <c r="DM204" s="61"/>
      <c r="DN204" s="61"/>
      <c r="DO204" s="61"/>
      <c r="DP204" s="61"/>
      <c r="DQ204" s="61"/>
      <c r="DR204" s="61"/>
      <c r="DS204" s="61"/>
      <c r="DT204" s="61"/>
      <c r="DU204" s="61"/>
      <c r="DV204" s="61"/>
      <c r="DW204" s="61"/>
      <c r="DX204" s="61"/>
      <c r="DY204" s="61"/>
      <c r="DZ204" s="61"/>
      <c r="EA204" s="61"/>
      <c r="EB204" s="61"/>
      <c r="EC204" s="61"/>
      <c r="ED204" s="61"/>
      <c r="EE204" s="61"/>
      <c r="EF204" s="61"/>
      <c r="EG204" s="61"/>
      <c r="EH204" s="61"/>
      <c r="EI204" s="61"/>
      <c r="EJ204" s="61"/>
      <c r="EK204" s="61"/>
      <c r="EL204" s="61"/>
      <c r="EM204" s="61"/>
      <c r="EN204" s="61"/>
      <c r="EO204" s="61"/>
      <c r="EP204" s="61"/>
      <c r="EQ204" s="61"/>
      <c r="ER204" s="61"/>
      <c r="ES204" s="61"/>
      <c r="ET204" s="61"/>
      <c r="EU204" s="61"/>
      <c r="EV204" s="61"/>
      <c r="EW204" s="61"/>
    </row>
    <row r="205" spans="1:153">
      <c r="A205" s="56">
        <v>32813</v>
      </c>
      <c r="B205" s="57"/>
      <c r="C205" s="7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71"/>
      <c r="P205" s="60">
        <v>231.613</v>
      </c>
      <c r="Q205" s="61">
        <v>10.305</v>
      </c>
      <c r="R205" s="61">
        <v>276.81900000000002</v>
      </c>
      <c r="S205" s="61">
        <v>521.32299999999998</v>
      </c>
      <c r="T205" s="61">
        <v>226.77699999999999</v>
      </c>
      <c r="U205" s="61">
        <v>12.561999999999999</v>
      </c>
      <c r="V205" s="61">
        <v>3.8839999999999999</v>
      </c>
      <c r="W205" s="61">
        <v>1.2809999999999999</v>
      </c>
      <c r="X205" s="61">
        <v>231.613</v>
      </c>
      <c r="Y205" s="61">
        <v>34.901000000000003</v>
      </c>
      <c r="Z205" s="61">
        <v>10.305</v>
      </c>
      <c r="AA205" s="61">
        <v>276.81900000000002</v>
      </c>
      <c r="AB205" s="60">
        <v>521.32299999999998</v>
      </c>
      <c r="AC205" s="62"/>
      <c r="AD205" s="61"/>
      <c r="AE205" s="61"/>
      <c r="AF205" s="61"/>
      <c r="AG205" s="61"/>
      <c r="AH205" s="61"/>
      <c r="AI205" s="61"/>
      <c r="AJ205" s="61"/>
      <c r="AK205" s="62"/>
      <c r="AL205" s="63"/>
      <c r="AM205" s="64"/>
      <c r="AN205" s="65" t="e">
        <v>#N/A</v>
      </c>
      <c r="AO205" s="61" t="e">
        <v>#N/A</v>
      </c>
      <c r="AP205" s="61" t="e">
        <v>#N/A</v>
      </c>
      <c r="AQ205" s="61" t="e">
        <v>#N/A</v>
      </c>
      <c r="AR205" s="61" t="e">
        <v>#N/A</v>
      </c>
      <c r="AS205" s="61" t="e">
        <v>#N/A</v>
      </c>
      <c r="AT205" s="61" t="e">
        <v>#N/A</v>
      </c>
      <c r="AU205" s="61" t="e">
        <v>#N/A</v>
      </c>
      <c r="AV205" s="61" t="e">
        <v>#N/A</v>
      </c>
      <c r="AW205" s="61" t="e">
        <v>#N/A</v>
      </c>
      <c r="AX205" s="65" t="e">
        <v>#N/A</v>
      </c>
      <c r="AY205" s="66">
        <v>0.41099999999999998</v>
      </c>
      <c r="AZ205" s="61">
        <v>3.6139999999999999</v>
      </c>
      <c r="BA205" s="61">
        <v>75.616</v>
      </c>
      <c r="BB205" s="61">
        <v>79.641999999999996</v>
      </c>
      <c r="BC205" s="61">
        <v>5.5E-2</v>
      </c>
      <c r="BD205" s="61">
        <v>0.20499999999999999</v>
      </c>
      <c r="BE205" s="61">
        <v>0.01</v>
      </c>
      <c r="BF205" s="61" t="s">
        <v>122</v>
      </c>
      <c r="BG205" s="61">
        <v>6.3079999999999998</v>
      </c>
      <c r="BH205" s="61">
        <v>2.4820000000000002</v>
      </c>
      <c r="BI205" s="61">
        <v>4.1000000000000002E-2</v>
      </c>
      <c r="BJ205" s="61">
        <v>8.8309999999999995</v>
      </c>
      <c r="BK205" s="66">
        <v>9.1020000000000003</v>
      </c>
      <c r="BL205" s="67">
        <v>5.5970000000000004</v>
      </c>
      <c r="BM205" s="61" t="s">
        <v>121</v>
      </c>
      <c r="BN205" s="61" t="s">
        <v>121</v>
      </c>
      <c r="BO205" s="61" t="s">
        <v>121</v>
      </c>
      <c r="BP205" s="61">
        <v>5.5970000000000004</v>
      </c>
      <c r="BQ205" s="61">
        <v>224.453</v>
      </c>
      <c r="BR205" s="61">
        <v>11.797000000000001</v>
      </c>
      <c r="BS205" s="61">
        <v>0.25700000000000001</v>
      </c>
      <c r="BT205" s="61">
        <v>1.2809999999999999</v>
      </c>
      <c r="BU205" s="61">
        <v>9.2859999999999996</v>
      </c>
      <c r="BV205" s="61">
        <v>14.888</v>
      </c>
      <c r="BW205" s="61">
        <v>24.173999999999999</v>
      </c>
      <c r="BX205" s="67">
        <v>261.96199999999999</v>
      </c>
      <c r="BY205" s="68">
        <v>91896</v>
      </c>
      <c r="BZ205" s="68">
        <v>99338</v>
      </c>
      <c r="CA205" s="69">
        <v>9207</v>
      </c>
      <c r="CB205" s="68">
        <v>119764</v>
      </c>
      <c r="CC205" s="68">
        <v>3692</v>
      </c>
      <c r="CD205" s="61"/>
      <c r="CE205" s="64"/>
      <c r="CF205" s="64"/>
      <c r="CG205" s="70">
        <f t="shared" si="16"/>
        <v>5030.0879999999997</v>
      </c>
      <c r="CH205" s="70">
        <f t="shared" si="17"/>
        <v>386.69400000000002</v>
      </c>
      <c r="CI205" s="70">
        <f t="shared" si="18"/>
        <v>155.06399999999999</v>
      </c>
      <c r="CJ205" s="70">
        <f t="shared" si="20"/>
        <v>3859.6320000000001</v>
      </c>
      <c r="CK205" s="70">
        <f t="shared" si="20"/>
        <v>4172.1959999999999</v>
      </c>
      <c r="CL205" s="70">
        <f t="shared" si="19"/>
        <v>155.06399999999999</v>
      </c>
      <c r="CM205" s="61"/>
      <c r="CN205" s="61"/>
      <c r="CO205" s="61"/>
      <c r="CP205" s="61"/>
      <c r="CQ205" s="61"/>
      <c r="CR205" s="61"/>
      <c r="CS205" s="61"/>
      <c r="CT205" s="61"/>
      <c r="CU205" s="61"/>
      <c r="CV205" s="61"/>
      <c r="CW205" s="61"/>
      <c r="CX205" s="61"/>
      <c r="CY205" s="61"/>
      <c r="CZ205" s="61"/>
      <c r="DA205" s="61"/>
      <c r="DB205" s="61"/>
      <c r="DC205" s="61"/>
      <c r="DD205" s="61"/>
      <c r="DE205" s="61"/>
      <c r="DF205" s="61"/>
      <c r="DG205" s="61"/>
      <c r="DH205" s="61"/>
      <c r="DI205" s="61"/>
      <c r="DJ205" s="61"/>
      <c r="DK205" s="61"/>
      <c r="DL205" s="61"/>
      <c r="DM205" s="61"/>
      <c r="DN205" s="61"/>
      <c r="DO205" s="61"/>
      <c r="DP205" s="61"/>
      <c r="DQ205" s="61"/>
      <c r="DR205" s="61"/>
      <c r="DS205" s="61"/>
      <c r="DT205" s="61"/>
      <c r="DU205" s="61"/>
      <c r="DV205" s="61"/>
      <c r="DW205" s="61"/>
      <c r="DX205" s="61"/>
      <c r="DY205" s="61"/>
      <c r="DZ205" s="61"/>
      <c r="EA205" s="61"/>
      <c r="EB205" s="61"/>
      <c r="EC205" s="61"/>
      <c r="ED205" s="61"/>
      <c r="EE205" s="61"/>
      <c r="EF205" s="61"/>
      <c r="EG205" s="61"/>
      <c r="EH205" s="61"/>
      <c r="EI205" s="61"/>
      <c r="EJ205" s="61"/>
      <c r="EK205" s="61"/>
      <c r="EL205" s="61"/>
      <c r="EM205" s="61"/>
      <c r="EN205" s="61"/>
      <c r="EO205" s="61"/>
      <c r="EP205" s="61"/>
      <c r="EQ205" s="61"/>
      <c r="ER205" s="61"/>
      <c r="ES205" s="61"/>
      <c r="ET205" s="61"/>
      <c r="EU205" s="61"/>
      <c r="EV205" s="61"/>
      <c r="EW205" s="61"/>
    </row>
    <row r="206" spans="1:153">
      <c r="A206" s="56">
        <v>32843</v>
      </c>
      <c r="B206" s="57"/>
      <c r="C206" s="7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71"/>
      <c r="P206" s="60">
        <v>239.066</v>
      </c>
      <c r="Q206" s="61">
        <v>10.648999999999999</v>
      </c>
      <c r="R206" s="61">
        <v>282.52</v>
      </c>
      <c r="S206" s="61">
        <v>533.84</v>
      </c>
      <c r="T206" s="61">
        <v>233.595</v>
      </c>
      <c r="U206" s="61">
        <v>13.504</v>
      </c>
      <c r="V206" s="61">
        <v>3.55</v>
      </c>
      <c r="W206" s="61">
        <v>0.67100000000000004</v>
      </c>
      <c r="X206" s="61">
        <v>239.066</v>
      </c>
      <c r="Y206" s="61">
        <v>32.805999999999997</v>
      </c>
      <c r="Z206" s="61">
        <v>10.648999999999999</v>
      </c>
      <c r="AA206" s="61">
        <v>282.52</v>
      </c>
      <c r="AB206" s="60">
        <v>533.84</v>
      </c>
      <c r="AC206" s="62"/>
      <c r="AD206" s="61"/>
      <c r="AE206" s="61"/>
      <c r="AF206" s="61"/>
      <c r="AG206" s="61"/>
      <c r="AH206" s="61"/>
      <c r="AI206" s="61"/>
      <c r="AJ206" s="61"/>
      <c r="AK206" s="62"/>
      <c r="AL206" s="63"/>
      <c r="AM206" s="64"/>
      <c r="AN206" s="65" t="e">
        <v>#N/A</v>
      </c>
      <c r="AO206" s="61" t="e">
        <v>#N/A</v>
      </c>
      <c r="AP206" s="61" t="e">
        <v>#N/A</v>
      </c>
      <c r="AQ206" s="61" t="e">
        <v>#N/A</v>
      </c>
      <c r="AR206" s="61" t="e">
        <v>#N/A</v>
      </c>
      <c r="AS206" s="61" t="e">
        <v>#N/A</v>
      </c>
      <c r="AT206" s="61" t="e">
        <v>#N/A</v>
      </c>
      <c r="AU206" s="61" t="e">
        <v>#N/A</v>
      </c>
      <c r="AV206" s="61" t="e">
        <v>#N/A</v>
      </c>
      <c r="AW206" s="61" t="e">
        <v>#N/A</v>
      </c>
      <c r="AX206" s="65" t="e">
        <v>#N/A</v>
      </c>
      <c r="AY206" s="66">
        <v>0.42499999999999999</v>
      </c>
      <c r="AZ206" s="61">
        <v>3.431</v>
      </c>
      <c r="BA206" s="61">
        <v>78.137</v>
      </c>
      <c r="BB206" s="61">
        <v>81.992000000000004</v>
      </c>
      <c r="BC206" s="61">
        <v>5.6000000000000001E-2</v>
      </c>
      <c r="BD206" s="61">
        <v>0.21199999999999999</v>
      </c>
      <c r="BE206" s="61">
        <v>0.01</v>
      </c>
      <c r="BF206" s="61" t="s">
        <v>122</v>
      </c>
      <c r="BG206" s="61">
        <v>6.5179999999999998</v>
      </c>
      <c r="BH206" s="61">
        <v>2.1840000000000002</v>
      </c>
      <c r="BI206" s="61">
        <v>4.2999999999999997E-2</v>
      </c>
      <c r="BJ206" s="61">
        <v>8.7449999999999992</v>
      </c>
      <c r="BK206" s="66">
        <v>9.0239999999999991</v>
      </c>
      <c r="BL206" s="67">
        <v>5.7830000000000004</v>
      </c>
      <c r="BM206" s="61" t="s">
        <v>121</v>
      </c>
      <c r="BN206" s="61" t="s">
        <v>121</v>
      </c>
      <c r="BO206" s="61" t="s">
        <v>121</v>
      </c>
      <c r="BP206" s="61">
        <v>5.7830000000000004</v>
      </c>
      <c r="BQ206" s="61">
        <v>231.20099999999999</v>
      </c>
      <c r="BR206" s="61">
        <v>12.714</v>
      </c>
      <c r="BS206" s="61">
        <v>0.107</v>
      </c>
      <c r="BT206" s="61">
        <v>0.67100000000000004</v>
      </c>
      <c r="BU206" s="61">
        <v>9.57</v>
      </c>
      <c r="BV206" s="61">
        <v>13.103999999999999</v>
      </c>
      <c r="BW206" s="61">
        <v>22.672999999999998</v>
      </c>
      <c r="BX206" s="67">
        <v>267.36599999999999</v>
      </c>
      <c r="BY206" s="68">
        <v>101256</v>
      </c>
      <c r="BZ206" s="68">
        <v>121348</v>
      </c>
      <c r="CA206" s="69">
        <v>10058</v>
      </c>
      <c r="CB206" s="68">
        <v>105700</v>
      </c>
      <c r="CC206" s="68">
        <v>4030</v>
      </c>
      <c r="CD206" s="61"/>
      <c r="CE206" s="64"/>
      <c r="CF206" s="64"/>
      <c r="CG206" s="70">
        <f t="shared" si="16"/>
        <v>4439.3999999999996</v>
      </c>
      <c r="CH206" s="70">
        <f t="shared" si="17"/>
        <v>422.43599999999998</v>
      </c>
      <c r="CI206" s="70">
        <f t="shared" si="18"/>
        <v>169.26</v>
      </c>
      <c r="CJ206" s="70">
        <f t="shared" si="20"/>
        <v>4252.7520000000004</v>
      </c>
      <c r="CK206" s="70">
        <f t="shared" si="20"/>
        <v>5096.616</v>
      </c>
      <c r="CL206" s="70">
        <f t="shared" si="19"/>
        <v>169.26</v>
      </c>
      <c r="CM206" s="61"/>
      <c r="CN206" s="61"/>
      <c r="CO206" s="61"/>
      <c r="CP206" s="61"/>
      <c r="CQ206" s="61"/>
      <c r="CR206" s="61"/>
      <c r="CS206" s="61"/>
      <c r="CT206" s="61"/>
      <c r="CU206" s="61"/>
      <c r="CV206" s="61"/>
      <c r="CW206" s="61"/>
      <c r="CX206" s="61"/>
      <c r="CY206" s="61"/>
      <c r="CZ206" s="61"/>
      <c r="DA206" s="61"/>
      <c r="DB206" s="61"/>
      <c r="DC206" s="61"/>
      <c r="DD206" s="61"/>
      <c r="DE206" s="61"/>
      <c r="DF206" s="61"/>
      <c r="DG206" s="61"/>
      <c r="DH206" s="61"/>
      <c r="DI206" s="61"/>
      <c r="DJ206" s="61"/>
      <c r="DK206" s="61"/>
      <c r="DL206" s="61"/>
      <c r="DM206" s="61"/>
      <c r="DN206" s="61"/>
      <c r="DO206" s="61"/>
      <c r="DP206" s="61"/>
      <c r="DQ206" s="61"/>
      <c r="DR206" s="61"/>
      <c r="DS206" s="61"/>
      <c r="DT206" s="61"/>
      <c r="DU206" s="61"/>
      <c r="DV206" s="61"/>
      <c r="DW206" s="61"/>
      <c r="DX206" s="61"/>
      <c r="DY206" s="61"/>
      <c r="DZ206" s="61"/>
      <c r="EA206" s="61"/>
      <c r="EB206" s="61"/>
      <c r="EC206" s="61"/>
      <c r="ED206" s="61"/>
      <c r="EE206" s="61"/>
      <c r="EF206" s="61"/>
      <c r="EG206" s="61"/>
      <c r="EH206" s="61"/>
      <c r="EI206" s="61"/>
      <c r="EJ206" s="61"/>
      <c r="EK206" s="61"/>
      <c r="EL206" s="61"/>
      <c r="EM206" s="61"/>
      <c r="EN206" s="61"/>
      <c r="EO206" s="61"/>
      <c r="EP206" s="61"/>
      <c r="EQ206" s="61"/>
      <c r="ER206" s="61"/>
      <c r="ES206" s="61"/>
      <c r="ET206" s="61"/>
      <c r="EU206" s="61"/>
      <c r="EV206" s="61"/>
      <c r="EW206" s="61"/>
    </row>
    <row r="207" spans="1:153">
      <c r="A207" s="56">
        <v>32874</v>
      </c>
      <c r="B207" s="57"/>
      <c r="C207" s="7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71"/>
      <c r="P207" s="60">
        <v>193.411</v>
      </c>
      <c r="Q207" s="61">
        <v>9.4160000000000004</v>
      </c>
      <c r="R207" s="61">
        <v>236.69200000000001</v>
      </c>
      <c r="S207" s="61">
        <v>511.27100000000002</v>
      </c>
      <c r="T207" s="61">
        <v>253.27699999999999</v>
      </c>
      <c r="U207" s="61">
        <v>15.036</v>
      </c>
      <c r="V207" s="61">
        <v>3.1320000000000001</v>
      </c>
      <c r="W207" s="61">
        <v>3.1339999999999999</v>
      </c>
      <c r="X207" s="61">
        <v>193.411</v>
      </c>
      <c r="Y207" s="61">
        <v>33.865000000000002</v>
      </c>
      <c r="Z207" s="61">
        <v>9.4160000000000004</v>
      </c>
      <c r="AA207" s="61">
        <v>236.69200000000001</v>
      </c>
      <c r="AB207" s="60">
        <v>511.27100000000002</v>
      </c>
      <c r="AC207" s="62"/>
      <c r="AD207" s="61"/>
      <c r="AE207" s="61"/>
      <c r="AF207" s="61"/>
      <c r="AG207" s="61"/>
      <c r="AH207" s="61"/>
      <c r="AI207" s="61"/>
      <c r="AJ207" s="61"/>
      <c r="AK207" s="62"/>
      <c r="AL207" s="63"/>
      <c r="AM207" s="64"/>
      <c r="AN207" s="65" t="e">
        <v>#N/A</v>
      </c>
      <c r="AO207" s="61" t="e">
        <v>#N/A</v>
      </c>
      <c r="AP207" s="61" t="e">
        <v>#N/A</v>
      </c>
      <c r="AQ207" s="61" t="e">
        <v>#N/A</v>
      </c>
      <c r="AR207" s="61" t="e">
        <v>#N/A</v>
      </c>
      <c r="AS207" s="61" t="e">
        <v>#N/A</v>
      </c>
      <c r="AT207" s="61" t="e">
        <v>#N/A</v>
      </c>
      <c r="AU207" s="61" t="e">
        <v>#N/A</v>
      </c>
      <c r="AV207" s="61" t="e">
        <v>#N/A</v>
      </c>
      <c r="AW207" s="61" t="e">
        <v>#N/A</v>
      </c>
      <c r="AX207" s="65" t="e">
        <v>#N/A</v>
      </c>
      <c r="AY207" s="66">
        <v>0.46700000000000003</v>
      </c>
      <c r="AZ207" s="61">
        <v>2.9649999999999999</v>
      </c>
      <c r="BA207" s="61">
        <v>49.26</v>
      </c>
      <c r="BB207" s="61">
        <v>52.692</v>
      </c>
      <c r="BC207" s="61">
        <v>0.11899999999999999</v>
      </c>
      <c r="BD207" s="61">
        <v>0.23799999999999999</v>
      </c>
      <c r="BE207" s="61">
        <v>8.9999999999999993E-3</v>
      </c>
      <c r="BF207" s="61" t="s">
        <v>122</v>
      </c>
      <c r="BG207" s="61">
        <v>5.5919999999999996</v>
      </c>
      <c r="BH207" s="61">
        <v>2.2719999999999998</v>
      </c>
      <c r="BI207" s="61">
        <v>4.2000000000000003E-2</v>
      </c>
      <c r="BJ207" s="61">
        <v>7.9059999999999997</v>
      </c>
      <c r="BK207" s="66">
        <v>8.2720000000000002</v>
      </c>
      <c r="BL207" s="67">
        <v>5.1319999999999997</v>
      </c>
      <c r="BM207" s="61" t="s">
        <v>121</v>
      </c>
      <c r="BN207" s="61" t="s">
        <v>121</v>
      </c>
      <c r="BO207" s="61" t="s">
        <v>121</v>
      </c>
      <c r="BP207" s="61">
        <v>5.1319999999999997</v>
      </c>
      <c r="BQ207" s="61">
        <v>250.58500000000001</v>
      </c>
      <c r="BR207" s="61">
        <v>14.17</v>
      </c>
      <c r="BS207" s="61">
        <v>0.156</v>
      </c>
      <c r="BT207" s="61">
        <v>3.1339999999999999</v>
      </c>
      <c r="BU207" s="61">
        <v>11.446</v>
      </c>
      <c r="BV207" s="61">
        <v>15.385</v>
      </c>
      <c r="BW207" s="61">
        <v>26.831</v>
      </c>
      <c r="BX207" s="67">
        <v>294.87599999999998</v>
      </c>
      <c r="BY207" s="68">
        <v>97027</v>
      </c>
      <c r="BZ207" s="68">
        <v>98734</v>
      </c>
      <c r="CA207" s="69">
        <v>15658</v>
      </c>
      <c r="CB207" s="68">
        <v>117729</v>
      </c>
      <c r="CC207" s="68">
        <v>1922</v>
      </c>
      <c r="CD207" s="61"/>
      <c r="CE207" s="64"/>
      <c r="CF207" s="64"/>
      <c r="CG207" s="70">
        <f t="shared" si="16"/>
        <v>4944.6180000000004</v>
      </c>
      <c r="CH207" s="70">
        <f t="shared" si="17"/>
        <v>657.63599999999997</v>
      </c>
      <c r="CI207" s="70">
        <f t="shared" si="18"/>
        <v>80.724000000000004</v>
      </c>
      <c r="CJ207" s="70">
        <f t="shared" si="20"/>
        <v>4075.134</v>
      </c>
      <c r="CK207" s="70">
        <f t="shared" si="20"/>
        <v>4146.8280000000004</v>
      </c>
      <c r="CL207" s="70">
        <f t="shared" si="19"/>
        <v>80.724000000000004</v>
      </c>
      <c r="CM207" s="61"/>
      <c r="CN207" s="61"/>
      <c r="CO207" s="61"/>
      <c r="CP207" s="61"/>
      <c r="CQ207" s="61"/>
      <c r="CR207" s="61"/>
      <c r="CS207" s="61"/>
      <c r="CT207" s="61"/>
      <c r="CU207" s="61"/>
      <c r="CV207" s="61"/>
      <c r="CW207" s="61"/>
      <c r="CX207" s="61"/>
      <c r="CY207" s="61"/>
      <c r="CZ207" s="61"/>
      <c r="DA207" s="61"/>
      <c r="DB207" s="61"/>
      <c r="DC207" s="61"/>
      <c r="DD207" s="61"/>
      <c r="DE207" s="61"/>
      <c r="DF207" s="61"/>
      <c r="DG207" s="61"/>
      <c r="DH207" s="61"/>
      <c r="DI207" s="61"/>
      <c r="DJ207" s="61"/>
      <c r="DK207" s="61"/>
      <c r="DL207" s="61"/>
      <c r="DM207" s="61"/>
      <c r="DN207" s="61"/>
      <c r="DO207" s="61"/>
      <c r="DP207" s="61"/>
      <c r="DQ207" s="61"/>
      <c r="DR207" s="61"/>
      <c r="DS207" s="61"/>
      <c r="DT207" s="61"/>
      <c r="DU207" s="61"/>
      <c r="DV207" s="61"/>
      <c r="DW207" s="61"/>
      <c r="DX207" s="61"/>
      <c r="DY207" s="61"/>
      <c r="DZ207" s="61"/>
      <c r="EA207" s="61"/>
      <c r="EB207" s="61"/>
      <c r="EC207" s="61"/>
      <c r="ED207" s="61"/>
      <c r="EE207" s="61"/>
      <c r="EF207" s="61"/>
      <c r="EG207" s="61"/>
      <c r="EH207" s="61"/>
      <c r="EI207" s="61"/>
      <c r="EJ207" s="61"/>
      <c r="EK207" s="61"/>
      <c r="EL207" s="61"/>
      <c r="EM207" s="61"/>
      <c r="EN207" s="61"/>
      <c r="EO207" s="61"/>
      <c r="EP207" s="61"/>
      <c r="EQ207" s="61"/>
      <c r="ER207" s="61"/>
      <c r="ES207" s="61"/>
      <c r="ET207" s="61"/>
      <c r="EU207" s="61"/>
      <c r="EV207" s="61"/>
      <c r="EW207" s="61"/>
    </row>
    <row r="208" spans="1:153">
      <c r="A208" s="56">
        <v>32905</v>
      </c>
      <c r="B208" s="57"/>
      <c r="C208" s="7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71"/>
      <c r="P208" s="60">
        <v>186.72200000000001</v>
      </c>
      <c r="Q208" s="61">
        <v>8.5050000000000008</v>
      </c>
      <c r="R208" s="61">
        <v>226.26599999999999</v>
      </c>
      <c r="S208" s="61">
        <v>508.35899999999998</v>
      </c>
      <c r="T208" s="61">
        <v>262.55500000000001</v>
      </c>
      <c r="U208" s="61">
        <v>13.739000000000001</v>
      </c>
      <c r="V208" s="61">
        <v>3.395</v>
      </c>
      <c r="W208" s="61">
        <v>2.4049999999999998</v>
      </c>
      <c r="X208" s="61">
        <v>186.72200000000001</v>
      </c>
      <c r="Y208" s="61">
        <v>31.039000000000001</v>
      </c>
      <c r="Z208" s="61">
        <v>8.5050000000000008</v>
      </c>
      <c r="AA208" s="61">
        <v>226.26599999999999</v>
      </c>
      <c r="AB208" s="60">
        <v>508.35899999999998</v>
      </c>
      <c r="AC208" s="62"/>
      <c r="AD208" s="61"/>
      <c r="AE208" s="61"/>
      <c r="AF208" s="61"/>
      <c r="AG208" s="61"/>
      <c r="AH208" s="61"/>
      <c r="AI208" s="61"/>
      <c r="AJ208" s="61"/>
      <c r="AK208" s="62"/>
      <c r="AL208" s="63"/>
      <c r="AM208" s="64"/>
      <c r="AN208" s="65" t="e">
        <v>#N/A</v>
      </c>
      <c r="AO208" s="61" t="e">
        <v>#N/A</v>
      </c>
      <c r="AP208" s="61" t="e">
        <v>#N/A</v>
      </c>
      <c r="AQ208" s="61" t="e">
        <v>#N/A</v>
      </c>
      <c r="AR208" s="61" t="e">
        <v>#N/A</v>
      </c>
      <c r="AS208" s="61" t="e">
        <v>#N/A</v>
      </c>
      <c r="AT208" s="61" t="e">
        <v>#N/A</v>
      </c>
      <c r="AU208" s="61" t="e">
        <v>#N/A</v>
      </c>
      <c r="AV208" s="61" t="e">
        <v>#N/A</v>
      </c>
      <c r="AW208" s="61" t="e">
        <v>#N/A</v>
      </c>
      <c r="AX208" s="65" t="e">
        <v>#N/A</v>
      </c>
      <c r="AY208" s="66">
        <v>0.42199999999999999</v>
      </c>
      <c r="AZ208" s="61">
        <v>3.1960000000000002</v>
      </c>
      <c r="BA208" s="61">
        <v>44.493000000000002</v>
      </c>
      <c r="BB208" s="61">
        <v>48.110999999999997</v>
      </c>
      <c r="BC208" s="61">
        <v>0.123</v>
      </c>
      <c r="BD208" s="61">
        <v>0.215</v>
      </c>
      <c r="BE208" s="61">
        <v>0.01</v>
      </c>
      <c r="BF208" s="61" t="s">
        <v>122</v>
      </c>
      <c r="BG208" s="61">
        <v>5.0709999999999997</v>
      </c>
      <c r="BH208" s="61">
        <v>2.101</v>
      </c>
      <c r="BI208" s="61">
        <v>3.7999999999999999E-2</v>
      </c>
      <c r="BJ208" s="61">
        <v>7.2110000000000003</v>
      </c>
      <c r="BK208" s="66">
        <v>7.5590000000000002</v>
      </c>
      <c r="BL208" s="67">
        <v>4.6349999999999998</v>
      </c>
      <c r="BM208" s="61" t="s">
        <v>121</v>
      </c>
      <c r="BN208" s="61" t="s">
        <v>121</v>
      </c>
      <c r="BO208" s="61" t="s">
        <v>121</v>
      </c>
      <c r="BP208" s="61">
        <v>4.6349999999999998</v>
      </c>
      <c r="BQ208" s="61">
        <v>259.76400000000001</v>
      </c>
      <c r="BR208" s="61">
        <v>12.956</v>
      </c>
      <c r="BS208" s="61">
        <v>0.187</v>
      </c>
      <c r="BT208" s="61">
        <v>2.4049999999999998</v>
      </c>
      <c r="BU208" s="61">
        <v>11.57</v>
      </c>
      <c r="BV208" s="61">
        <v>14.226000000000001</v>
      </c>
      <c r="BW208" s="61">
        <v>25.795999999999999</v>
      </c>
      <c r="BX208" s="67">
        <v>301.10899999999998</v>
      </c>
      <c r="BY208" s="68">
        <v>77078</v>
      </c>
      <c r="BZ208" s="68">
        <v>91274</v>
      </c>
      <c r="CA208" s="69">
        <v>10000</v>
      </c>
      <c r="CB208" s="68">
        <v>111718</v>
      </c>
      <c r="CC208" s="68">
        <v>1815</v>
      </c>
      <c r="CD208" s="61"/>
      <c r="CE208" s="64"/>
      <c r="CF208" s="64"/>
      <c r="CG208" s="70">
        <f t="shared" si="16"/>
        <v>4692.1559999999999</v>
      </c>
      <c r="CH208" s="70">
        <f t="shared" si="17"/>
        <v>420</v>
      </c>
      <c r="CI208" s="70">
        <f t="shared" si="18"/>
        <v>76.23</v>
      </c>
      <c r="CJ208" s="70">
        <f t="shared" si="20"/>
        <v>3237.2759999999998</v>
      </c>
      <c r="CK208" s="70">
        <f t="shared" si="20"/>
        <v>3833.5079999999998</v>
      </c>
      <c r="CL208" s="70">
        <f t="shared" si="19"/>
        <v>76.23</v>
      </c>
      <c r="CM208" s="61"/>
      <c r="CN208" s="61"/>
      <c r="CO208" s="61"/>
      <c r="CP208" s="61"/>
      <c r="CQ208" s="61"/>
      <c r="CR208" s="61"/>
      <c r="CS208" s="61"/>
      <c r="CT208" s="61"/>
      <c r="CU208" s="61"/>
      <c r="CV208" s="61"/>
      <c r="CW208" s="61"/>
      <c r="CX208" s="61"/>
      <c r="CY208" s="61"/>
      <c r="CZ208" s="61"/>
      <c r="DA208" s="61"/>
      <c r="DB208" s="61"/>
      <c r="DC208" s="61"/>
      <c r="DD208" s="61"/>
      <c r="DE208" s="61"/>
      <c r="DF208" s="61"/>
      <c r="DG208" s="61"/>
      <c r="DH208" s="61"/>
      <c r="DI208" s="61"/>
      <c r="DJ208" s="61"/>
      <c r="DK208" s="61"/>
      <c r="DL208" s="61"/>
      <c r="DM208" s="61"/>
      <c r="DN208" s="61"/>
      <c r="DO208" s="61"/>
      <c r="DP208" s="61"/>
      <c r="DQ208" s="61"/>
      <c r="DR208" s="61"/>
      <c r="DS208" s="61"/>
      <c r="DT208" s="61"/>
      <c r="DU208" s="61"/>
      <c r="DV208" s="61"/>
      <c r="DW208" s="61"/>
      <c r="DX208" s="61"/>
      <c r="DY208" s="61"/>
      <c r="DZ208" s="61"/>
      <c r="EA208" s="61"/>
      <c r="EB208" s="61"/>
      <c r="EC208" s="61"/>
      <c r="ED208" s="61"/>
      <c r="EE208" s="61"/>
      <c r="EF208" s="61"/>
      <c r="EG208" s="61"/>
      <c r="EH208" s="61"/>
      <c r="EI208" s="61"/>
      <c r="EJ208" s="61"/>
      <c r="EK208" s="61"/>
      <c r="EL208" s="61"/>
      <c r="EM208" s="61"/>
      <c r="EN208" s="61"/>
      <c r="EO208" s="61"/>
      <c r="EP208" s="61"/>
      <c r="EQ208" s="61"/>
      <c r="ER208" s="61"/>
      <c r="ES208" s="61"/>
      <c r="ET208" s="61"/>
      <c r="EU208" s="61"/>
      <c r="EV208" s="61"/>
      <c r="EW208" s="61"/>
    </row>
    <row r="209" spans="1:153">
      <c r="A209" s="56">
        <v>32933</v>
      </c>
      <c r="B209" s="57"/>
      <c r="C209" s="7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71"/>
      <c r="P209" s="60">
        <v>199.565</v>
      </c>
      <c r="Q209" s="61">
        <v>9.4160000000000004</v>
      </c>
      <c r="R209" s="61">
        <v>244.24799999999999</v>
      </c>
      <c r="S209" s="61">
        <v>567.93299999999999</v>
      </c>
      <c r="T209" s="61">
        <v>301.33300000000003</v>
      </c>
      <c r="U209" s="61">
        <v>15.116</v>
      </c>
      <c r="V209" s="61">
        <v>4.6849999999999996</v>
      </c>
      <c r="W209" s="61">
        <v>2.5510000000000002</v>
      </c>
      <c r="X209" s="61">
        <v>199.565</v>
      </c>
      <c r="Y209" s="61">
        <v>35.267000000000003</v>
      </c>
      <c r="Z209" s="61">
        <v>9.4160000000000004</v>
      </c>
      <c r="AA209" s="61">
        <v>244.24799999999999</v>
      </c>
      <c r="AB209" s="60">
        <v>567.93299999999999</v>
      </c>
      <c r="AC209" s="62"/>
      <c r="AD209" s="61"/>
      <c r="AE209" s="61"/>
      <c r="AF209" s="61"/>
      <c r="AG209" s="61"/>
      <c r="AH209" s="61"/>
      <c r="AI209" s="61"/>
      <c r="AJ209" s="61"/>
      <c r="AK209" s="62"/>
      <c r="AL209" s="63"/>
      <c r="AM209" s="64"/>
      <c r="AN209" s="65" t="e">
        <v>#N/A</v>
      </c>
      <c r="AO209" s="61" t="e">
        <v>#N/A</v>
      </c>
      <c r="AP209" s="61" t="e">
        <v>#N/A</v>
      </c>
      <c r="AQ209" s="61" t="e">
        <v>#N/A</v>
      </c>
      <c r="AR209" s="61" t="e">
        <v>#N/A</v>
      </c>
      <c r="AS209" s="61" t="e">
        <v>#N/A</v>
      </c>
      <c r="AT209" s="61" t="e">
        <v>#N/A</v>
      </c>
      <c r="AU209" s="61" t="e">
        <v>#N/A</v>
      </c>
      <c r="AV209" s="61" t="e">
        <v>#N/A</v>
      </c>
      <c r="AW209" s="61" t="e">
        <v>#N/A</v>
      </c>
      <c r="AX209" s="65" t="e">
        <v>#N/A</v>
      </c>
      <c r="AY209" s="66">
        <v>0.46700000000000003</v>
      </c>
      <c r="AZ209" s="61">
        <v>4.4029999999999996</v>
      </c>
      <c r="BA209" s="61">
        <v>49.26</v>
      </c>
      <c r="BB209" s="61">
        <v>54.131</v>
      </c>
      <c r="BC209" s="61">
        <v>0.14199999999999999</v>
      </c>
      <c r="BD209" s="61">
        <v>0.23799999999999999</v>
      </c>
      <c r="BE209" s="61">
        <v>1.4E-2</v>
      </c>
      <c r="BF209" s="61" t="s">
        <v>122</v>
      </c>
      <c r="BG209" s="61">
        <v>5.6029999999999998</v>
      </c>
      <c r="BH209" s="61">
        <v>2.4239999999999999</v>
      </c>
      <c r="BI209" s="61">
        <v>4.2000000000000003E-2</v>
      </c>
      <c r="BJ209" s="61">
        <v>8.0690000000000008</v>
      </c>
      <c r="BK209" s="66">
        <v>8.4610000000000003</v>
      </c>
      <c r="BL209" s="67">
        <v>5.1319999999999997</v>
      </c>
      <c r="BM209" s="61" t="s">
        <v>121</v>
      </c>
      <c r="BN209" s="61" t="s">
        <v>121</v>
      </c>
      <c r="BO209" s="61" t="s">
        <v>121</v>
      </c>
      <c r="BP209" s="61">
        <v>5.1319999999999997</v>
      </c>
      <c r="BQ209" s="61">
        <v>298.13099999999997</v>
      </c>
      <c r="BR209" s="61">
        <v>14.25</v>
      </c>
      <c r="BS209" s="61">
        <v>0.26500000000000001</v>
      </c>
      <c r="BT209" s="61">
        <v>2.5510000000000002</v>
      </c>
      <c r="BU209" s="61">
        <v>12.076000000000001</v>
      </c>
      <c r="BV209" s="61">
        <v>16.411999999999999</v>
      </c>
      <c r="BW209" s="61">
        <v>28.488</v>
      </c>
      <c r="BX209" s="67">
        <v>343.68400000000003</v>
      </c>
      <c r="BY209" s="68">
        <v>82360</v>
      </c>
      <c r="BZ209" s="68">
        <v>101576</v>
      </c>
      <c r="CA209" s="69">
        <v>8698</v>
      </c>
      <c r="CB209" s="68">
        <v>98866</v>
      </c>
      <c r="CC209" s="68">
        <v>2334</v>
      </c>
      <c r="CD209" s="61"/>
      <c r="CE209" s="64"/>
      <c r="CF209" s="64"/>
      <c r="CG209" s="70">
        <f t="shared" si="16"/>
        <v>4152.3720000000003</v>
      </c>
      <c r="CH209" s="70">
        <f t="shared" si="17"/>
        <v>365.31599999999997</v>
      </c>
      <c r="CI209" s="70">
        <f t="shared" si="18"/>
        <v>98.028000000000006</v>
      </c>
      <c r="CJ209" s="70">
        <f t="shared" si="20"/>
        <v>3459.12</v>
      </c>
      <c r="CK209" s="70">
        <f t="shared" si="20"/>
        <v>4266.192</v>
      </c>
      <c r="CL209" s="70">
        <f t="shared" si="19"/>
        <v>98.028000000000006</v>
      </c>
      <c r="CM209" s="61"/>
      <c r="CN209" s="61"/>
      <c r="CO209" s="61"/>
      <c r="CP209" s="61"/>
      <c r="CQ209" s="61"/>
      <c r="CR209" s="61"/>
      <c r="CS209" s="61"/>
      <c r="CT209" s="61"/>
      <c r="CU209" s="61"/>
      <c r="CV209" s="61"/>
      <c r="CW209" s="61"/>
      <c r="CX209" s="61"/>
      <c r="CY209" s="61"/>
      <c r="CZ209" s="61"/>
      <c r="DA209" s="61"/>
      <c r="DB209" s="61"/>
      <c r="DC209" s="61"/>
      <c r="DD209" s="61"/>
      <c r="DE209" s="61"/>
      <c r="DF209" s="61"/>
      <c r="DG209" s="61"/>
      <c r="DH209" s="61"/>
      <c r="DI209" s="61"/>
      <c r="DJ209" s="61"/>
      <c r="DK209" s="61"/>
      <c r="DL209" s="61"/>
      <c r="DM209" s="61"/>
      <c r="DN209" s="61"/>
      <c r="DO209" s="61"/>
      <c r="DP209" s="61"/>
      <c r="DQ209" s="61"/>
      <c r="DR209" s="61"/>
      <c r="DS209" s="61"/>
      <c r="DT209" s="61"/>
      <c r="DU209" s="61"/>
      <c r="DV209" s="61"/>
      <c r="DW209" s="61"/>
      <c r="DX209" s="61"/>
      <c r="DY209" s="61"/>
      <c r="DZ209" s="61"/>
      <c r="EA209" s="61"/>
      <c r="EB209" s="61"/>
      <c r="EC209" s="61"/>
      <c r="ED209" s="61"/>
      <c r="EE209" s="61"/>
      <c r="EF209" s="61"/>
      <c r="EG209" s="61"/>
      <c r="EH209" s="61"/>
      <c r="EI209" s="61"/>
      <c r="EJ209" s="61"/>
      <c r="EK209" s="61"/>
      <c r="EL209" s="61"/>
      <c r="EM209" s="61"/>
      <c r="EN209" s="61"/>
      <c r="EO209" s="61"/>
      <c r="EP209" s="61"/>
      <c r="EQ209" s="61"/>
      <c r="ER209" s="61"/>
      <c r="ES209" s="61"/>
      <c r="ET209" s="61"/>
      <c r="EU209" s="61"/>
      <c r="EV209" s="61"/>
      <c r="EW209" s="61"/>
    </row>
    <row r="210" spans="1:153">
      <c r="A210" s="56">
        <v>32964</v>
      </c>
      <c r="B210" s="57"/>
      <c r="C210" s="7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71"/>
      <c r="P210" s="60">
        <v>190.15899999999999</v>
      </c>
      <c r="Q210" s="61">
        <v>9.1120000000000001</v>
      </c>
      <c r="R210" s="61">
        <v>232.64</v>
      </c>
      <c r="S210" s="61">
        <v>530.428</v>
      </c>
      <c r="T210" s="61">
        <v>276.17500000000001</v>
      </c>
      <c r="U210" s="61">
        <v>12.08</v>
      </c>
      <c r="V210" s="61">
        <v>5.16</v>
      </c>
      <c r="W210" s="61">
        <v>4.3730000000000002</v>
      </c>
      <c r="X210" s="61">
        <v>190.15899999999999</v>
      </c>
      <c r="Y210" s="61">
        <v>33.369</v>
      </c>
      <c r="Z210" s="61">
        <v>9.1120000000000001</v>
      </c>
      <c r="AA210" s="61">
        <v>232.64</v>
      </c>
      <c r="AB210" s="60">
        <v>530.428</v>
      </c>
      <c r="AC210" s="62"/>
      <c r="AD210" s="61"/>
      <c r="AE210" s="61"/>
      <c r="AF210" s="61"/>
      <c r="AG210" s="61"/>
      <c r="AH210" s="61"/>
      <c r="AI210" s="61"/>
      <c r="AJ210" s="61"/>
      <c r="AK210" s="62"/>
      <c r="AL210" s="63"/>
      <c r="AM210" s="64"/>
      <c r="AN210" s="65" t="e">
        <v>#N/A</v>
      </c>
      <c r="AO210" s="61" t="e">
        <v>#N/A</v>
      </c>
      <c r="AP210" s="61" t="e">
        <v>#N/A</v>
      </c>
      <c r="AQ210" s="61" t="e">
        <v>#N/A</v>
      </c>
      <c r="AR210" s="61" t="e">
        <v>#N/A</v>
      </c>
      <c r="AS210" s="61" t="e">
        <v>#N/A</v>
      </c>
      <c r="AT210" s="61" t="e">
        <v>#N/A</v>
      </c>
      <c r="AU210" s="61" t="e">
        <v>#N/A</v>
      </c>
      <c r="AV210" s="61" t="e">
        <v>#N/A</v>
      </c>
      <c r="AW210" s="61" t="e">
        <v>#N/A</v>
      </c>
      <c r="AX210" s="65" t="e">
        <v>#N/A</v>
      </c>
      <c r="AY210" s="66">
        <v>0.45200000000000001</v>
      </c>
      <c r="AZ210" s="61">
        <v>4.8529999999999998</v>
      </c>
      <c r="BA210" s="61">
        <v>47.670999999999999</v>
      </c>
      <c r="BB210" s="61">
        <v>52.975999999999999</v>
      </c>
      <c r="BC210" s="61">
        <v>0.13</v>
      </c>
      <c r="BD210" s="61">
        <v>0.23</v>
      </c>
      <c r="BE210" s="61">
        <v>1.4999999999999999E-2</v>
      </c>
      <c r="BF210" s="61" t="s">
        <v>122</v>
      </c>
      <c r="BG210" s="61">
        <v>5.4169999999999998</v>
      </c>
      <c r="BH210" s="61">
        <v>2.2629999999999999</v>
      </c>
      <c r="BI210" s="61">
        <v>4.1000000000000002E-2</v>
      </c>
      <c r="BJ210" s="61">
        <v>7.7210000000000001</v>
      </c>
      <c r="BK210" s="66">
        <v>8.0960000000000001</v>
      </c>
      <c r="BL210" s="67">
        <v>4.9660000000000002</v>
      </c>
      <c r="BM210" s="61" t="s">
        <v>121</v>
      </c>
      <c r="BN210" s="61" t="s">
        <v>121</v>
      </c>
      <c r="BO210" s="61" t="s">
        <v>121</v>
      </c>
      <c r="BP210" s="61">
        <v>4.9660000000000002</v>
      </c>
      <c r="BQ210" s="61">
        <v>273.24</v>
      </c>
      <c r="BR210" s="61">
        <v>11.242000000000001</v>
      </c>
      <c r="BS210" s="61">
        <v>0.28899999999999998</v>
      </c>
      <c r="BT210" s="61">
        <v>4.3730000000000002</v>
      </c>
      <c r="BU210" s="61">
        <v>11.382999999999999</v>
      </c>
      <c r="BV210" s="61">
        <v>15.326000000000001</v>
      </c>
      <c r="BW210" s="61">
        <v>26.707999999999998</v>
      </c>
      <c r="BX210" s="67">
        <v>315.851</v>
      </c>
      <c r="BY210" s="68">
        <v>84075</v>
      </c>
      <c r="BZ210" s="68">
        <v>91279</v>
      </c>
      <c r="CA210" s="69">
        <v>9252</v>
      </c>
      <c r="CB210" s="68">
        <v>99146</v>
      </c>
      <c r="CC210" s="68">
        <v>1768</v>
      </c>
      <c r="CD210" s="61"/>
      <c r="CE210" s="64"/>
      <c r="CF210" s="64"/>
      <c r="CG210" s="70">
        <f t="shared" si="16"/>
        <v>4164.1319999999996</v>
      </c>
      <c r="CH210" s="70">
        <f t="shared" si="17"/>
        <v>388.584</v>
      </c>
      <c r="CI210" s="70">
        <f t="shared" si="18"/>
        <v>74.256</v>
      </c>
      <c r="CJ210" s="70">
        <f t="shared" si="20"/>
        <v>3531.15</v>
      </c>
      <c r="CK210" s="70">
        <f t="shared" si="20"/>
        <v>3833.7179999999998</v>
      </c>
      <c r="CL210" s="70">
        <f t="shared" si="19"/>
        <v>74.256</v>
      </c>
      <c r="CM210" s="61"/>
      <c r="CN210" s="61"/>
      <c r="CO210" s="61"/>
      <c r="CP210" s="61"/>
      <c r="CQ210" s="61"/>
      <c r="CR210" s="61"/>
      <c r="CS210" s="61"/>
      <c r="CT210" s="61"/>
      <c r="CU210" s="61"/>
      <c r="CV210" s="61"/>
      <c r="CW210" s="61"/>
      <c r="CX210" s="61"/>
      <c r="CY210" s="61"/>
      <c r="CZ210" s="61"/>
      <c r="DA210" s="61"/>
      <c r="DB210" s="61"/>
      <c r="DC210" s="61"/>
      <c r="DD210" s="61"/>
      <c r="DE210" s="61"/>
      <c r="DF210" s="61"/>
      <c r="DG210" s="61"/>
      <c r="DH210" s="61"/>
      <c r="DI210" s="61"/>
      <c r="DJ210" s="61"/>
      <c r="DK210" s="61"/>
      <c r="DL210" s="61"/>
      <c r="DM210" s="61"/>
      <c r="DN210" s="61"/>
      <c r="DO210" s="61"/>
      <c r="DP210" s="61"/>
      <c r="DQ210" s="61"/>
      <c r="DR210" s="61"/>
      <c r="DS210" s="61"/>
      <c r="DT210" s="61"/>
      <c r="DU210" s="61"/>
      <c r="DV210" s="61"/>
      <c r="DW210" s="61"/>
      <c r="DX210" s="61"/>
      <c r="DY210" s="61"/>
      <c r="DZ210" s="61"/>
      <c r="EA210" s="61"/>
      <c r="EB210" s="61"/>
      <c r="EC210" s="61"/>
      <c r="ED210" s="61"/>
      <c r="EE210" s="61"/>
      <c r="EF210" s="61"/>
      <c r="EG210" s="61"/>
      <c r="EH210" s="61"/>
      <c r="EI210" s="61"/>
      <c r="EJ210" s="61"/>
      <c r="EK210" s="61"/>
      <c r="EL210" s="61"/>
      <c r="EM210" s="61"/>
      <c r="EN210" s="61"/>
      <c r="EO210" s="61"/>
      <c r="EP210" s="61"/>
      <c r="EQ210" s="61"/>
      <c r="ER210" s="61"/>
      <c r="ES210" s="61"/>
      <c r="ET210" s="61"/>
      <c r="EU210" s="61"/>
      <c r="EV210" s="61"/>
      <c r="EW210" s="61"/>
    </row>
    <row r="211" spans="1:153">
      <c r="A211" s="56">
        <v>32994</v>
      </c>
      <c r="B211" s="57"/>
      <c r="C211" s="7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71"/>
      <c r="P211" s="60">
        <v>166.803</v>
      </c>
      <c r="Q211" s="61">
        <v>9.4160000000000004</v>
      </c>
      <c r="R211" s="61">
        <v>210.108</v>
      </c>
      <c r="S211" s="61">
        <v>525.67100000000005</v>
      </c>
      <c r="T211" s="61">
        <v>291.91699999999997</v>
      </c>
      <c r="U211" s="61">
        <v>14.14</v>
      </c>
      <c r="V211" s="61">
        <v>5.8630000000000004</v>
      </c>
      <c r="W211" s="61">
        <v>3.6440000000000001</v>
      </c>
      <c r="X211" s="61">
        <v>166.803</v>
      </c>
      <c r="Y211" s="61">
        <v>33.889000000000003</v>
      </c>
      <c r="Z211" s="61">
        <v>9.4160000000000004</v>
      </c>
      <c r="AA211" s="61">
        <v>210.108</v>
      </c>
      <c r="AB211" s="60">
        <v>525.67100000000005</v>
      </c>
      <c r="AC211" s="62"/>
      <c r="AD211" s="61"/>
      <c r="AE211" s="61"/>
      <c r="AF211" s="61"/>
      <c r="AG211" s="61"/>
      <c r="AH211" s="61"/>
      <c r="AI211" s="61"/>
      <c r="AJ211" s="61"/>
      <c r="AK211" s="62"/>
      <c r="AL211" s="63"/>
      <c r="AM211" s="64"/>
      <c r="AN211" s="65" t="e">
        <v>#N/A</v>
      </c>
      <c r="AO211" s="61" t="e">
        <v>#N/A</v>
      </c>
      <c r="AP211" s="61" t="e">
        <v>#N/A</v>
      </c>
      <c r="AQ211" s="61" t="e">
        <v>#N/A</v>
      </c>
      <c r="AR211" s="61" t="e">
        <v>#N/A</v>
      </c>
      <c r="AS211" s="61" t="e">
        <v>#N/A</v>
      </c>
      <c r="AT211" s="61" t="e">
        <v>#N/A</v>
      </c>
      <c r="AU211" s="61" t="e">
        <v>#N/A</v>
      </c>
      <c r="AV211" s="61" t="e">
        <v>#N/A</v>
      </c>
      <c r="AW211" s="61" t="e">
        <v>#N/A</v>
      </c>
      <c r="AX211" s="65" t="e">
        <v>#N/A</v>
      </c>
      <c r="AY211" s="66">
        <v>0.46700000000000003</v>
      </c>
      <c r="AZ211" s="61">
        <v>5.3570000000000002</v>
      </c>
      <c r="BA211" s="61">
        <v>49.26</v>
      </c>
      <c r="BB211" s="61">
        <v>55.085000000000001</v>
      </c>
      <c r="BC211" s="61">
        <v>0.13700000000000001</v>
      </c>
      <c r="BD211" s="61">
        <v>0.23799999999999999</v>
      </c>
      <c r="BE211" s="61">
        <v>1.6E-2</v>
      </c>
      <c r="BF211" s="61" t="s">
        <v>122</v>
      </c>
      <c r="BG211" s="61">
        <v>5.5469999999999997</v>
      </c>
      <c r="BH211" s="61">
        <v>2.2749999999999999</v>
      </c>
      <c r="BI211" s="61">
        <v>4.2000000000000003E-2</v>
      </c>
      <c r="BJ211" s="61">
        <v>7.8630000000000004</v>
      </c>
      <c r="BK211" s="66">
        <v>8.2550000000000008</v>
      </c>
      <c r="BL211" s="67">
        <v>5.1319999999999997</v>
      </c>
      <c r="BM211" s="61" t="s">
        <v>121</v>
      </c>
      <c r="BN211" s="61" t="s">
        <v>121</v>
      </c>
      <c r="BO211" s="61" t="s">
        <v>121</v>
      </c>
      <c r="BP211" s="61">
        <v>5.1319999999999997</v>
      </c>
      <c r="BQ211" s="61">
        <v>288.815</v>
      </c>
      <c r="BR211" s="61">
        <v>13.273999999999999</v>
      </c>
      <c r="BS211" s="61">
        <v>0.48499999999999999</v>
      </c>
      <c r="BT211" s="61">
        <v>3.6440000000000001</v>
      </c>
      <c r="BU211" s="61">
        <v>8.7230000000000008</v>
      </c>
      <c r="BV211" s="61">
        <v>15.401999999999999</v>
      </c>
      <c r="BW211" s="61">
        <v>24.125</v>
      </c>
      <c r="BX211" s="67">
        <v>330.34199999999998</v>
      </c>
      <c r="BY211" s="68">
        <v>89097</v>
      </c>
      <c r="BZ211" s="68">
        <v>89908</v>
      </c>
      <c r="CA211" s="69">
        <v>6485</v>
      </c>
      <c r="CB211" s="68">
        <v>102509</v>
      </c>
      <c r="CC211" s="68">
        <v>2311</v>
      </c>
      <c r="CD211" s="61"/>
      <c r="CE211" s="64"/>
      <c r="CF211" s="64"/>
      <c r="CG211" s="70">
        <f t="shared" si="16"/>
        <v>4305.3779999999997</v>
      </c>
      <c r="CH211" s="70">
        <f t="shared" si="17"/>
        <v>272.37</v>
      </c>
      <c r="CI211" s="70">
        <f t="shared" si="18"/>
        <v>97.061999999999998</v>
      </c>
      <c r="CJ211" s="70">
        <f t="shared" si="20"/>
        <v>3742.0740000000001</v>
      </c>
      <c r="CK211" s="70">
        <f t="shared" si="20"/>
        <v>3776.136</v>
      </c>
      <c r="CL211" s="70">
        <f t="shared" si="19"/>
        <v>97.061999999999998</v>
      </c>
      <c r="CM211" s="61"/>
      <c r="CN211" s="61"/>
      <c r="CO211" s="61"/>
      <c r="CP211" s="61"/>
      <c r="CQ211" s="61"/>
      <c r="CR211" s="61"/>
      <c r="CS211" s="61"/>
      <c r="CT211" s="61"/>
      <c r="CU211" s="61"/>
      <c r="CV211" s="61"/>
      <c r="CW211" s="61"/>
      <c r="CX211" s="61"/>
      <c r="CY211" s="61"/>
      <c r="CZ211" s="61"/>
      <c r="DA211" s="61"/>
      <c r="DB211" s="61"/>
      <c r="DC211" s="61"/>
      <c r="DD211" s="61"/>
      <c r="DE211" s="61"/>
      <c r="DF211" s="61"/>
      <c r="DG211" s="61"/>
      <c r="DH211" s="61"/>
      <c r="DI211" s="61"/>
      <c r="DJ211" s="61"/>
      <c r="DK211" s="61"/>
      <c r="DL211" s="61"/>
      <c r="DM211" s="61"/>
      <c r="DN211" s="61"/>
      <c r="DO211" s="61"/>
      <c r="DP211" s="61"/>
      <c r="DQ211" s="61"/>
      <c r="DR211" s="61"/>
      <c r="DS211" s="61"/>
      <c r="DT211" s="61"/>
      <c r="DU211" s="61"/>
      <c r="DV211" s="61"/>
      <c r="DW211" s="61"/>
      <c r="DX211" s="61"/>
      <c r="DY211" s="61"/>
      <c r="DZ211" s="61"/>
      <c r="EA211" s="61"/>
      <c r="EB211" s="61"/>
      <c r="EC211" s="61"/>
      <c r="ED211" s="61"/>
      <c r="EE211" s="61"/>
      <c r="EF211" s="61"/>
      <c r="EG211" s="61"/>
      <c r="EH211" s="61"/>
      <c r="EI211" s="61"/>
      <c r="EJ211" s="61"/>
      <c r="EK211" s="61"/>
      <c r="EL211" s="61"/>
      <c r="EM211" s="61"/>
      <c r="EN211" s="61"/>
      <c r="EO211" s="61"/>
      <c r="EP211" s="61"/>
      <c r="EQ211" s="61"/>
      <c r="ER211" s="61"/>
      <c r="ES211" s="61"/>
      <c r="ET211" s="61"/>
      <c r="EU211" s="61"/>
      <c r="EV211" s="61"/>
      <c r="EW211" s="61"/>
    </row>
    <row r="212" spans="1:153">
      <c r="A212" s="56">
        <v>33025</v>
      </c>
      <c r="B212" s="57"/>
      <c r="C212" s="7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71"/>
      <c r="P212" s="60">
        <v>134.93899999999999</v>
      </c>
      <c r="Q212" s="61">
        <v>9.1120000000000001</v>
      </c>
      <c r="R212" s="61">
        <v>178.54400000000001</v>
      </c>
      <c r="S212" s="61">
        <v>503.36099999999999</v>
      </c>
      <c r="T212" s="61">
        <v>300.12099999999998</v>
      </c>
      <c r="U212" s="61">
        <v>14.647</v>
      </c>
      <c r="V212" s="61">
        <v>5.8209999999999997</v>
      </c>
      <c r="W212" s="61">
        <v>4.2270000000000003</v>
      </c>
      <c r="X212" s="61">
        <v>134.93899999999999</v>
      </c>
      <c r="Y212" s="61">
        <v>34.493000000000002</v>
      </c>
      <c r="Z212" s="61">
        <v>9.1120000000000001</v>
      </c>
      <c r="AA212" s="61">
        <v>178.54400000000001</v>
      </c>
      <c r="AB212" s="60">
        <v>503.36099999999999</v>
      </c>
      <c r="AC212" s="62"/>
      <c r="AD212" s="61"/>
      <c r="AE212" s="61"/>
      <c r="AF212" s="61"/>
      <c r="AG212" s="61"/>
      <c r="AH212" s="61"/>
      <c r="AI212" s="61"/>
      <c r="AJ212" s="61"/>
      <c r="AK212" s="62"/>
      <c r="AL212" s="63"/>
      <c r="AM212" s="64"/>
      <c r="AN212" s="65" t="e">
        <v>#N/A</v>
      </c>
      <c r="AO212" s="61" t="e">
        <v>#N/A</v>
      </c>
      <c r="AP212" s="61" t="e">
        <v>#N/A</v>
      </c>
      <c r="AQ212" s="61" t="e">
        <v>#N/A</v>
      </c>
      <c r="AR212" s="61" t="e">
        <v>#N/A</v>
      </c>
      <c r="AS212" s="61" t="e">
        <v>#N/A</v>
      </c>
      <c r="AT212" s="61" t="e">
        <v>#N/A</v>
      </c>
      <c r="AU212" s="61" t="e">
        <v>#N/A</v>
      </c>
      <c r="AV212" s="61" t="e">
        <v>#N/A</v>
      </c>
      <c r="AW212" s="61" t="e">
        <v>#N/A</v>
      </c>
      <c r="AX212" s="65" t="e">
        <v>#N/A</v>
      </c>
      <c r="AY212" s="66">
        <v>0.45200000000000001</v>
      </c>
      <c r="AZ212" s="61">
        <v>5.4059999999999997</v>
      </c>
      <c r="BA212" s="61">
        <v>47.670999999999999</v>
      </c>
      <c r="BB212" s="61">
        <v>53.529000000000003</v>
      </c>
      <c r="BC212" s="61">
        <v>0.14099999999999999</v>
      </c>
      <c r="BD212" s="61">
        <v>0.23</v>
      </c>
      <c r="BE212" s="61">
        <v>1.7000000000000001E-2</v>
      </c>
      <c r="BF212" s="61" t="s">
        <v>122</v>
      </c>
      <c r="BG212" s="61">
        <v>5.3220000000000001</v>
      </c>
      <c r="BH212" s="61">
        <v>2.3849999999999998</v>
      </c>
      <c r="BI212" s="61">
        <v>4.1000000000000002E-2</v>
      </c>
      <c r="BJ212" s="61">
        <v>7.7480000000000002</v>
      </c>
      <c r="BK212" s="66">
        <v>8.1359999999999992</v>
      </c>
      <c r="BL212" s="67">
        <v>4.9660000000000002</v>
      </c>
      <c r="BM212" s="61" t="s">
        <v>121</v>
      </c>
      <c r="BN212" s="61" t="s">
        <v>121</v>
      </c>
      <c r="BO212" s="61" t="s">
        <v>121</v>
      </c>
      <c r="BP212" s="61">
        <v>4.9660000000000002</v>
      </c>
      <c r="BQ212" s="61">
        <v>296.93099999999998</v>
      </c>
      <c r="BR212" s="61">
        <v>13.808999999999999</v>
      </c>
      <c r="BS212" s="61">
        <v>0.39500000000000002</v>
      </c>
      <c r="BT212" s="61">
        <v>4.2270000000000003</v>
      </c>
      <c r="BU212" s="61">
        <v>5.73</v>
      </c>
      <c r="BV212" s="61">
        <v>16.148</v>
      </c>
      <c r="BW212" s="61">
        <v>21.879000000000001</v>
      </c>
      <c r="BX212" s="67">
        <v>337.24099999999999</v>
      </c>
      <c r="BY212" s="68">
        <v>89865</v>
      </c>
      <c r="BZ212" s="68">
        <v>87688</v>
      </c>
      <c r="CA212" s="69">
        <v>7710</v>
      </c>
      <c r="CB212" s="68">
        <v>109885</v>
      </c>
      <c r="CC212" s="68">
        <v>2511</v>
      </c>
      <c r="CD212" s="61"/>
      <c r="CE212" s="64"/>
      <c r="CF212" s="64"/>
      <c r="CG212" s="70">
        <f t="shared" si="16"/>
        <v>4615.17</v>
      </c>
      <c r="CH212" s="70">
        <f t="shared" si="17"/>
        <v>323.82</v>
      </c>
      <c r="CI212" s="70">
        <f t="shared" si="18"/>
        <v>105.462</v>
      </c>
      <c r="CJ212" s="70">
        <f t="shared" si="20"/>
        <v>3774.33</v>
      </c>
      <c r="CK212" s="70">
        <f t="shared" si="20"/>
        <v>3682.8960000000002</v>
      </c>
      <c r="CL212" s="70">
        <f t="shared" si="19"/>
        <v>105.462</v>
      </c>
      <c r="CM212" s="61"/>
      <c r="CN212" s="61"/>
      <c r="CO212" s="61"/>
      <c r="CP212" s="61"/>
      <c r="CQ212" s="61"/>
      <c r="CR212" s="61"/>
      <c r="CS212" s="61"/>
      <c r="CT212" s="61"/>
      <c r="CU212" s="61"/>
      <c r="CV212" s="61"/>
      <c r="CW212" s="61"/>
      <c r="CX212" s="61"/>
      <c r="CY212" s="61"/>
      <c r="CZ212" s="61"/>
      <c r="DA212" s="61"/>
      <c r="DB212" s="61"/>
      <c r="DC212" s="61"/>
      <c r="DD212" s="61"/>
      <c r="DE212" s="61"/>
      <c r="DF212" s="61"/>
      <c r="DG212" s="61"/>
      <c r="DH212" s="61"/>
      <c r="DI212" s="61"/>
      <c r="DJ212" s="61"/>
      <c r="DK212" s="61"/>
      <c r="DL212" s="61"/>
      <c r="DM212" s="61"/>
      <c r="DN212" s="61"/>
      <c r="DO212" s="61"/>
      <c r="DP212" s="61"/>
      <c r="DQ212" s="61"/>
      <c r="DR212" s="61"/>
      <c r="DS212" s="61"/>
      <c r="DT212" s="61"/>
      <c r="DU212" s="61"/>
      <c r="DV212" s="61"/>
      <c r="DW212" s="61"/>
      <c r="DX212" s="61"/>
      <c r="DY212" s="61"/>
      <c r="DZ212" s="61"/>
      <c r="EA212" s="61"/>
      <c r="EB212" s="61"/>
      <c r="EC212" s="61"/>
      <c r="ED212" s="61"/>
      <c r="EE212" s="61"/>
      <c r="EF212" s="61"/>
      <c r="EG212" s="61"/>
      <c r="EH212" s="61"/>
      <c r="EI212" s="61"/>
      <c r="EJ212" s="61"/>
      <c r="EK212" s="61"/>
      <c r="EL212" s="61"/>
      <c r="EM212" s="61"/>
      <c r="EN212" s="61"/>
      <c r="EO212" s="61"/>
      <c r="EP212" s="61"/>
      <c r="EQ212" s="61"/>
      <c r="ER212" s="61"/>
      <c r="ES212" s="61"/>
      <c r="ET212" s="61"/>
      <c r="EU212" s="61"/>
      <c r="EV212" s="61"/>
      <c r="EW212" s="61"/>
    </row>
    <row r="213" spans="1:153">
      <c r="A213" s="56">
        <v>33055</v>
      </c>
      <c r="B213" s="57"/>
      <c r="C213" s="7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71"/>
      <c r="P213" s="60">
        <v>176.61799999999999</v>
      </c>
      <c r="Q213" s="61">
        <v>9.4160000000000004</v>
      </c>
      <c r="R213" s="61">
        <v>219.71299999999999</v>
      </c>
      <c r="S213" s="61">
        <v>499.49299999999999</v>
      </c>
      <c r="T213" s="61">
        <v>257.58100000000002</v>
      </c>
      <c r="U213" s="61">
        <v>14.779</v>
      </c>
      <c r="V213" s="61">
        <v>6.181</v>
      </c>
      <c r="W213" s="61">
        <v>1.2390000000000001</v>
      </c>
      <c r="X213" s="61">
        <v>176.61799999999999</v>
      </c>
      <c r="Y213" s="61">
        <v>33.679000000000002</v>
      </c>
      <c r="Z213" s="61">
        <v>9.4160000000000004</v>
      </c>
      <c r="AA213" s="61">
        <v>219.71299999999999</v>
      </c>
      <c r="AB213" s="60">
        <v>499.49299999999999</v>
      </c>
      <c r="AC213" s="62"/>
      <c r="AD213" s="61"/>
      <c r="AE213" s="61"/>
      <c r="AF213" s="61"/>
      <c r="AG213" s="61"/>
      <c r="AH213" s="61"/>
      <c r="AI213" s="61"/>
      <c r="AJ213" s="61"/>
      <c r="AK213" s="62"/>
      <c r="AL213" s="63"/>
      <c r="AM213" s="64"/>
      <c r="AN213" s="65" t="e">
        <v>#N/A</v>
      </c>
      <c r="AO213" s="61" t="e">
        <v>#N/A</v>
      </c>
      <c r="AP213" s="61" t="e">
        <v>#N/A</v>
      </c>
      <c r="AQ213" s="61" t="e">
        <v>#N/A</v>
      </c>
      <c r="AR213" s="61" t="e">
        <v>#N/A</v>
      </c>
      <c r="AS213" s="61" t="e">
        <v>#N/A</v>
      </c>
      <c r="AT213" s="61" t="e">
        <v>#N/A</v>
      </c>
      <c r="AU213" s="61" t="e">
        <v>#N/A</v>
      </c>
      <c r="AV213" s="61" t="e">
        <v>#N/A</v>
      </c>
      <c r="AW213" s="61" t="e">
        <v>#N/A</v>
      </c>
      <c r="AX213" s="65" t="e">
        <v>#N/A</v>
      </c>
      <c r="AY213" s="66">
        <v>0.46700000000000003</v>
      </c>
      <c r="AZ213" s="61">
        <v>5.6749999999999998</v>
      </c>
      <c r="BA213" s="61">
        <v>49.26</v>
      </c>
      <c r="BB213" s="61">
        <v>55.402000000000001</v>
      </c>
      <c r="BC213" s="61">
        <v>0.121</v>
      </c>
      <c r="BD213" s="61">
        <v>0.23799999999999999</v>
      </c>
      <c r="BE213" s="61">
        <v>1.7000000000000001E-2</v>
      </c>
      <c r="BF213" s="61" t="s">
        <v>122</v>
      </c>
      <c r="BG213" s="61">
        <v>5.5629999999999997</v>
      </c>
      <c r="BH213" s="61">
        <v>2.2519999999999998</v>
      </c>
      <c r="BI213" s="61">
        <v>4.2000000000000003E-2</v>
      </c>
      <c r="BJ213" s="61">
        <v>7.8579999999999997</v>
      </c>
      <c r="BK213" s="66">
        <v>8.234</v>
      </c>
      <c r="BL213" s="67">
        <v>5.1319999999999997</v>
      </c>
      <c r="BM213" s="61" t="s">
        <v>121</v>
      </c>
      <c r="BN213" s="61" t="s">
        <v>121</v>
      </c>
      <c r="BO213" s="61" t="s">
        <v>121</v>
      </c>
      <c r="BP213" s="61">
        <v>5.1319999999999997</v>
      </c>
      <c r="BQ213" s="61">
        <v>254.84299999999999</v>
      </c>
      <c r="BR213" s="61">
        <v>13.913</v>
      </c>
      <c r="BS213" s="61">
        <v>0.48499999999999999</v>
      </c>
      <c r="BT213" s="61">
        <v>1.2390000000000001</v>
      </c>
      <c r="BU213" s="61">
        <v>9.7270000000000003</v>
      </c>
      <c r="BV213" s="61">
        <v>15.249000000000001</v>
      </c>
      <c r="BW213" s="61">
        <v>24.975999999999999</v>
      </c>
      <c r="BX213" s="67">
        <v>295.45699999999999</v>
      </c>
      <c r="BY213" s="68">
        <v>93233</v>
      </c>
      <c r="BZ213" s="68">
        <v>84518</v>
      </c>
      <c r="CA213" s="69">
        <v>7324</v>
      </c>
      <c r="CB213" s="68">
        <v>124979</v>
      </c>
      <c r="CC213" s="68">
        <v>945</v>
      </c>
      <c r="CD213" s="61"/>
      <c r="CE213" s="64"/>
      <c r="CF213" s="64"/>
      <c r="CG213" s="70">
        <f t="shared" si="16"/>
        <v>5249.1180000000004</v>
      </c>
      <c r="CH213" s="70">
        <f t="shared" si="17"/>
        <v>307.608</v>
      </c>
      <c r="CI213" s="70">
        <f t="shared" si="18"/>
        <v>39.69</v>
      </c>
      <c r="CJ213" s="70">
        <f t="shared" si="20"/>
        <v>3915.7860000000001</v>
      </c>
      <c r="CK213" s="70">
        <f t="shared" si="20"/>
        <v>3549.7559999999999</v>
      </c>
      <c r="CL213" s="70">
        <f t="shared" si="19"/>
        <v>39.69</v>
      </c>
      <c r="CM213" s="61"/>
      <c r="CN213" s="61"/>
      <c r="CO213" s="61"/>
      <c r="CP213" s="61"/>
      <c r="CQ213" s="61"/>
      <c r="CR213" s="61"/>
      <c r="CS213" s="61"/>
      <c r="CT213" s="61"/>
      <c r="CU213" s="61"/>
      <c r="CV213" s="61"/>
      <c r="CW213" s="61"/>
      <c r="CX213" s="61"/>
      <c r="CY213" s="61"/>
      <c r="CZ213" s="61"/>
      <c r="DA213" s="61"/>
      <c r="DB213" s="61"/>
      <c r="DC213" s="61"/>
      <c r="DD213" s="61"/>
      <c r="DE213" s="61"/>
      <c r="DF213" s="61"/>
      <c r="DG213" s="61"/>
      <c r="DH213" s="61"/>
      <c r="DI213" s="61"/>
      <c r="DJ213" s="61"/>
      <c r="DK213" s="61"/>
      <c r="DL213" s="61"/>
      <c r="DM213" s="61"/>
      <c r="DN213" s="61"/>
      <c r="DO213" s="61"/>
      <c r="DP213" s="61"/>
      <c r="DQ213" s="61"/>
      <c r="DR213" s="61"/>
      <c r="DS213" s="61"/>
      <c r="DT213" s="61"/>
      <c r="DU213" s="61"/>
      <c r="DV213" s="61"/>
      <c r="DW213" s="61"/>
      <c r="DX213" s="61"/>
      <c r="DY213" s="61"/>
      <c r="DZ213" s="61"/>
      <c r="EA213" s="61"/>
      <c r="EB213" s="61"/>
      <c r="EC213" s="61"/>
      <c r="ED213" s="61"/>
      <c r="EE213" s="61"/>
      <c r="EF213" s="61"/>
      <c r="EG213" s="61"/>
      <c r="EH213" s="61"/>
      <c r="EI213" s="61"/>
      <c r="EJ213" s="61"/>
      <c r="EK213" s="61"/>
      <c r="EL213" s="61"/>
      <c r="EM213" s="61"/>
      <c r="EN213" s="61"/>
      <c r="EO213" s="61"/>
      <c r="EP213" s="61"/>
      <c r="EQ213" s="61"/>
      <c r="ER213" s="61"/>
      <c r="ES213" s="61"/>
      <c r="ET213" s="61"/>
      <c r="EU213" s="61"/>
      <c r="EV213" s="61"/>
      <c r="EW213" s="61"/>
    </row>
    <row r="214" spans="1:153">
      <c r="A214" s="56">
        <v>33086</v>
      </c>
      <c r="B214" s="57"/>
      <c r="C214" s="7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71"/>
      <c r="P214" s="60">
        <v>201.44499999999999</v>
      </c>
      <c r="Q214" s="61">
        <v>9.4160000000000004</v>
      </c>
      <c r="R214" s="61">
        <v>245.63200000000001</v>
      </c>
      <c r="S214" s="61">
        <v>497.45299999999997</v>
      </c>
      <c r="T214" s="61">
        <v>230.35400000000001</v>
      </c>
      <c r="U214" s="61">
        <v>14.592000000000001</v>
      </c>
      <c r="V214" s="61">
        <v>6.1449999999999996</v>
      </c>
      <c r="W214" s="61">
        <v>0.72899999999999998</v>
      </c>
      <c r="X214" s="61">
        <v>201.44499999999999</v>
      </c>
      <c r="Y214" s="61">
        <v>34.771000000000001</v>
      </c>
      <c r="Z214" s="61">
        <v>9.4160000000000004</v>
      </c>
      <c r="AA214" s="61">
        <v>245.63200000000001</v>
      </c>
      <c r="AB214" s="60">
        <v>497.45299999999997</v>
      </c>
      <c r="AC214" s="62"/>
      <c r="AD214" s="61"/>
      <c r="AE214" s="61"/>
      <c r="AF214" s="61"/>
      <c r="AG214" s="61"/>
      <c r="AH214" s="61"/>
      <c r="AI214" s="61"/>
      <c r="AJ214" s="61"/>
      <c r="AK214" s="62"/>
      <c r="AL214" s="63"/>
      <c r="AM214" s="64"/>
      <c r="AN214" s="65" t="e">
        <v>#N/A</v>
      </c>
      <c r="AO214" s="61" t="e">
        <v>#N/A</v>
      </c>
      <c r="AP214" s="61" t="e">
        <v>#N/A</v>
      </c>
      <c r="AQ214" s="61" t="e">
        <v>#N/A</v>
      </c>
      <c r="AR214" s="61" t="e">
        <v>#N/A</v>
      </c>
      <c r="AS214" s="61" t="e">
        <v>#N/A</v>
      </c>
      <c r="AT214" s="61" t="e">
        <v>#N/A</v>
      </c>
      <c r="AU214" s="61" t="e">
        <v>#N/A</v>
      </c>
      <c r="AV214" s="61" t="e">
        <v>#N/A</v>
      </c>
      <c r="AW214" s="61" t="e">
        <v>#N/A</v>
      </c>
      <c r="AX214" s="65" t="e">
        <v>#N/A</v>
      </c>
      <c r="AY214" s="66">
        <v>0.46700000000000003</v>
      </c>
      <c r="AZ214" s="61">
        <v>5.6159999999999997</v>
      </c>
      <c r="BA214" s="61">
        <v>49.26</v>
      </c>
      <c r="BB214" s="61">
        <v>55.343000000000004</v>
      </c>
      <c r="BC214" s="61">
        <v>0.108</v>
      </c>
      <c r="BD214" s="61">
        <v>0.23799999999999999</v>
      </c>
      <c r="BE214" s="61">
        <v>1.7000000000000001E-2</v>
      </c>
      <c r="BF214" s="61" t="s">
        <v>122</v>
      </c>
      <c r="BG214" s="61">
        <v>5.6059999999999999</v>
      </c>
      <c r="BH214" s="61">
        <v>2.37</v>
      </c>
      <c r="BI214" s="61">
        <v>4.2000000000000003E-2</v>
      </c>
      <c r="BJ214" s="61">
        <v>8.0180000000000007</v>
      </c>
      <c r="BK214" s="66">
        <v>8.3810000000000002</v>
      </c>
      <c r="BL214" s="67">
        <v>5.1319999999999997</v>
      </c>
      <c r="BM214" s="61" t="s">
        <v>121</v>
      </c>
      <c r="BN214" s="61" t="s">
        <v>121</v>
      </c>
      <c r="BO214" s="61" t="s">
        <v>121</v>
      </c>
      <c r="BP214" s="61">
        <v>5.1319999999999997</v>
      </c>
      <c r="BQ214" s="61">
        <v>227.90600000000001</v>
      </c>
      <c r="BR214" s="61">
        <v>13.726000000000001</v>
      </c>
      <c r="BS214" s="61">
        <v>0.50900000000000001</v>
      </c>
      <c r="BT214" s="61">
        <v>0.72899999999999998</v>
      </c>
      <c r="BU214" s="61">
        <v>12.269</v>
      </c>
      <c r="BV214" s="61">
        <v>16.048999999999999</v>
      </c>
      <c r="BW214" s="61">
        <v>28.317</v>
      </c>
      <c r="BX214" s="67">
        <v>271.18700000000001</v>
      </c>
      <c r="BY214" s="68">
        <v>97072</v>
      </c>
      <c r="BZ214" s="68">
        <v>99747</v>
      </c>
      <c r="CA214" s="69">
        <v>9094</v>
      </c>
      <c r="CB214" s="68">
        <v>129808</v>
      </c>
      <c r="CC214" s="68">
        <v>1590</v>
      </c>
      <c r="CD214" s="61"/>
      <c r="CE214" s="64"/>
      <c r="CF214" s="64"/>
      <c r="CG214" s="70">
        <f t="shared" si="16"/>
        <v>5451.9359999999997</v>
      </c>
      <c r="CH214" s="70">
        <f t="shared" si="17"/>
        <v>381.94799999999998</v>
      </c>
      <c r="CI214" s="70">
        <f t="shared" si="18"/>
        <v>66.78</v>
      </c>
      <c r="CJ214" s="70">
        <f t="shared" si="20"/>
        <v>4077.0239999999999</v>
      </c>
      <c r="CK214" s="70">
        <f t="shared" si="20"/>
        <v>4189.3739999999998</v>
      </c>
      <c r="CL214" s="70">
        <f t="shared" si="19"/>
        <v>66.78</v>
      </c>
      <c r="CM214" s="61"/>
      <c r="CN214" s="61"/>
      <c r="CO214" s="61"/>
      <c r="CP214" s="61"/>
      <c r="CQ214" s="61"/>
      <c r="CR214" s="61"/>
      <c r="CS214" s="61"/>
      <c r="CT214" s="61"/>
      <c r="CU214" s="61"/>
      <c r="CV214" s="61"/>
      <c r="CW214" s="61"/>
      <c r="CX214" s="61"/>
      <c r="CY214" s="61"/>
      <c r="CZ214" s="61"/>
      <c r="DA214" s="61"/>
      <c r="DB214" s="61"/>
      <c r="DC214" s="61"/>
      <c r="DD214" s="61"/>
      <c r="DE214" s="61"/>
      <c r="DF214" s="61"/>
      <c r="DG214" s="61"/>
      <c r="DH214" s="61"/>
      <c r="DI214" s="61"/>
      <c r="DJ214" s="61"/>
      <c r="DK214" s="61"/>
      <c r="DL214" s="61"/>
      <c r="DM214" s="61"/>
      <c r="DN214" s="61"/>
      <c r="DO214" s="61"/>
      <c r="DP214" s="61"/>
      <c r="DQ214" s="61"/>
      <c r="DR214" s="61"/>
      <c r="DS214" s="61"/>
      <c r="DT214" s="61"/>
      <c r="DU214" s="61"/>
      <c r="DV214" s="61"/>
      <c r="DW214" s="61"/>
      <c r="DX214" s="61"/>
      <c r="DY214" s="61"/>
      <c r="DZ214" s="61"/>
      <c r="EA214" s="61"/>
      <c r="EB214" s="61"/>
      <c r="EC214" s="61"/>
      <c r="ED214" s="61"/>
      <c r="EE214" s="61"/>
      <c r="EF214" s="61"/>
      <c r="EG214" s="61"/>
      <c r="EH214" s="61"/>
      <c r="EI214" s="61"/>
      <c r="EJ214" s="61"/>
      <c r="EK214" s="61"/>
      <c r="EL214" s="61"/>
      <c r="EM214" s="61"/>
      <c r="EN214" s="61"/>
      <c r="EO214" s="61"/>
      <c r="EP214" s="61"/>
      <c r="EQ214" s="61"/>
      <c r="ER214" s="61"/>
      <c r="ES214" s="61"/>
      <c r="ET214" s="61"/>
      <c r="EU214" s="61"/>
      <c r="EV214" s="61"/>
      <c r="EW214" s="61"/>
    </row>
    <row r="215" spans="1:153">
      <c r="A215" s="56">
        <v>33117</v>
      </c>
      <c r="B215" s="57"/>
      <c r="C215" s="7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71"/>
      <c r="P215" s="60">
        <v>196.09899999999999</v>
      </c>
      <c r="Q215" s="61">
        <v>9.1120000000000001</v>
      </c>
      <c r="R215" s="61">
        <v>239.93199999999999</v>
      </c>
      <c r="S215" s="61">
        <v>447.34699999999998</v>
      </c>
      <c r="T215" s="61">
        <v>187.25399999999999</v>
      </c>
      <c r="U215" s="61">
        <v>13.746</v>
      </c>
      <c r="V215" s="61">
        <v>5.4669999999999996</v>
      </c>
      <c r="W215" s="61">
        <v>0.94699999999999995</v>
      </c>
      <c r="X215" s="61">
        <v>196.09899999999999</v>
      </c>
      <c r="Y215" s="61">
        <v>34.72</v>
      </c>
      <c r="Z215" s="61">
        <v>9.1120000000000001</v>
      </c>
      <c r="AA215" s="61">
        <v>239.93199999999999</v>
      </c>
      <c r="AB215" s="60">
        <v>447.34699999999998</v>
      </c>
      <c r="AC215" s="62"/>
      <c r="AD215" s="61"/>
      <c r="AE215" s="61"/>
      <c r="AF215" s="61"/>
      <c r="AG215" s="61"/>
      <c r="AH215" s="61"/>
      <c r="AI215" s="61"/>
      <c r="AJ215" s="61"/>
      <c r="AK215" s="62"/>
      <c r="AL215" s="63"/>
      <c r="AM215" s="64"/>
      <c r="AN215" s="65" t="e">
        <v>#N/A</v>
      </c>
      <c r="AO215" s="61" t="e">
        <v>#N/A</v>
      </c>
      <c r="AP215" s="61" t="e">
        <v>#N/A</v>
      </c>
      <c r="AQ215" s="61" t="e">
        <v>#N/A</v>
      </c>
      <c r="AR215" s="61" t="e">
        <v>#N/A</v>
      </c>
      <c r="AS215" s="61" t="e">
        <v>#N/A</v>
      </c>
      <c r="AT215" s="61" t="e">
        <v>#N/A</v>
      </c>
      <c r="AU215" s="61" t="e">
        <v>#N/A</v>
      </c>
      <c r="AV215" s="61" t="e">
        <v>#N/A</v>
      </c>
      <c r="AW215" s="61" t="e">
        <v>#N/A</v>
      </c>
      <c r="AX215" s="65" t="e">
        <v>#N/A</v>
      </c>
      <c r="AY215" s="66">
        <v>0.45200000000000001</v>
      </c>
      <c r="AZ215" s="61">
        <v>5.1219999999999999</v>
      </c>
      <c r="BA215" s="61">
        <v>47.670999999999999</v>
      </c>
      <c r="BB215" s="61">
        <v>53.244999999999997</v>
      </c>
      <c r="BC215" s="61">
        <v>8.7999999999999995E-2</v>
      </c>
      <c r="BD215" s="61">
        <v>0.23</v>
      </c>
      <c r="BE215" s="61">
        <v>1.6E-2</v>
      </c>
      <c r="BF215" s="61" t="s">
        <v>122</v>
      </c>
      <c r="BG215" s="61">
        <v>5.4269999999999996</v>
      </c>
      <c r="BH215" s="61">
        <v>2.41</v>
      </c>
      <c r="BI215" s="61">
        <v>4.1000000000000002E-2</v>
      </c>
      <c r="BJ215" s="61">
        <v>7.8769999999999998</v>
      </c>
      <c r="BK215" s="66">
        <v>8.2110000000000003</v>
      </c>
      <c r="BL215" s="67">
        <v>4.9660000000000002</v>
      </c>
      <c r="BM215" s="61" t="s">
        <v>121</v>
      </c>
      <c r="BN215" s="61" t="s">
        <v>121</v>
      </c>
      <c r="BO215" s="61" t="s">
        <v>121</v>
      </c>
      <c r="BP215" s="61">
        <v>4.9660000000000002</v>
      </c>
      <c r="BQ215" s="61">
        <v>185.26400000000001</v>
      </c>
      <c r="BR215" s="61">
        <v>12.907999999999999</v>
      </c>
      <c r="BS215" s="61">
        <v>0.32600000000000001</v>
      </c>
      <c r="BT215" s="61">
        <v>0.94699999999999995</v>
      </c>
      <c r="BU215" s="61">
        <v>11.991</v>
      </c>
      <c r="BV215" s="61">
        <v>16.315000000000001</v>
      </c>
      <c r="BW215" s="61">
        <v>28.306000000000001</v>
      </c>
      <c r="BX215" s="67">
        <v>227.751</v>
      </c>
      <c r="BY215" s="68">
        <v>89027</v>
      </c>
      <c r="BZ215" s="68">
        <v>85925</v>
      </c>
      <c r="CA215" s="69">
        <v>6793</v>
      </c>
      <c r="CB215" s="68">
        <v>136015</v>
      </c>
      <c r="CC215" s="68">
        <v>3688</v>
      </c>
      <c r="CD215" s="61"/>
      <c r="CE215" s="64"/>
      <c r="CF215" s="64"/>
      <c r="CG215" s="70">
        <f t="shared" si="16"/>
        <v>5712.63</v>
      </c>
      <c r="CH215" s="70">
        <f t="shared" si="17"/>
        <v>285.30599999999998</v>
      </c>
      <c r="CI215" s="70">
        <f t="shared" si="18"/>
        <v>154.89599999999999</v>
      </c>
      <c r="CJ215" s="70">
        <f t="shared" si="20"/>
        <v>3739.134</v>
      </c>
      <c r="CK215" s="70">
        <f t="shared" si="20"/>
        <v>3608.85</v>
      </c>
      <c r="CL215" s="70">
        <f t="shared" si="19"/>
        <v>154.89599999999999</v>
      </c>
      <c r="CM215" s="61"/>
      <c r="CN215" s="61"/>
      <c r="CO215" s="61"/>
      <c r="CP215" s="61"/>
      <c r="CQ215" s="61"/>
      <c r="CR215" s="61"/>
      <c r="CS215" s="61"/>
      <c r="CT215" s="61"/>
      <c r="CU215" s="61"/>
      <c r="CV215" s="61"/>
      <c r="CW215" s="61"/>
      <c r="CX215" s="61"/>
      <c r="CY215" s="61"/>
      <c r="CZ215" s="61"/>
      <c r="DA215" s="61"/>
      <c r="DB215" s="61"/>
      <c r="DC215" s="61"/>
      <c r="DD215" s="61"/>
      <c r="DE215" s="61"/>
      <c r="DF215" s="61"/>
      <c r="DG215" s="61"/>
      <c r="DH215" s="61"/>
      <c r="DI215" s="61"/>
      <c r="DJ215" s="61"/>
      <c r="DK215" s="61"/>
      <c r="DL215" s="61"/>
      <c r="DM215" s="61"/>
      <c r="DN215" s="61"/>
      <c r="DO215" s="61"/>
      <c r="DP215" s="61"/>
      <c r="DQ215" s="61"/>
      <c r="DR215" s="61"/>
      <c r="DS215" s="61"/>
      <c r="DT215" s="61"/>
      <c r="DU215" s="61"/>
      <c r="DV215" s="61"/>
      <c r="DW215" s="61"/>
      <c r="DX215" s="61"/>
      <c r="DY215" s="61"/>
      <c r="DZ215" s="61"/>
      <c r="EA215" s="61"/>
      <c r="EB215" s="61"/>
      <c r="EC215" s="61"/>
      <c r="ED215" s="61"/>
      <c r="EE215" s="61"/>
      <c r="EF215" s="61"/>
      <c r="EG215" s="61"/>
      <c r="EH215" s="61"/>
      <c r="EI215" s="61"/>
      <c r="EJ215" s="61"/>
      <c r="EK215" s="61"/>
      <c r="EL215" s="61"/>
      <c r="EM215" s="61"/>
      <c r="EN215" s="61"/>
      <c r="EO215" s="61"/>
      <c r="EP215" s="61"/>
      <c r="EQ215" s="61"/>
      <c r="ER215" s="61"/>
      <c r="ES215" s="61"/>
      <c r="ET215" s="61"/>
      <c r="EU215" s="61"/>
      <c r="EV215" s="61"/>
      <c r="EW215" s="61"/>
    </row>
    <row r="216" spans="1:153">
      <c r="A216" s="56">
        <v>33147</v>
      </c>
      <c r="B216" s="57"/>
      <c r="C216" s="7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71"/>
      <c r="P216" s="60">
        <v>190.41399999999999</v>
      </c>
      <c r="Q216" s="61">
        <v>9.4160000000000004</v>
      </c>
      <c r="R216" s="61">
        <v>235.43700000000001</v>
      </c>
      <c r="S216" s="61">
        <v>460.19799999999998</v>
      </c>
      <c r="T216" s="61">
        <v>203.21299999999999</v>
      </c>
      <c r="U216" s="61">
        <v>14.398</v>
      </c>
      <c r="V216" s="61">
        <v>5.0369999999999999</v>
      </c>
      <c r="W216" s="61">
        <v>2.1139999999999999</v>
      </c>
      <c r="X216" s="61">
        <v>190.41399999999999</v>
      </c>
      <c r="Y216" s="61">
        <v>35.606999999999999</v>
      </c>
      <c r="Z216" s="61">
        <v>9.4160000000000004</v>
      </c>
      <c r="AA216" s="61">
        <v>235.43700000000001</v>
      </c>
      <c r="AB216" s="60">
        <v>460.19799999999998</v>
      </c>
      <c r="AC216" s="62"/>
      <c r="AD216" s="61"/>
      <c r="AE216" s="61"/>
      <c r="AF216" s="61"/>
      <c r="AG216" s="61"/>
      <c r="AH216" s="61"/>
      <c r="AI216" s="61"/>
      <c r="AJ216" s="61"/>
      <c r="AK216" s="62"/>
      <c r="AL216" s="63"/>
      <c r="AM216" s="64"/>
      <c r="AN216" s="65" t="e">
        <v>#N/A</v>
      </c>
      <c r="AO216" s="61" t="e">
        <v>#N/A</v>
      </c>
      <c r="AP216" s="61" t="e">
        <v>#N/A</v>
      </c>
      <c r="AQ216" s="61" t="e">
        <v>#N/A</v>
      </c>
      <c r="AR216" s="61" t="e">
        <v>#N/A</v>
      </c>
      <c r="AS216" s="61" t="e">
        <v>#N/A</v>
      </c>
      <c r="AT216" s="61" t="e">
        <v>#N/A</v>
      </c>
      <c r="AU216" s="61" t="e">
        <v>#N/A</v>
      </c>
      <c r="AV216" s="61" t="e">
        <v>#N/A</v>
      </c>
      <c r="AW216" s="61" t="e">
        <v>#N/A</v>
      </c>
      <c r="AX216" s="65" t="e">
        <v>#N/A</v>
      </c>
      <c r="AY216" s="66">
        <v>0.46700000000000003</v>
      </c>
      <c r="AZ216" s="61">
        <v>4.6680000000000001</v>
      </c>
      <c r="BA216" s="61">
        <v>49.26</v>
      </c>
      <c r="BB216" s="61">
        <v>54.396000000000001</v>
      </c>
      <c r="BC216" s="61">
        <v>9.5000000000000001E-2</v>
      </c>
      <c r="BD216" s="61">
        <v>0.23799999999999999</v>
      </c>
      <c r="BE216" s="61">
        <v>1.4E-2</v>
      </c>
      <c r="BF216" s="61" t="s">
        <v>122</v>
      </c>
      <c r="BG216" s="61">
        <v>5.5869999999999997</v>
      </c>
      <c r="BH216" s="61">
        <v>2.4609999999999999</v>
      </c>
      <c r="BI216" s="61">
        <v>4.2000000000000003E-2</v>
      </c>
      <c r="BJ216" s="61">
        <v>8.09</v>
      </c>
      <c r="BK216" s="66">
        <v>8.4369999999999994</v>
      </c>
      <c r="BL216" s="67">
        <v>5.1319999999999997</v>
      </c>
      <c r="BM216" s="61" t="s">
        <v>121</v>
      </c>
      <c r="BN216" s="61" t="s">
        <v>121</v>
      </c>
      <c r="BO216" s="61" t="s">
        <v>121</v>
      </c>
      <c r="BP216" s="61">
        <v>5.1319999999999997</v>
      </c>
      <c r="BQ216" s="61">
        <v>201.053</v>
      </c>
      <c r="BR216" s="61">
        <v>13.531000000000001</v>
      </c>
      <c r="BS216" s="61">
        <v>0.35099999999999998</v>
      </c>
      <c r="BT216" s="61">
        <v>2.1139999999999999</v>
      </c>
      <c r="BU216" s="61">
        <v>11.138999999999999</v>
      </c>
      <c r="BV216" s="61">
        <v>16.661000000000001</v>
      </c>
      <c r="BW216" s="61">
        <v>27.8</v>
      </c>
      <c r="BX216" s="67">
        <v>244.84899999999999</v>
      </c>
      <c r="BY216" s="68">
        <v>90768</v>
      </c>
      <c r="BZ216" s="68">
        <v>91754</v>
      </c>
      <c r="CA216" s="69">
        <v>5887</v>
      </c>
      <c r="CB216" s="68">
        <v>136270</v>
      </c>
      <c r="CC216" s="68">
        <v>4646</v>
      </c>
      <c r="CD216" s="61"/>
      <c r="CE216" s="64"/>
      <c r="CF216" s="64"/>
      <c r="CG216" s="70">
        <f t="shared" si="16"/>
        <v>5723.34</v>
      </c>
      <c r="CH216" s="70">
        <f t="shared" si="17"/>
        <v>247.25399999999999</v>
      </c>
      <c r="CI216" s="70">
        <f t="shared" si="18"/>
        <v>195.13200000000001</v>
      </c>
      <c r="CJ216" s="70">
        <f t="shared" si="20"/>
        <v>3812.2559999999999</v>
      </c>
      <c r="CK216" s="70">
        <f t="shared" si="20"/>
        <v>3853.6680000000001</v>
      </c>
      <c r="CL216" s="70">
        <f t="shared" si="19"/>
        <v>195.13200000000001</v>
      </c>
      <c r="CM216" s="61"/>
      <c r="CN216" s="61"/>
      <c r="CO216" s="61"/>
      <c r="CP216" s="61"/>
      <c r="CQ216" s="61"/>
      <c r="CR216" s="61"/>
      <c r="CS216" s="61"/>
      <c r="CT216" s="61"/>
      <c r="CU216" s="61"/>
      <c r="CV216" s="61"/>
      <c r="CW216" s="61"/>
      <c r="CX216" s="61"/>
      <c r="CY216" s="61"/>
      <c r="CZ216" s="61"/>
      <c r="DA216" s="61"/>
      <c r="DB216" s="61"/>
      <c r="DC216" s="61"/>
      <c r="DD216" s="61"/>
      <c r="DE216" s="61"/>
      <c r="DF216" s="61"/>
      <c r="DG216" s="61"/>
      <c r="DH216" s="61"/>
      <c r="DI216" s="61"/>
      <c r="DJ216" s="61"/>
      <c r="DK216" s="61"/>
      <c r="DL216" s="61"/>
      <c r="DM216" s="61"/>
      <c r="DN216" s="61"/>
      <c r="DO216" s="61"/>
      <c r="DP216" s="61"/>
      <c r="DQ216" s="61"/>
      <c r="DR216" s="61"/>
      <c r="DS216" s="61"/>
      <c r="DT216" s="61"/>
      <c r="DU216" s="61"/>
      <c r="DV216" s="61"/>
      <c r="DW216" s="61"/>
      <c r="DX216" s="61"/>
      <c r="DY216" s="61"/>
      <c r="DZ216" s="61"/>
      <c r="EA216" s="61"/>
      <c r="EB216" s="61"/>
      <c r="EC216" s="61"/>
      <c r="ED216" s="61"/>
      <c r="EE216" s="61"/>
      <c r="EF216" s="61"/>
      <c r="EG216" s="61"/>
      <c r="EH216" s="61"/>
      <c r="EI216" s="61"/>
      <c r="EJ216" s="61"/>
      <c r="EK216" s="61"/>
      <c r="EL216" s="61"/>
      <c r="EM216" s="61"/>
      <c r="EN216" s="61"/>
      <c r="EO216" s="61"/>
      <c r="EP216" s="61"/>
      <c r="EQ216" s="61"/>
      <c r="ER216" s="61"/>
      <c r="ES216" s="61"/>
      <c r="ET216" s="61"/>
      <c r="EU216" s="61"/>
      <c r="EV216" s="61"/>
      <c r="EW216" s="61"/>
    </row>
    <row r="217" spans="1:153">
      <c r="A217" s="56">
        <v>33178</v>
      </c>
      <c r="B217" s="57"/>
      <c r="C217" s="7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71"/>
      <c r="P217" s="60">
        <v>177.62899999999999</v>
      </c>
      <c r="Q217" s="61">
        <v>9.1120000000000001</v>
      </c>
      <c r="R217" s="61">
        <v>220.256</v>
      </c>
      <c r="S217" s="61">
        <v>459.56400000000002</v>
      </c>
      <c r="T217" s="61">
        <v>219.084</v>
      </c>
      <c r="U217" s="61">
        <v>13.805</v>
      </c>
      <c r="V217" s="61">
        <v>4.0140000000000002</v>
      </c>
      <c r="W217" s="61">
        <v>2.4049999999999998</v>
      </c>
      <c r="X217" s="61">
        <v>177.62899999999999</v>
      </c>
      <c r="Y217" s="61">
        <v>33.515000000000001</v>
      </c>
      <c r="Z217" s="61">
        <v>9.1120000000000001</v>
      </c>
      <c r="AA217" s="61">
        <v>220.256</v>
      </c>
      <c r="AB217" s="60">
        <v>459.56400000000002</v>
      </c>
      <c r="AC217" s="62"/>
      <c r="AD217" s="61"/>
      <c r="AE217" s="61"/>
      <c r="AF217" s="61"/>
      <c r="AG217" s="61"/>
      <c r="AH217" s="61"/>
      <c r="AI217" s="61"/>
      <c r="AJ217" s="61"/>
      <c r="AK217" s="62"/>
      <c r="AL217" s="63"/>
      <c r="AM217" s="64"/>
      <c r="AN217" s="65" t="e">
        <v>#N/A</v>
      </c>
      <c r="AO217" s="61" t="e">
        <v>#N/A</v>
      </c>
      <c r="AP217" s="61" t="e">
        <v>#N/A</v>
      </c>
      <c r="AQ217" s="61" t="e">
        <v>#N/A</v>
      </c>
      <c r="AR217" s="61" t="e">
        <v>#N/A</v>
      </c>
      <c r="AS217" s="61" t="e">
        <v>#N/A</v>
      </c>
      <c r="AT217" s="61" t="e">
        <v>#N/A</v>
      </c>
      <c r="AU217" s="61" t="e">
        <v>#N/A</v>
      </c>
      <c r="AV217" s="61" t="e">
        <v>#N/A</v>
      </c>
      <c r="AW217" s="61" t="e">
        <v>#N/A</v>
      </c>
      <c r="AX217" s="65" t="e">
        <v>#N/A</v>
      </c>
      <c r="AY217" s="66">
        <v>0.45200000000000001</v>
      </c>
      <c r="AZ217" s="61">
        <v>3.8290000000000002</v>
      </c>
      <c r="BA217" s="61">
        <v>47.670999999999999</v>
      </c>
      <c r="BB217" s="61">
        <v>51.953000000000003</v>
      </c>
      <c r="BC217" s="61">
        <v>0.10299999999999999</v>
      </c>
      <c r="BD217" s="61">
        <v>0.23</v>
      </c>
      <c r="BE217" s="61">
        <v>1.2E-2</v>
      </c>
      <c r="BF217" s="61" t="s">
        <v>122</v>
      </c>
      <c r="BG217" s="61">
        <v>5.3949999999999996</v>
      </c>
      <c r="BH217" s="61">
        <v>2.2789999999999999</v>
      </c>
      <c r="BI217" s="61">
        <v>4.1000000000000002E-2</v>
      </c>
      <c r="BJ217" s="61">
        <v>7.7149999999999999</v>
      </c>
      <c r="BK217" s="66">
        <v>8.06</v>
      </c>
      <c r="BL217" s="67">
        <v>4.9660000000000002</v>
      </c>
      <c r="BM217" s="61" t="s">
        <v>121</v>
      </c>
      <c r="BN217" s="61" t="s">
        <v>121</v>
      </c>
      <c r="BO217" s="61" t="s">
        <v>121</v>
      </c>
      <c r="BP217" s="61">
        <v>4.9660000000000002</v>
      </c>
      <c r="BQ217" s="61">
        <v>216.756</v>
      </c>
      <c r="BR217" s="61">
        <v>12.967000000000001</v>
      </c>
      <c r="BS217" s="61">
        <v>0.17</v>
      </c>
      <c r="BT217" s="61">
        <v>2.4049999999999998</v>
      </c>
      <c r="BU217" s="61">
        <v>10.1</v>
      </c>
      <c r="BV217" s="61">
        <v>15.432</v>
      </c>
      <c r="BW217" s="61">
        <v>25.532</v>
      </c>
      <c r="BX217" s="67">
        <v>257.83</v>
      </c>
      <c r="BY217" s="68">
        <v>87448</v>
      </c>
      <c r="BZ217" s="68">
        <v>92806</v>
      </c>
      <c r="CA217" s="69">
        <v>7141</v>
      </c>
      <c r="CB217" s="68">
        <v>132407</v>
      </c>
      <c r="CC217" s="68">
        <v>5646</v>
      </c>
      <c r="CD217" s="61"/>
      <c r="CE217" s="64"/>
      <c r="CF217" s="64"/>
      <c r="CG217" s="70">
        <f t="shared" si="16"/>
        <v>5561.0940000000001</v>
      </c>
      <c r="CH217" s="70">
        <f t="shared" si="17"/>
        <v>299.92200000000003</v>
      </c>
      <c r="CI217" s="70">
        <f t="shared" si="18"/>
        <v>237.13200000000001</v>
      </c>
      <c r="CJ217" s="70">
        <f t="shared" si="20"/>
        <v>3672.8159999999998</v>
      </c>
      <c r="CK217" s="70">
        <f t="shared" si="20"/>
        <v>3897.8519999999999</v>
      </c>
      <c r="CL217" s="70">
        <f t="shared" si="19"/>
        <v>237.13200000000001</v>
      </c>
      <c r="CM217" s="61"/>
      <c r="CN217" s="61"/>
      <c r="CO217" s="61"/>
      <c r="CP217" s="61"/>
      <c r="CQ217" s="61"/>
      <c r="CR217" s="61"/>
      <c r="CS217" s="61"/>
      <c r="CT217" s="61"/>
      <c r="CU217" s="61"/>
      <c r="CV217" s="61"/>
      <c r="CW217" s="61"/>
      <c r="CX217" s="61"/>
      <c r="CY217" s="61"/>
      <c r="CZ217" s="61"/>
      <c r="DA217" s="61"/>
      <c r="DB217" s="61"/>
      <c r="DC217" s="61"/>
      <c r="DD217" s="61"/>
      <c r="DE217" s="61"/>
      <c r="DF217" s="61"/>
      <c r="DG217" s="61"/>
      <c r="DH217" s="61"/>
      <c r="DI217" s="61"/>
      <c r="DJ217" s="61"/>
      <c r="DK217" s="61"/>
      <c r="DL217" s="61"/>
      <c r="DM217" s="61"/>
      <c r="DN217" s="61"/>
      <c r="DO217" s="61"/>
      <c r="DP217" s="61"/>
      <c r="DQ217" s="61"/>
      <c r="DR217" s="61"/>
      <c r="DS217" s="61"/>
      <c r="DT217" s="61"/>
      <c r="DU217" s="61"/>
      <c r="DV217" s="61"/>
      <c r="DW217" s="61"/>
      <c r="DX217" s="61"/>
      <c r="DY217" s="61"/>
      <c r="DZ217" s="61"/>
      <c r="EA217" s="61"/>
      <c r="EB217" s="61"/>
      <c r="EC217" s="61"/>
      <c r="ED217" s="61"/>
      <c r="EE217" s="61"/>
      <c r="EF217" s="61"/>
      <c r="EG217" s="61"/>
      <c r="EH217" s="61"/>
      <c r="EI217" s="61"/>
      <c r="EJ217" s="61"/>
      <c r="EK217" s="61"/>
      <c r="EL217" s="61"/>
      <c r="EM217" s="61"/>
      <c r="EN217" s="61"/>
      <c r="EO217" s="61"/>
      <c r="EP217" s="61"/>
      <c r="EQ217" s="61"/>
      <c r="ER217" s="61"/>
      <c r="ES217" s="61"/>
      <c r="ET217" s="61"/>
      <c r="EU217" s="61"/>
      <c r="EV217" s="61"/>
      <c r="EW217" s="61"/>
    </row>
    <row r="218" spans="1:153">
      <c r="A218" s="56">
        <v>33208</v>
      </c>
      <c r="B218" s="57"/>
      <c r="C218" s="7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71"/>
      <c r="P218" s="60">
        <v>202.36199999999999</v>
      </c>
      <c r="Q218" s="61">
        <v>9.4160000000000004</v>
      </c>
      <c r="R218" s="61">
        <v>245.64400000000001</v>
      </c>
      <c r="S218" s="61">
        <v>528.92600000000004</v>
      </c>
      <c r="T218" s="61">
        <v>263.52499999999998</v>
      </c>
      <c r="U218" s="61">
        <v>14.667999999999999</v>
      </c>
      <c r="V218" s="61">
        <v>3.85</v>
      </c>
      <c r="W218" s="61">
        <v>1.2390000000000001</v>
      </c>
      <c r="X218" s="61">
        <v>202.36199999999999</v>
      </c>
      <c r="Y218" s="61">
        <v>33.866</v>
      </c>
      <c r="Z218" s="61">
        <v>9.4160000000000004</v>
      </c>
      <c r="AA218" s="61">
        <v>245.64400000000001</v>
      </c>
      <c r="AB218" s="60">
        <v>528.92600000000004</v>
      </c>
      <c r="AC218" s="62"/>
      <c r="AD218" s="61"/>
      <c r="AE218" s="61"/>
      <c r="AF218" s="61"/>
      <c r="AG218" s="61"/>
      <c r="AH218" s="61"/>
      <c r="AI218" s="61"/>
      <c r="AJ218" s="61"/>
      <c r="AK218" s="62"/>
      <c r="AL218" s="63"/>
      <c r="AM218" s="64"/>
      <c r="AN218" s="65" t="e">
        <v>#N/A</v>
      </c>
      <c r="AO218" s="61" t="e">
        <v>#N/A</v>
      </c>
      <c r="AP218" s="61" t="e">
        <v>#N/A</v>
      </c>
      <c r="AQ218" s="61" t="e">
        <v>#N/A</v>
      </c>
      <c r="AR218" s="61" t="e">
        <v>#N/A</v>
      </c>
      <c r="AS218" s="61" t="e">
        <v>#N/A</v>
      </c>
      <c r="AT218" s="61" t="e">
        <v>#N/A</v>
      </c>
      <c r="AU218" s="61" t="e">
        <v>#N/A</v>
      </c>
      <c r="AV218" s="61" t="e">
        <v>#N/A</v>
      </c>
      <c r="AW218" s="61" t="e">
        <v>#N/A</v>
      </c>
      <c r="AX218" s="65" t="e">
        <v>#N/A</v>
      </c>
      <c r="AY218" s="66">
        <v>0.46700000000000003</v>
      </c>
      <c r="AZ218" s="61">
        <v>3.6349999999999998</v>
      </c>
      <c r="BA218" s="61">
        <v>49.26</v>
      </c>
      <c r="BB218" s="61">
        <v>53.362000000000002</v>
      </c>
      <c r="BC218" s="61">
        <v>0.124</v>
      </c>
      <c r="BD218" s="61">
        <v>0.23799999999999999</v>
      </c>
      <c r="BE218" s="61">
        <v>1.0999999999999999E-2</v>
      </c>
      <c r="BF218" s="61" t="s">
        <v>122</v>
      </c>
      <c r="BG218" s="61">
        <v>5.6070000000000002</v>
      </c>
      <c r="BH218" s="61">
        <v>2.2719999999999998</v>
      </c>
      <c r="BI218" s="61">
        <v>4.2000000000000003E-2</v>
      </c>
      <c r="BJ218" s="61">
        <v>7.9219999999999997</v>
      </c>
      <c r="BK218" s="66">
        <v>8.2949999999999999</v>
      </c>
      <c r="BL218" s="67">
        <v>5.1319999999999997</v>
      </c>
      <c r="BM218" s="61" t="s">
        <v>121</v>
      </c>
      <c r="BN218" s="61" t="s">
        <v>121</v>
      </c>
      <c r="BO218" s="61" t="s">
        <v>121</v>
      </c>
      <c r="BP218" s="61">
        <v>5.1319999999999997</v>
      </c>
      <c r="BQ218" s="61">
        <v>260.72399999999999</v>
      </c>
      <c r="BR218" s="61">
        <v>13.802</v>
      </c>
      <c r="BS218" s="61">
        <v>0.20100000000000001</v>
      </c>
      <c r="BT218" s="61">
        <v>1.2390000000000001</v>
      </c>
      <c r="BU218" s="61">
        <v>12.362</v>
      </c>
      <c r="BV218" s="61">
        <v>15.385999999999999</v>
      </c>
      <c r="BW218" s="61">
        <v>27.748000000000001</v>
      </c>
      <c r="BX218" s="67">
        <v>303.714</v>
      </c>
      <c r="BY218" s="68">
        <v>90435</v>
      </c>
      <c r="BZ218" s="68">
        <v>87295</v>
      </c>
      <c r="CA218" s="69">
        <v>7413</v>
      </c>
      <c r="CB218" s="68">
        <v>132204</v>
      </c>
      <c r="CC218" s="68">
        <v>10756</v>
      </c>
      <c r="CD218" s="61"/>
      <c r="CE218" s="64"/>
      <c r="CF218" s="64"/>
      <c r="CG218" s="70">
        <f t="shared" si="16"/>
        <v>5552.5680000000002</v>
      </c>
      <c r="CH218" s="70">
        <f t="shared" si="17"/>
        <v>311.346</v>
      </c>
      <c r="CI218" s="70">
        <f t="shared" si="18"/>
        <v>451.75200000000001</v>
      </c>
      <c r="CJ218" s="70">
        <f t="shared" si="20"/>
        <v>3798.27</v>
      </c>
      <c r="CK218" s="70">
        <f t="shared" si="20"/>
        <v>3666.39</v>
      </c>
      <c r="CL218" s="70">
        <f t="shared" si="19"/>
        <v>451.75200000000001</v>
      </c>
      <c r="CM218" s="61"/>
      <c r="CN218" s="61"/>
      <c r="CO218" s="61"/>
      <c r="CP218" s="61"/>
      <c r="CQ218" s="61"/>
      <c r="CR218" s="61"/>
      <c r="CS218" s="61"/>
      <c r="CT218" s="61"/>
      <c r="CU218" s="61"/>
      <c r="CV218" s="61"/>
      <c r="CW218" s="61"/>
      <c r="CX218" s="61"/>
      <c r="CY218" s="61"/>
      <c r="CZ218" s="61"/>
      <c r="DA218" s="61"/>
      <c r="DB218" s="61"/>
      <c r="DC218" s="61"/>
      <c r="DD218" s="61"/>
      <c r="DE218" s="61"/>
      <c r="DF218" s="61"/>
      <c r="DG218" s="61"/>
      <c r="DH218" s="61"/>
      <c r="DI218" s="61"/>
      <c r="DJ218" s="61"/>
      <c r="DK218" s="61"/>
      <c r="DL218" s="61"/>
      <c r="DM218" s="61"/>
      <c r="DN218" s="61"/>
      <c r="DO218" s="61"/>
      <c r="DP218" s="61"/>
      <c r="DQ218" s="61"/>
      <c r="DR218" s="61"/>
      <c r="DS218" s="61"/>
      <c r="DT218" s="61"/>
      <c r="DU218" s="61"/>
      <c r="DV218" s="61"/>
      <c r="DW218" s="61"/>
      <c r="DX218" s="61"/>
      <c r="DY218" s="61"/>
      <c r="DZ218" s="61"/>
      <c r="EA218" s="61"/>
      <c r="EB218" s="61"/>
      <c r="EC218" s="61"/>
      <c r="ED218" s="61"/>
      <c r="EE218" s="61"/>
      <c r="EF218" s="61"/>
      <c r="EG218" s="61"/>
      <c r="EH218" s="61"/>
      <c r="EI218" s="61"/>
      <c r="EJ218" s="61"/>
      <c r="EK218" s="61"/>
      <c r="EL218" s="61"/>
      <c r="EM218" s="61"/>
      <c r="EN218" s="61"/>
      <c r="EO218" s="61"/>
      <c r="EP218" s="61"/>
      <c r="EQ218" s="61"/>
      <c r="ER218" s="61"/>
      <c r="ES218" s="61"/>
      <c r="ET218" s="61"/>
      <c r="EU218" s="61"/>
      <c r="EV218" s="61"/>
      <c r="EW218" s="61"/>
    </row>
    <row r="219" spans="1:153">
      <c r="A219" s="56">
        <v>33239</v>
      </c>
      <c r="B219" s="57"/>
      <c r="C219" s="7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71"/>
      <c r="P219" s="60">
        <v>221.773</v>
      </c>
      <c r="Q219" s="61">
        <v>10.871</v>
      </c>
      <c r="R219" s="61">
        <v>269.53100000000001</v>
      </c>
      <c r="S219" s="61">
        <v>569.476</v>
      </c>
      <c r="T219" s="61">
        <v>280.572</v>
      </c>
      <c r="U219" s="61">
        <v>15.446</v>
      </c>
      <c r="V219" s="61">
        <v>3.278</v>
      </c>
      <c r="W219" s="61">
        <v>0.64800000000000002</v>
      </c>
      <c r="X219" s="61">
        <v>221.773</v>
      </c>
      <c r="Y219" s="61">
        <v>36.887</v>
      </c>
      <c r="Z219" s="61">
        <v>10.871</v>
      </c>
      <c r="AA219" s="61">
        <v>269.53100000000001</v>
      </c>
      <c r="AB219" s="60">
        <v>569.476</v>
      </c>
      <c r="AC219" s="62"/>
      <c r="AD219" s="61"/>
      <c r="AE219" s="61"/>
      <c r="AF219" s="61"/>
      <c r="AG219" s="61"/>
      <c r="AH219" s="61"/>
      <c r="AI219" s="61"/>
      <c r="AJ219" s="61"/>
      <c r="AK219" s="62"/>
      <c r="AL219" s="63"/>
      <c r="AM219" s="64"/>
      <c r="AN219" s="65" t="e">
        <v>#N/A</v>
      </c>
      <c r="AO219" s="61" t="e">
        <v>#N/A</v>
      </c>
      <c r="AP219" s="61" t="e">
        <v>#N/A</v>
      </c>
      <c r="AQ219" s="61" t="e">
        <v>#N/A</v>
      </c>
      <c r="AR219" s="61" t="e">
        <v>#N/A</v>
      </c>
      <c r="AS219" s="61" t="e">
        <v>#N/A</v>
      </c>
      <c r="AT219" s="61" t="e">
        <v>#N/A</v>
      </c>
      <c r="AU219" s="61" t="e">
        <v>#N/A</v>
      </c>
      <c r="AV219" s="61" t="e">
        <v>#N/A</v>
      </c>
      <c r="AW219" s="61" t="e">
        <v>#N/A</v>
      </c>
      <c r="AX219" s="65" t="e">
        <v>#N/A</v>
      </c>
      <c r="AY219" s="66">
        <v>0.501</v>
      </c>
      <c r="AZ219" s="61">
        <v>3.0579999999999998</v>
      </c>
      <c r="BA219" s="61">
        <v>51.808</v>
      </c>
      <c r="BB219" s="61">
        <v>55.366999999999997</v>
      </c>
      <c r="BC219" s="61">
        <v>0.127</v>
      </c>
      <c r="BD219" s="61">
        <v>0.255</v>
      </c>
      <c r="BE219" s="61">
        <v>0.01</v>
      </c>
      <c r="BF219" s="61" t="s">
        <v>122</v>
      </c>
      <c r="BG219" s="61">
        <v>5.87</v>
      </c>
      <c r="BH219" s="61">
        <v>2.2080000000000002</v>
      </c>
      <c r="BI219" s="61">
        <v>3.7999999999999999E-2</v>
      </c>
      <c r="BJ219" s="61">
        <v>8.1159999999999997</v>
      </c>
      <c r="BK219" s="66">
        <v>8.5079999999999991</v>
      </c>
      <c r="BL219" s="67">
        <v>5.9530000000000003</v>
      </c>
      <c r="BM219" s="61" t="s">
        <v>121</v>
      </c>
      <c r="BN219" s="61" t="s">
        <v>121</v>
      </c>
      <c r="BO219" s="61" t="s">
        <v>121</v>
      </c>
      <c r="BP219" s="61">
        <v>5.9530000000000003</v>
      </c>
      <c r="BQ219" s="61">
        <v>277.68400000000003</v>
      </c>
      <c r="BR219" s="61">
        <v>14.512</v>
      </c>
      <c r="BS219" s="61">
        <v>0.20799999999999999</v>
      </c>
      <c r="BT219" s="61">
        <v>0.64800000000000002</v>
      </c>
      <c r="BU219" s="61">
        <v>14.208</v>
      </c>
      <c r="BV219" s="61">
        <v>19.053000000000001</v>
      </c>
      <c r="BW219" s="61">
        <v>33.261000000000003</v>
      </c>
      <c r="BX219" s="67">
        <v>326.31299999999999</v>
      </c>
      <c r="BY219" s="68">
        <v>88210</v>
      </c>
      <c r="BZ219" s="68">
        <v>104371</v>
      </c>
      <c r="CA219" s="69">
        <v>5953</v>
      </c>
      <c r="CB219" s="68">
        <v>111697</v>
      </c>
      <c r="CC219" s="68">
        <v>10299</v>
      </c>
      <c r="CD219" s="61"/>
      <c r="CE219" s="64"/>
      <c r="CF219" s="64"/>
      <c r="CG219" s="70">
        <f t="shared" si="16"/>
        <v>4691.2740000000003</v>
      </c>
      <c r="CH219" s="70">
        <f t="shared" si="17"/>
        <v>250.02600000000001</v>
      </c>
      <c r="CI219" s="70">
        <f t="shared" si="18"/>
        <v>432.55799999999999</v>
      </c>
      <c r="CJ219" s="70">
        <f t="shared" si="20"/>
        <v>3704.82</v>
      </c>
      <c r="CK219" s="70">
        <f t="shared" si="20"/>
        <v>4383.5820000000003</v>
      </c>
      <c r="CL219" s="70">
        <f t="shared" si="19"/>
        <v>432.55799999999999</v>
      </c>
      <c r="CM219" s="61"/>
      <c r="CN219" s="61"/>
      <c r="CO219" s="61"/>
      <c r="CP219" s="61"/>
      <c r="CQ219" s="61"/>
      <c r="CR219" s="61"/>
      <c r="CS219" s="61"/>
      <c r="CT219" s="61"/>
      <c r="CU219" s="61"/>
      <c r="CV219" s="61"/>
      <c r="CW219" s="61"/>
      <c r="CX219" s="61"/>
      <c r="CY219" s="61"/>
      <c r="CZ219" s="61"/>
      <c r="DA219" s="61"/>
      <c r="DB219" s="61"/>
      <c r="DC219" s="61"/>
      <c r="DD219" s="61"/>
      <c r="DE219" s="61"/>
      <c r="DF219" s="61"/>
      <c r="DG219" s="61"/>
      <c r="DH219" s="61"/>
      <c r="DI219" s="61"/>
      <c r="DJ219" s="61"/>
      <c r="DK219" s="61"/>
      <c r="DL219" s="61"/>
      <c r="DM219" s="61"/>
      <c r="DN219" s="61"/>
      <c r="DO219" s="61"/>
      <c r="DP219" s="61"/>
      <c r="DQ219" s="61"/>
      <c r="DR219" s="61"/>
      <c r="DS219" s="61"/>
      <c r="DT219" s="61"/>
      <c r="DU219" s="61"/>
      <c r="DV219" s="61"/>
      <c r="DW219" s="61"/>
      <c r="DX219" s="61"/>
      <c r="DY219" s="61"/>
      <c r="DZ219" s="61"/>
      <c r="EA219" s="61"/>
      <c r="EB219" s="61"/>
      <c r="EC219" s="61"/>
      <c r="ED219" s="61"/>
      <c r="EE219" s="61"/>
      <c r="EF219" s="61"/>
      <c r="EG219" s="61"/>
      <c r="EH219" s="61"/>
      <c r="EI219" s="61"/>
      <c r="EJ219" s="61"/>
      <c r="EK219" s="61"/>
      <c r="EL219" s="61"/>
      <c r="EM219" s="61"/>
      <c r="EN219" s="61"/>
      <c r="EO219" s="61"/>
      <c r="EP219" s="61"/>
      <c r="EQ219" s="61"/>
      <c r="ER219" s="61"/>
      <c r="ES219" s="61"/>
      <c r="ET219" s="61"/>
      <c r="EU219" s="61"/>
      <c r="EV219" s="61"/>
      <c r="EW219" s="61"/>
    </row>
    <row r="220" spans="1:153">
      <c r="A220" s="56">
        <v>33270</v>
      </c>
      <c r="B220" s="57"/>
      <c r="C220" s="7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71"/>
      <c r="P220" s="60">
        <v>161.58600000000001</v>
      </c>
      <c r="Q220" s="61">
        <v>9.8190000000000008</v>
      </c>
      <c r="R220" s="61">
        <v>204.535</v>
      </c>
      <c r="S220" s="61">
        <v>465.11500000000001</v>
      </c>
      <c r="T220" s="61">
        <v>240.524</v>
      </c>
      <c r="U220" s="61">
        <v>13.497</v>
      </c>
      <c r="V220" s="61">
        <v>3.5339999999999998</v>
      </c>
      <c r="W220" s="61">
        <v>3.0259999999999998</v>
      </c>
      <c r="X220" s="61">
        <v>161.58600000000001</v>
      </c>
      <c r="Y220" s="61">
        <v>33.128999999999998</v>
      </c>
      <c r="Z220" s="61">
        <v>9.8190000000000008</v>
      </c>
      <c r="AA220" s="61">
        <v>204.535</v>
      </c>
      <c r="AB220" s="60">
        <v>465.11500000000001</v>
      </c>
      <c r="AC220" s="62"/>
      <c r="AD220" s="61"/>
      <c r="AE220" s="61"/>
      <c r="AF220" s="61"/>
      <c r="AG220" s="61"/>
      <c r="AH220" s="61"/>
      <c r="AI220" s="61"/>
      <c r="AJ220" s="61"/>
      <c r="AK220" s="62"/>
      <c r="AL220" s="63"/>
      <c r="AM220" s="64"/>
      <c r="AN220" s="65" t="e">
        <v>#N/A</v>
      </c>
      <c r="AO220" s="61" t="e">
        <v>#N/A</v>
      </c>
      <c r="AP220" s="61" t="e">
        <v>#N/A</v>
      </c>
      <c r="AQ220" s="61" t="e">
        <v>#N/A</v>
      </c>
      <c r="AR220" s="61" t="e">
        <v>#N/A</v>
      </c>
      <c r="AS220" s="61" t="e">
        <v>#N/A</v>
      </c>
      <c r="AT220" s="61" t="e">
        <v>#N/A</v>
      </c>
      <c r="AU220" s="61" t="e">
        <v>#N/A</v>
      </c>
      <c r="AV220" s="61" t="e">
        <v>#N/A</v>
      </c>
      <c r="AW220" s="61" t="e">
        <v>#N/A</v>
      </c>
      <c r="AX220" s="65" t="e">
        <v>#N/A</v>
      </c>
      <c r="AY220" s="66">
        <v>0.45300000000000001</v>
      </c>
      <c r="AZ220" s="61">
        <v>3.2959999999999998</v>
      </c>
      <c r="BA220" s="61">
        <v>46.795000000000002</v>
      </c>
      <c r="BB220" s="61">
        <v>50.542999999999999</v>
      </c>
      <c r="BC220" s="61">
        <v>0.109</v>
      </c>
      <c r="BD220" s="61">
        <v>0.23</v>
      </c>
      <c r="BE220" s="61">
        <v>1.0999999999999999E-2</v>
      </c>
      <c r="BF220" s="61" t="s">
        <v>122</v>
      </c>
      <c r="BG220" s="61">
        <v>5.2359999999999998</v>
      </c>
      <c r="BH220" s="61">
        <v>1.9770000000000001</v>
      </c>
      <c r="BI220" s="61">
        <v>3.4000000000000002E-2</v>
      </c>
      <c r="BJ220" s="61">
        <v>7.2469999999999999</v>
      </c>
      <c r="BK220" s="66">
        <v>7.5970000000000004</v>
      </c>
      <c r="BL220" s="67">
        <v>5.3769999999999998</v>
      </c>
      <c r="BM220" s="61" t="s">
        <v>121</v>
      </c>
      <c r="BN220" s="61" t="s">
        <v>121</v>
      </c>
      <c r="BO220" s="61" t="s">
        <v>121</v>
      </c>
      <c r="BP220" s="61">
        <v>5.3769999999999998</v>
      </c>
      <c r="BQ220" s="61">
        <v>238.04900000000001</v>
      </c>
      <c r="BR220" s="61">
        <v>12.653</v>
      </c>
      <c r="BS220" s="61">
        <v>0.224</v>
      </c>
      <c r="BT220" s="61">
        <v>3.0259999999999998</v>
      </c>
      <c r="BU220" s="61">
        <v>8.7870000000000008</v>
      </c>
      <c r="BV220" s="61">
        <v>17.062000000000001</v>
      </c>
      <c r="BW220" s="61">
        <v>25.849</v>
      </c>
      <c r="BX220" s="67">
        <v>279.8</v>
      </c>
      <c r="BY220" s="68">
        <v>80354</v>
      </c>
      <c r="BZ220" s="68">
        <v>83323</v>
      </c>
      <c r="CA220" s="69">
        <v>3902</v>
      </c>
      <c r="CB220" s="68">
        <v>101639</v>
      </c>
      <c r="CC220" s="68">
        <v>10991</v>
      </c>
      <c r="CD220" s="61"/>
      <c r="CE220" s="64"/>
      <c r="CF220" s="64"/>
      <c r="CG220" s="70">
        <f t="shared" si="16"/>
        <v>4268.8379999999997</v>
      </c>
      <c r="CH220" s="70">
        <f t="shared" si="17"/>
        <v>163.88399999999999</v>
      </c>
      <c r="CI220" s="70">
        <f t="shared" si="18"/>
        <v>461.62200000000001</v>
      </c>
      <c r="CJ220" s="70">
        <f t="shared" si="20"/>
        <v>3374.8679999999999</v>
      </c>
      <c r="CK220" s="70">
        <f t="shared" si="20"/>
        <v>3499.5659999999998</v>
      </c>
      <c r="CL220" s="70">
        <f t="shared" si="19"/>
        <v>461.62200000000001</v>
      </c>
      <c r="CM220" s="61"/>
      <c r="CN220" s="61"/>
      <c r="CO220" s="61"/>
      <c r="CP220" s="61"/>
      <c r="CQ220" s="61"/>
      <c r="CR220" s="61"/>
      <c r="CS220" s="61"/>
      <c r="CT220" s="61"/>
      <c r="CU220" s="61"/>
      <c r="CV220" s="61"/>
      <c r="CW220" s="61"/>
      <c r="CX220" s="61"/>
      <c r="CY220" s="61"/>
      <c r="CZ220" s="61"/>
      <c r="DA220" s="61"/>
      <c r="DB220" s="61"/>
      <c r="DC220" s="61"/>
      <c r="DD220" s="61"/>
      <c r="DE220" s="61"/>
      <c r="DF220" s="61"/>
      <c r="DG220" s="61"/>
      <c r="DH220" s="61"/>
      <c r="DI220" s="61"/>
      <c r="DJ220" s="61"/>
      <c r="DK220" s="61"/>
      <c r="DL220" s="61"/>
      <c r="DM220" s="61"/>
      <c r="DN220" s="61"/>
      <c r="DO220" s="61"/>
      <c r="DP220" s="61"/>
      <c r="DQ220" s="61"/>
      <c r="DR220" s="61"/>
      <c r="DS220" s="61"/>
      <c r="DT220" s="61"/>
      <c r="DU220" s="61"/>
      <c r="DV220" s="61"/>
      <c r="DW220" s="61"/>
      <c r="DX220" s="61"/>
      <c r="DY220" s="61"/>
      <c r="DZ220" s="61"/>
      <c r="EA220" s="61"/>
      <c r="EB220" s="61"/>
      <c r="EC220" s="61"/>
      <c r="ED220" s="61"/>
      <c r="EE220" s="61"/>
      <c r="EF220" s="61"/>
      <c r="EG220" s="61"/>
      <c r="EH220" s="61"/>
      <c r="EI220" s="61"/>
      <c r="EJ220" s="61"/>
      <c r="EK220" s="61"/>
      <c r="EL220" s="61"/>
      <c r="EM220" s="61"/>
      <c r="EN220" s="61"/>
      <c r="EO220" s="61"/>
      <c r="EP220" s="61"/>
      <c r="EQ220" s="61"/>
      <c r="ER220" s="61"/>
      <c r="ES220" s="61"/>
      <c r="ET220" s="61"/>
      <c r="EU220" s="61"/>
      <c r="EV220" s="61"/>
      <c r="EW220" s="61"/>
    </row>
    <row r="221" spans="1:153">
      <c r="A221" s="56">
        <v>33298</v>
      </c>
      <c r="B221" s="57"/>
      <c r="C221" s="7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71"/>
      <c r="P221" s="60">
        <v>165.815</v>
      </c>
      <c r="Q221" s="61">
        <v>10.871</v>
      </c>
      <c r="R221" s="61">
        <v>214.374</v>
      </c>
      <c r="S221" s="61">
        <v>519.10699999999997</v>
      </c>
      <c r="T221" s="61">
        <v>282.56599999999997</v>
      </c>
      <c r="U221" s="61">
        <v>15.382</v>
      </c>
      <c r="V221" s="61">
        <v>4.6239999999999997</v>
      </c>
      <c r="W221" s="61">
        <v>2.161</v>
      </c>
      <c r="X221" s="61">
        <v>165.815</v>
      </c>
      <c r="Y221" s="61">
        <v>37.688000000000002</v>
      </c>
      <c r="Z221" s="61">
        <v>10.871</v>
      </c>
      <c r="AA221" s="61">
        <v>214.374</v>
      </c>
      <c r="AB221" s="60">
        <v>519.10699999999997</v>
      </c>
      <c r="AC221" s="62"/>
      <c r="AD221" s="61"/>
      <c r="AE221" s="61"/>
      <c r="AF221" s="61"/>
      <c r="AG221" s="61"/>
      <c r="AH221" s="61"/>
      <c r="AI221" s="61"/>
      <c r="AJ221" s="61"/>
      <c r="AK221" s="62"/>
      <c r="AL221" s="63"/>
      <c r="AM221" s="64"/>
      <c r="AN221" s="65" t="e">
        <v>#N/A</v>
      </c>
      <c r="AO221" s="61" t="e">
        <v>#N/A</v>
      </c>
      <c r="AP221" s="61" t="e">
        <v>#N/A</v>
      </c>
      <c r="AQ221" s="61" t="e">
        <v>#N/A</v>
      </c>
      <c r="AR221" s="61" t="e">
        <v>#N/A</v>
      </c>
      <c r="AS221" s="61" t="e">
        <v>#N/A</v>
      </c>
      <c r="AT221" s="61" t="e">
        <v>#N/A</v>
      </c>
      <c r="AU221" s="61" t="e">
        <v>#N/A</v>
      </c>
      <c r="AV221" s="61" t="e">
        <v>#N/A</v>
      </c>
      <c r="AW221" s="61" t="e">
        <v>#N/A</v>
      </c>
      <c r="AX221" s="65" t="e">
        <v>#N/A</v>
      </c>
      <c r="AY221" s="66">
        <v>0.501</v>
      </c>
      <c r="AZ221" s="61">
        <v>4.5419999999999998</v>
      </c>
      <c r="BA221" s="61">
        <v>51.808</v>
      </c>
      <c r="BB221" s="61">
        <v>56.850999999999999</v>
      </c>
      <c r="BC221" s="61">
        <v>0.128</v>
      </c>
      <c r="BD221" s="61">
        <v>0.255</v>
      </c>
      <c r="BE221" s="61">
        <v>1.4999999999999999E-2</v>
      </c>
      <c r="BF221" s="61" t="s">
        <v>122</v>
      </c>
      <c r="BG221" s="61">
        <v>5.7750000000000004</v>
      </c>
      <c r="BH221" s="61">
        <v>2.2799999999999998</v>
      </c>
      <c r="BI221" s="61">
        <v>3.7999999999999999E-2</v>
      </c>
      <c r="BJ221" s="61">
        <v>8.093</v>
      </c>
      <c r="BK221" s="66">
        <v>8.4909999999999997</v>
      </c>
      <c r="BL221" s="67">
        <v>5.9530000000000003</v>
      </c>
      <c r="BM221" s="61" t="s">
        <v>121</v>
      </c>
      <c r="BN221" s="61" t="s">
        <v>121</v>
      </c>
      <c r="BO221" s="61" t="s">
        <v>121</v>
      </c>
      <c r="BP221" s="61">
        <v>5.9530000000000003</v>
      </c>
      <c r="BQ221" s="61">
        <v>279.65800000000002</v>
      </c>
      <c r="BR221" s="61">
        <v>14.448</v>
      </c>
      <c r="BS221" s="61">
        <v>6.3E-2</v>
      </c>
      <c r="BT221" s="61">
        <v>2.161</v>
      </c>
      <c r="BU221" s="61">
        <v>8.3610000000000007</v>
      </c>
      <c r="BV221" s="61">
        <v>19.678999999999998</v>
      </c>
      <c r="BW221" s="61">
        <v>28.04</v>
      </c>
      <c r="BX221" s="67">
        <v>324.37</v>
      </c>
      <c r="BY221" s="68">
        <v>88821</v>
      </c>
      <c r="BZ221" s="68">
        <v>92517</v>
      </c>
      <c r="CA221" s="69">
        <v>6373</v>
      </c>
      <c r="CB221" s="68">
        <v>98179</v>
      </c>
      <c r="CC221" s="68">
        <v>6137</v>
      </c>
      <c r="CD221" s="61"/>
      <c r="CE221" s="64"/>
      <c r="CF221" s="64"/>
      <c r="CG221" s="70">
        <f t="shared" si="16"/>
        <v>4123.518</v>
      </c>
      <c r="CH221" s="70">
        <f t="shared" si="17"/>
        <v>267.666</v>
      </c>
      <c r="CI221" s="70">
        <f t="shared" si="18"/>
        <v>257.75400000000002</v>
      </c>
      <c r="CJ221" s="70">
        <f t="shared" si="20"/>
        <v>3730.482</v>
      </c>
      <c r="CK221" s="70">
        <f t="shared" si="20"/>
        <v>3885.7139999999999</v>
      </c>
      <c r="CL221" s="70">
        <f t="shared" si="19"/>
        <v>257.75400000000002</v>
      </c>
      <c r="CM221" s="61"/>
      <c r="CN221" s="61"/>
      <c r="CO221" s="61"/>
      <c r="CP221" s="61"/>
      <c r="CQ221" s="61"/>
      <c r="CR221" s="61"/>
      <c r="CS221" s="61"/>
      <c r="CT221" s="61"/>
      <c r="CU221" s="61"/>
      <c r="CV221" s="61"/>
      <c r="CW221" s="61"/>
      <c r="CX221" s="61"/>
      <c r="CY221" s="61"/>
      <c r="CZ221" s="61"/>
      <c r="DA221" s="61"/>
      <c r="DB221" s="61"/>
      <c r="DC221" s="61"/>
      <c r="DD221" s="61"/>
      <c r="DE221" s="61"/>
      <c r="DF221" s="61"/>
      <c r="DG221" s="61"/>
      <c r="DH221" s="61"/>
      <c r="DI221" s="61"/>
      <c r="DJ221" s="61"/>
      <c r="DK221" s="61"/>
      <c r="DL221" s="61"/>
      <c r="DM221" s="61"/>
      <c r="DN221" s="61"/>
      <c r="DO221" s="61"/>
      <c r="DP221" s="61"/>
      <c r="DQ221" s="61"/>
      <c r="DR221" s="61"/>
      <c r="DS221" s="61"/>
      <c r="DT221" s="61"/>
      <c r="DU221" s="61"/>
      <c r="DV221" s="61"/>
      <c r="DW221" s="61"/>
      <c r="DX221" s="61"/>
      <c r="DY221" s="61"/>
      <c r="DZ221" s="61"/>
      <c r="EA221" s="61"/>
      <c r="EB221" s="61"/>
      <c r="EC221" s="61"/>
      <c r="ED221" s="61"/>
      <c r="EE221" s="61"/>
      <c r="EF221" s="61"/>
      <c r="EG221" s="61"/>
      <c r="EH221" s="61"/>
      <c r="EI221" s="61"/>
      <c r="EJ221" s="61"/>
      <c r="EK221" s="61"/>
      <c r="EL221" s="61"/>
      <c r="EM221" s="61"/>
      <c r="EN221" s="61"/>
      <c r="EO221" s="61"/>
      <c r="EP221" s="61"/>
      <c r="EQ221" s="61"/>
      <c r="ER221" s="61"/>
      <c r="ES221" s="61"/>
      <c r="ET221" s="61"/>
      <c r="EU221" s="61"/>
      <c r="EV221" s="61"/>
      <c r="EW221" s="61"/>
    </row>
    <row r="222" spans="1:153">
      <c r="A222" s="56">
        <v>33329</v>
      </c>
      <c r="B222" s="57"/>
      <c r="C222" s="7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71"/>
      <c r="P222" s="60">
        <v>142.34800000000001</v>
      </c>
      <c r="Q222" s="61">
        <v>10.521000000000001</v>
      </c>
      <c r="R222" s="61">
        <v>190.452</v>
      </c>
      <c r="S222" s="61">
        <v>492.91</v>
      </c>
      <c r="T222" s="61">
        <v>281.00799999999998</v>
      </c>
      <c r="U222" s="61">
        <v>13.871</v>
      </c>
      <c r="V222" s="61">
        <v>5.0940000000000003</v>
      </c>
      <c r="W222" s="61">
        <v>2.4849999999999999</v>
      </c>
      <c r="X222" s="61">
        <v>142.34800000000001</v>
      </c>
      <c r="Y222" s="61">
        <v>37.582999999999998</v>
      </c>
      <c r="Z222" s="61">
        <v>10.521000000000001</v>
      </c>
      <c r="AA222" s="61">
        <v>190.452</v>
      </c>
      <c r="AB222" s="60">
        <v>492.91</v>
      </c>
      <c r="AC222" s="62"/>
      <c r="AD222" s="61"/>
      <c r="AE222" s="61"/>
      <c r="AF222" s="61"/>
      <c r="AG222" s="61"/>
      <c r="AH222" s="61"/>
      <c r="AI222" s="61"/>
      <c r="AJ222" s="61"/>
      <c r="AK222" s="62"/>
      <c r="AL222" s="63"/>
      <c r="AM222" s="64"/>
      <c r="AN222" s="65" t="e">
        <v>#N/A</v>
      </c>
      <c r="AO222" s="61" t="e">
        <v>#N/A</v>
      </c>
      <c r="AP222" s="61" t="e">
        <v>#N/A</v>
      </c>
      <c r="AQ222" s="61" t="e">
        <v>#N/A</v>
      </c>
      <c r="AR222" s="61" t="e">
        <v>#N/A</v>
      </c>
      <c r="AS222" s="61" t="e">
        <v>#N/A</v>
      </c>
      <c r="AT222" s="61" t="e">
        <v>#N/A</v>
      </c>
      <c r="AU222" s="61" t="e">
        <v>#N/A</v>
      </c>
      <c r="AV222" s="61" t="e">
        <v>#N/A</v>
      </c>
      <c r="AW222" s="61" t="e">
        <v>#N/A</v>
      </c>
      <c r="AX222" s="65" t="e">
        <v>#N/A</v>
      </c>
      <c r="AY222" s="66">
        <v>0.48499999999999999</v>
      </c>
      <c r="AZ222" s="61">
        <v>5.0060000000000002</v>
      </c>
      <c r="BA222" s="61">
        <v>50.137</v>
      </c>
      <c r="BB222" s="61">
        <v>55.628</v>
      </c>
      <c r="BC222" s="61">
        <v>0.128</v>
      </c>
      <c r="BD222" s="61">
        <v>0.247</v>
      </c>
      <c r="BE222" s="61">
        <v>1.7000000000000001E-2</v>
      </c>
      <c r="BF222" s="61" t="s">
        <v>122</v>
      </c>
      <c r="BG222" s="61">
        <v>5.5579999999999998</v>
      </c>
      <c r="BH222" s="61">
        <v>2.3079999999999998</v>
      </c>
      <c r="BI222" s="61">
        <v>3.5999999999999997E-2</v>
      </c>
      <c r="BJ222" s="61">
        <v>7.9009999999999998</v>
      </c>
      <c r="BK222" s="66">
        <v>8.2919999999999998</v>
      </c>
      <c r="BL222" s="67">
        <v>5.7610000000000001</v>
      </c>
      <c r="BM222" s="61" t="s">
        <v>121</v>
      </c>
      <c r="BN222" s="61" t="s">
        <v>121</v>
      </c>
      <c r="BO222" s="61" t="s">
        <v>121</v>
      </c>
      <c r="BP222" s="61">
        <v>5.7610000000000001</v>
      </c>
      <c r="BQ222" s="61">
        <v>278.11500000000001</v>
      </c>
      <c r="BR222" s="61">
        <v>12.967000000000001</v>
      </c>
      <c r="BS222" s="61">
        <v>6.8000000000000005E-2</v>
      </c>
      <c r="BT222" s="61">
        <v>2.4849999999999999</v>
      </c>
      <c r="BU222" s="61">
        <v>6.1980000000000004</v>
      </c>
      <c r="BV222" s="61">
        <v>19.913</v>
      </c>
      <c r="BW222" s="61">
        <v>26.111999999999998</v>
      </c>
      <c r="BX222" s="67">
        <v>319.74700000000001</v>
      </c>
      <c r="BY222" s="68">
        <v>84559</v>
      </c>
      <c r="BZ222" s="68">
        <v>85177</v>
      </c>
      <c r="CA222" s="69">
        <v>7732</v>
      </c>
      <c r="CB222" s="68">
        <v>102865</v>
      </c>
      <c r="CC222" s="68">
        <v>2428</v>
      </c>
      <c r="CD222" s="61"/>
      <c r="CE222" s="64"/>
      <c r="CF222" s="64"/>
      <c r="CG222" s="70">
        <f t="shared" si="16"/>
        <v>4320.33</v>
      </c>
      <c r="CH222" s="70">
        <f t="shared" si="17"/>
        <v>324.74400000000003</v>
      </c>
      <c r="CI222" s="70">
        <f t="shared" si="18"/>
        <v>101.976</v>
      </c>
      <c r="CJ222" s="70">
        <f t="shared" si="20"/>
        <v>3551.4780000000001</v>
      </c>
      <c r="CK222" s="70">
        <f t="shared" si="20"/>
        <v>3577.4340000000002</v>
      </c>
      <c r="CL222" s="70">
        <f t="shared" si="19"/>
        <v>101.976</v>
      </c>
      <c r="CM222" s="61"/>
      <c r="CN222" s="61"/>
      <c r="CO222" s="61"/>
      <c r="CP222" s="61"/>
      <c r="CQ222" s="61"/>
      <c r="CR222" s="61"/>
      <c r="CS222" s="61"/>
      <c r="CT222" s="61"/>
      <c r="CU222" s="61"/>
      <c r="CV222" s="61"/>
      <c r="CW222" s="61"/>
      <c r="CX222" s="61"/>
      <c r="CY222" s="61"/>
      <c r="CZ222" s="61"/>
      <c r="DA222" s="61"/>
      <c r="DB222" s="61"/>
      <c r="DC222" s="61"/>
      <c r="DD222" s="61"/>
      <c r="DE222" s="61"/>
      <c r="DF222" s="61"/>
      <c r="DG222" s="61"/>
      <c r="DH222" s="61"/>
      <c r="DI222" s="61"/>
      <c r="DJ222" s="61"/>
      <c r="DK222" s="61"/>
      <c r="DL222" s="61"/>
      <c r="DM222" s="61"/>
      <c r="DN222" s="61"/>
      <c r="DO222" s="61"/>
      <c r="DP222" s="61"/>
      <c r="DQ222" s="61"/>
      <c r="DR222" s="61"/>
      <c r="DS222" s="61"/>
      <c r="DT222" s="61"/>
      <c r="DU222" s="61"/>
      <c r="DV222" s="61"/>
      <c r="DW222" s="61"/>
      <c r="DX222" s="61"/>
      <c r="DY222" s="61"/>
      <c r="DZ222" s="61"/>
      <c r="EA222" s="61"/>
      <c r="EB222" s="61"/>
      <c r="EC222" s="61"/>
      <c r="ED222" s="61"/>
      <c r="EE222" s="61"/>
      <c r="EF222" s="61"/>
      <c r="EG222" s="61"/>
      <c r="EH222" s="61"/>
      <c r="EI222" s="61"/>
      <c r="EJ222" s="61"/>
      <c r="EK222" s="61"/>
      <c r="EL222" s="61"/>
      <c r="EM222" s="61"/>
      <c r="EN222" s="61"/>
      <c r="EO222" s="61"/>
      <c r="EP222" s="61"/>
      <c r="EQ222" s="61"/>
      <c r="ER222" s="61"/>
      <c r="ES222" s="61"/>
      <c r="ET222" s="61"/>
      <c r="EU222" s="61"/>
      <c r="EV222" s="61"/>
      <c r="EW222" s="61"/>
    </row>
    <row r="223" spans="1:153">
      <c r="A223" s="56">
        <v>33359</v>
      </c>
      <c r="B223" s="57"/>
      <c r="C223" s="7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71"/>
      <c r="P223" s="60">
        <v>156.29900000000001</v>
      </c>
      <c r="Q223" s="61">
        <v>10.871</v>
      </c>
      <c r="R223" s="61">
        <v>206.57900000000001</v>
      </c>
      <c r="S223" s="61">
        <v>540.58600000000001</v>
      </c>
      <c r="T223" s="61">
        <v>309.82600000000002</v>
      </c>
      <c r="U223" s="61">
        <v>14.196</v>
      </c>
      <c r="V223" s="61">
        <v>6.2039999999999997</v>
      </c>
      <c r="W223" s="61">
        <v>3.782</v>
      </c>
      <c r="X223" s="61">
        <v>156.29900000000001</v>
      </c>
      <c r="Y223" s="61">
        <v>39.408999999999999</v>
      </c>
      <c r="Z223" s="61">
        <v>10.871</v>
      </c>
      <c r="AA223" s="61">
        <v>206.57900000000001</v>
      </c>
      <c r="AB223" s="60">
        <v>540.58600000000001</v>
      </c>
      <c r="AC223" s="62"/>
      <c r="AD223" s="61"/>
      <c r="AE223" s="61"/>
      <c r="AF223" s="61"/>
      <c r="AG223" s="61"/>
      <c r="AH223" s="61"/>
      <c r="AI223" s="61"/>
      <c r="AJ223" s="61"/>
      <c r="AK223" s="62"/>
      <c r="AL223" s="63"/>
      <c r="AM223" s="64"/>
      <c r="AN223" s="65" t="e">
        <v>#N/A</v>
      </c>
      <c r="AO223" s="61" t="e">
        <v>#N/A</v>
      </c>
      <c r="AP223" s="61" t="e">
        <v>#N/A</v>
      </c>
      <c r="AQ223" s="61" t="e">
        <v>#N/A</v>
      </c>
      <c r="AR223" s="61" t="e">
        <v>#N/A</v>
      </c>
      <c r="AS223" s="61" t="e">
        <v>#N/A</v>
      </c>
      <c r="AT223" s="61" t="e">
        <v>#N/A</v>
      </c>
      <c r="AU223" s="61" t="e">
        <v>#N/A</v>
      </c>
      <c r="AV223" s="61" t="e">
        <v>#N/A</v>
      </c>
      <c r="AW223" s="61" t="e">
        <v>#N/A</v>
      </c>
      <c r="AX223" s="65" t="e">
        <v>#N/A</v>
      </c>
      <c r="AY223" s="66">
        <v>0.501</v>
      </c>
      <c r="AZ223" s="61">
        <v>5.5259999999999998</v>
      </c>
      <c r="BA223" s="61">
        <v>51.808</v>
      </c>
      <c r="BB223" s="61">
        <v>57.835000000000001</v>
      </c>
      <c r="BC223" s="61">
        <v>0.14099999999999999</v>
      </c>
      <c r="BD223" s="61">
        <v>0.255</v>
      </c>
      <c r="BE223" s="61">
        <v>1.7999999999999999E-2</v>
      </c>
      <c r="BF223" s="61" t="s">
        <v>122</v>
      </c>
      <c r="BG223" s="61">
        <v>5.7590000000000003</v>
      </c>
      <c r="BH223" s="61">
        <v>2.4359999999999999</v>
      </c>
      <c r="BI223" s="61">
        <v>3.7999999999999999E-2</v>
      </c>
      <c r="BJ223" s="61">
        <v>8.2319999999999993</v>
      </c>
      <c r="BK223" s="66">
        <v>8.6460000000000008</v>
      </c>
      <c r="BL223" s="67">
        <v>5.9530000000000003</v>
      </c>
      <c r="BM223" s="61" t="s">
        <v>121</v>
      </c>
      <c r="BN223" s="61" t="s">
        <v>121</v>
      </c>
      <c r="BO223" s="61" t="s">
        <v>121</v>
      </c>
      <c r="BP223" s="61">
        <v>5.9530000000000003</v>
      </c>
      <c r="BQ223" s="61">
        <v>306.637</v>
      </c>
      <c r="BR223" s="61">
        <v>13.262</v>
      </c>
      <c r="BS223" s="61">
        <v>0.65500000000000003</v>
      </c>
      <c r="BT223" s="61">
        <v>3.782</v>
      </c>
      <c r="BU223" s="61">
        <v>7.367</v>
      </c>
      <c r="BV223" s="61">
        <v>21.024999999999999</v>
      </c>
      <c r="BW223" s="61">
        <v>28.390999999999998</v>
      </c>
      <c r="BX223" s="67">
        <v>352.72699999999998</v>
      </c>
      <c r="BY223" s="68">
        <v>90806</v>
      </c>
      <c r="BZ223" s="68">
        <v>85727</v>
      </c>
      <c r="CA223" s="69">
        <v>5772</v>
      </c>
      <c r="CB223" s="68">
        <v>106945</v>
      </c>
      <c r="CC223" s="68">
        <v>6771</v>
      </c>
      <c r="CD223" s="61"/>
      <c r="CE223" s="64"/>
      <c r="CF223" s="64"/>
      <c r="CG223" s="70">
        <f t="shared" si="16"/>
        <v>4491.6899999999996</v>
      </c>
      <c r="CH223" s="70">
        <f t="shared" si="17"/>
        <v>242.42400000000001</v>
      </c>
      <c r="CI223" s="70">
        <f t="shared" si="18"/>
        <v>284.38200000000001</v>
      </c>
      <c r="CJ223" s="70">
        <f t="shared" si="20"/>
        <v>3813.8519999999999</v>
      </c>
      <c r="CK223" s="70">
        <f t="shared" si="20"/>
        <v>3600.5340000000001</v>
      </c>
      <c r="CL223" s="70">
        <f t="shared" si="19"/>
        <v>284.38200000000001</v>
      </c>
      <c r="CM223" s="61"/>
      <c r="CN223" s="61"/>
      <c r="CO223" s="61"/>
      <c r="CP223" s="61"/>
      <c r="CQ223" s="61"/>
      <c r="CR223" s="61"/>
      <c r="CS223" s="61"/>
      <c r="CT223" s="61"/>
      <c r="CU223" s="61"/>
      <c r="CV223" s="61"/>
      <c r="CW223" s="61"/>
      <c r="CX223" s="61"/>
      <c r="CY223" s="61"/>
      <c r="CZ223" s="61"/>
      <c r="DA223" s="61"/>
      <c r="DB223" s="61"/>
      <c r="DC223" s="61"/>
      <c r="DD223" s="61"/>
      <c r="DE223" s="61"/>
      <c r="DF223" s="61"/>
      <c r="DG223" s="61"/>
      <c r="DH223" s="61"/>
      <c r="DI223" s="61"/>
      <c r="DJ223" s="61"/>
      <c r="DK223" s="61"/>
      <c r="DL223" s="61"/>
      <c r="DM223" s="61"/>
      <c r="DN223" s="61"/>
      <c r="DO223" s="61"/>
      <c r="DP223" s="61"/>
      <c r="DQ223" s="61"/>
      <c r="DR223" s="61"/>
      <c r="DS223" s="61"/>
      <c r="DT223" s="61"/>
      <c r="DU223" s="61"/>
      <c r="DV223" s="61"/>
      <c r="DW223" s="61"/>
      <c r="DX223" s="61"/>
      <c r="DY223" s="61"/>
      <c r="DZ223" s="61"/>
      <c r="EA223" s="61"/>
      <c r="EB223" s="61"/>
      <c r="EC223" s="61"/>
      <c r="ED223" s="61"/>
      <c r="EE223" s="61"/>
      <c r="EF223" s="61"/>
      <c r="EG223" s="61"/>
      <c r="EH223" s="61"/>
      <c r="EI223" s="61"/>
      <c r="EJ223" s="61"/>
      <c r="EK223" s="61"/>
      <c r="EL223" s="61"/>
      <c r="EM223" s="61"/>
      <c r="EN223" s="61"/>
      <c r="EO223" s="61"/>
      <c r="EP223" s="61"/>
      <c r="EQ223" s="61"/>
      <c r="ER223" s="61"/>
      <c r="ES223" s="61"/>
      <c r="ET223" s="61"/>
      <c r="EU223" s="61"/>
      <c r="EV223" s="61"/>
      <c r="EW223" s="61"/>
    </row>
    <row r="224" spans="1:153">
      <c r="A224" s="56">
        <v>33390</v>
      </c>
      <c r="B224" s="57"/>
      <c r="C224" s="7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71"/>
      <c r="P224" s="60">
        <v>161.83500000000001</v>
      </c>
      <c r="Q224" s="61">
        <v>10.521000000000001</v>
      </c>
      <c r="R224" s="61">
        <v>209.721</v>
      </c>
      <c r="S224" s="61">
        <v>513.63599999999997</v>
      </c>
      <c r="T224" s="61">
        <v>280.947</v>
      </c>
      <c r="U224" s="61">
        <v>15.048</v>
      </c>
      <c r="V224" s="61">
        <v>6.2990000000000004</v>
      </c>
      <c r="W224" s="61">
        <v>1.621</v>
      </c>
      <c r="X224" s="61">
        <v>161.83500000000001</v>
      </c>
      <c r="Y224" s="61">
        <v>37.366</v>
      </c>
      <c r="Z224" s="61">
        <v>10.521000000000001</v>
      </c>
      <c r="AA224" s="61">
        <v>209.721</v>
      </c>
      <c r="AB224" s="60">
        <v>513.63599999999997</v>
      </c>
      <c r="AC224" s="62"/>
      <c r="AD224" s="61"/>
      <c r="AE224" s="61"/>
      <c r="AF224" s="61"/>
      <c r="AG224" s="61"/>
      <c r="AH224" s="61"/>
      <c r="AI224" s="61"/>
      <c r="AJ224" s="61"/>
      <c r="AK224" s="62"/>
      <c r="AL224" s="63"/>
      <c r="AM224" s="64"/>
      <c r="AN224" s="65" t="e">
        <v>#N/A</v>
      </c>
      <c r="AO224" s="61" t="e">
        <v>#N/A</v>
      </c>
      <c r="AP224" s="61" t="e">
        <v>#N/A</v>
      </c>
      <c r="AQ224" s="61" t="e">
        <v>#N/A</v>
      </c>
      <c r="AR224" s="61" t="e">
        <v>#N/A</v>
      </c>
      <c r="AS224" s="61" t="e">
        <v>#N/A</v>
      </c>
      <c r="AT224" s="61" t="e">
        <v>#N/A</v>
      </c>
      <c r="AU224" s="61" t="e">
        <v>#N/A</v>
      </c>
      <c r="AV224" s="61" t="e">
        <v>#N/A</v>
      </c>
      <c r="AW224" s="61" t="e">
        <v>#N/A</v>
      </c>
      <c r="AX224" s="65" t="e">
        <v>#N/A</v>
      </c>
      <c r="AY224" s="66">
        <v>0.48499999999999999</v>
      </c>
      <c r="AZ224" s="61">
        <v>5.5759999999999996</v>
      </c>
      <c r="BA224" s="61">
        <v>50.137</v>
      </c>
      <c r="BB224" s="61">
        <v>56.198</v>
      </c>
      <c r="BC224" s="61">
        <v>0.128</v>
      </c>
      <c r="BD224" s="61">
        <v>0.247</v>
      </c>
      <c r="BE224" s="61">
        <v>1.9E-2</v>
      </c>
      <c r="BF224" s="61" t="s">
        <v>122</v>
      </c>
      <c r="BG224" s="61">
        <v>5.5910000000000002</v>
      </c>
      <c r="BH224" s="61">
        <v>2.2879999999999998</v>
      </c>
      <c r="BI224" s="61">
        <v>3.5999999999999997E-2</v>
      </c>
      <c r="BJ224" s="61">
        <v>7.915</v>
      </c>
      <c r="BK224" s="66">
        <v>8.3079999999999998</v>
      </c>
      <c r="BL224" s="67">
        <v>5.7610000000000001</v>
      </c>
      <c r="BM224" s="61" t="s">
        <v>121</v>
      </c>
      <c r="BN224" s="61" t="s">
        <v>121</v>
      </c>
      <c r="BO224" s="61" t="s">
        <v>121</v>
      </c>
      <c r="BP224" s="61">
        <v>5.7610000000000001</v>
      </c>
      <c r="BQ224" s="61">
        <v>278.05500000000001</v>
      </c>
      <c r="BR224" s="61">
        <v>14.144</v>
      </c>
      <c r="BS224" s="61">
        <v>0.70099999999999996</v>
      </c>
      <c r="BT224" s="61">
        <v>1.621</v>
      </c>
      <c r="BU224" s="61">
        <v>8.234</v>
      </c>
      <c r="BV224" s="61">
        <v>19.742999999999999</v>
      </c>
      <c r="BW224" s="61">
        <v>27.977</v>
      </c>
      <c r="BX224" s="67">
        <v>322.49799999999999</v>
      </c>
      <c r="BY224" s="68">
        <v>88240</v>
      </c>
      <c r="BZ224" s="68">
        <v>83244</v>
      </c>
      <c r="CA224" s="69">
        <v>6257</v>
      </c>
      <c r="CB224" s="68">
        <v>113698</v>
      </c>
      <c r="CC224" s="68">
        <v>4500</v>
      </c>
      <c r="CD224" s="61"/>
      <c r="CE224" s="64"/>
      <c r="CF224" s="64"/>
      <c r="CG224" s="70">
        <f t="shared" si="16"/>
        <v>4775.3159999999998</v>
      </c>
      <c r="CH224" s="70">
        <f t="shared" si="17"/>
        <v>262.79399999999998</v>
      </c>
      <c r="CI224" s="70">
        <f t="shared" si="18"/>
        <v>189</v>
      </c>
      <c r="CJ224" s="70">
        <f t="shared" si="20"/>
        <v>3706.08</v>
      </c>
      <c r="CK224" s="70">
        <f t="shared" si="20"/>
        <v>3496.248</v>
      </c>
      <c r="CL224" s="70">
        <f t="shared" si="19"/>
        <v>189</v>
      </c>
      <c r="CM224" s="61"/>
      <c r="CN224" s="61"/>
      <c r="CO224" s="61"/>
      <c r="CP224" s="61"/>
      <c r="CQ224" s="61"/>
      <c r="CR224" s="61"/>
      <c r="CS224" s="61"/>
      <c r="CT224" s="61"/>
      <c r="CU224" s="61"/>
      <c r="CV224" s="61"/>
      <c r="CW224" s="61"/>
      <c r="CX224" s="61"/>
      <c r="CY224" s="61"/>
      <c r="CZ224" s="61"/>
      <c r="DA224" s="61"/>
      <c r="DB224" s="61"/>
      <c r="DC224" s="61"/>
      <c r="DD224" s="61"/>
      <c r="DE224" s="61"/>
      <c r="DF224" s="61"/>
      <c r="DG224" s="61"/>
      <c r="DH224" s="61"/>
      <c r="DI224" s="61"/>
      <c r="DJ224" s="61"/>
      <c r="DK224" s="61"/>
      <c r="DL224" s="61"/>
      <c r="DM224" s="61"/>
      <c r="DN224" s="61"/>
      <c r="DO224" s="61"/>
      <c r="DP224" s="61"/>
      <c r="DQ224" s="61"/>
      <c r="DR224" s="61"/>
      <c r="DS224" s="61"/>
      <c r="DT224" s="61"/>
      <c r="DU224" s="61"/>
      <c r="DV224" s="61"/>
      <c r="DW224" s="61"/>
      <c r="DX224" s="61"/>
      <c r="DY224" s="61"/>
      <c r="DZ224" s="61"/>
      <c r="EA224" s="61"/>
      <c r="EB224" s="61"/>
      <c r="EC224" s="61"/>
      <c r="ED224" s="61"/>
      <c r="EE224" s="61"/>
      <c r="EF224" s="61"/>
      <c r="EG224" s="61"/>
      <c r="EH224" s="61"/>
      <c r="EI224" s="61"/>
      <c r="EJ224" s="61"/>
      <c r="EK224" s="61"/>
      <c r="EL224" s="61"/>
      <c r="EM224" s="61"/>
      <c r="EN224" s="61"/>
      <c r="EO224" s="61"/>
      <c r="EP224" s="61"/>
      <c r="EQ224" s="61"/>
      <c r="ER224" s="61"/>
      <c r="ES224" s="61"/>
      <c r="ET224" s="61"/>
      <c r="EU224" s="61"/>
      <c r="EV224" s="61"/>
      <c r="EW224" s="61"/>
    </row>
    <row r="225" spans="1:153">
      <c r="A225" s="56">
        <v>33420</v>
      </c>
      <c r="B225" s="57"/>
      <c r="C225" s="7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71"/>
      <c r="P225" s="60">
        <v>163.21</v>
      </c>
      <c r="Q225" s="61">
        <v>10.871</v>
      </c>
      <c r="R225" s="61">
        <v>210.05500000000001</v>
      </c>
      <c r="S225" s="61">
        <v>499.53199999999998</v>
      </c>
      <c r="T225" s="61">
        <v>266.05</v>
      </c>
      <c r="U225" s="61">
        <v>15.07</v>
      </c>
      <c r="V225" s="61">
        <v>6.7370000000000001</v>
      </c>
      <c r="W225" s="61">
        <v>1.621</v>
      </c>
      <c r="X225" s="61">
        <v>163.21</v>
      </c>
      <c r="Y225" s="61">
        <v>35.973999999999997</v>
      </c>
      <c r="Z225" s="61">
        <v>10.871</v>
      </c>
      <c r="AA225" s="61">
        <v>210.05500000000001</v>
      </c>
      <c r="AB225" s="60">
        <v>499.53199999999998</v>
      </c>
      <c r="AC225" s="62"/>
      <c r="AD225" s="61"/>
      <c r="AE225" s="61"/>
      <c r="AF225" s="61"/>
      <c r="AG225" s="61"/>
      <c r="AH225" s="61"/>
      <c r="AI225" s="61"/>
      <c r="AJ225" s="61"/>
      <c r="AK225" s="62"/>
      <c r="AL225" s="63"/>
      <c r="AM225" s="64"/>
      <c r="AN225" s="65" t="e">
        <v>#N/A</v>
      </c>
      <c r="AO225" s="61" t="e">
        <v>#N/A</v>
      </c>
      <c r="AP225" s="61" t="e">
        <v>#N/A</v>
      </c>
      <c r="AQ225" s="61" t="e">
        <v>#N/A</v>
      </c>
      <c r="AR225" s="61" t="e">
        <v>#N/A</v>
      </c>
      <c r="AS225" s="61" t="e">
        <v>#N/A</v>
      </c>
      <c r="AT225" s="61" t="e">
        <v>#N/A</v>
      </c>
      <c r="AU225" s="61" t="e">
        <v>#N/A</v>
      </c>
      <c r="AV225" s="61" t="e">
        <v>#N/A</v>
      </c>
      <c r="AW225" s="61" t="e">
        <v>#N/A</v>
      </c>
      <c r="AX225" s="65" t="e">
        <v>#N/A</v>
      </c>
      <c r="AY225" s="66">
        <v>0.501</v>
      </c>
      <c r="AZ225" s="61">
        <v>5.8529999999999998</v>
      </c>
      <c r="BA225" s="61">
        <v>51.808</v>
      </c>
      <c r="BB225" s="61">
        <v>58.162999999999997</v>
      </c>
      <c r="BC225" s="61">
        <v>0.121</v>
      </c>
      <c r="BD225" s="61">
        <v>0.255</v>
      </c>
      <c r="BE225" s="61">
        <v>0.02</v>
      </c>
      <c r="BF225" s="61" t="s">
        <v>122</v>
      </c>
      <c r="BG225" s="61">
        <v>5.77</v>
      </c>
      <c r="BH225" s="61">
        <v>2.125</v>
      </c>
      <c r="BI225" s="61">
        <v>3.7999999999999999E-2</v>
      </c>
      <c r="BJ225" s="61">
        <v>7.9329999999999998</v>
      </c>
      <c r="BK225" s="66">
        <v>8.3279999999999994</v>
      </c>
      <c r="BL225" s="67">
        <v>5.9530000000000003</v>
      </c>
      <c r="BM225" s="61" t="s">
        <v>121</v>
      </c>
      <c r="BN225" s="61" t="s">
        <v>121</v>
      </c>
      <c r="BO225" s="61" t="s">
        <v>121</v>
      </c>
      <c r="BP225" s="61">
        <v>5.9530000000000003</v>
      </c>
      <c r="BQ225" s="61">
        <v>263.31099999999998</v>
      </c>
      <c r="BR225" s="61">
        <v>14.135</v>
      </c>
      <c r="BS225" s="61">
        <v>0.86</v>
      </c>
      <c r="BT225" s="61">
        <v>1.621</v>
      </c>
      <c r="BU225" s="61">
        <v>8.0890000000000004</v>
      </c>
      <c r="BV225" s="61">
        <v>18.338999999999999</v>
      </c>
      <c r="BW225" s="61">
        <v>26.428000000000001</v>
      </c>
      <c r="BX225" s="67">
        <v>306.35599999999999</v>
      </c>
      <c r="BY225" s="68">
        <v>92952</v>
      </c>
      <c r="BZ225" s="68">
        <v>82087</v>
      </c>
      <c r="CA225" s="69">
        <v>4795</v>
      </c>
      <c r="CB225" s="68">
        <v>124740</v>
      </c>
      <c r="CC225" s="68">
        <v>4618</v>
      </c>
      <c r="CD225" s="61"/>
      <c r="CE225" s="64"/>
      <c r="CF225" s="64"/>
      <c r="CG225" s="70">
        <f t="shared" si="16"/>
        <v>5239.08</v>
      </c>
      <c r="CH225" s="70">
        <f t="shared" si="17"/>
        <v>201.39</v>
      </c>
      <c r="CI225" s="70">
        <f t="shared" si="18"/>
        <v>193.95599999999999</v>
      </c>
      <c r="CJ225" s="70">
        <f t="shared" si="20"/>
        <v>3903.9839999999999</v>
      </c>
      <c r="CK225" s="70">
        <f t="shared" si="20"/>
        <v>3447.654</v>
      </c>
      <c r="CL225" s="70">
        <f t="shared" si="19"/>
        <v>193.95599999999999</v>
      </c>
      <c r="CM225" s="61"/>
      <c r="CN225" s="61"/>
      <c r="CO225" s="61"/>
      <c r="CP225" s="61"/>
      <c r="CQ225" s="61"/>
      <c r="CR225" s="61"/>
      <c r="CS225" s="61"/>
      <c r="CT225" s="61"/>
      <c r="CU225" s="61"/>
      <c r="CV225" s="61"/>
      <c r="CW225" s="61"/>
      <c r="CX225" s="61"/>
      <c r="CY225" s="61"/>
      <c r="CZ225" s="61"/>
      <c r="DA225" s="61"/>
      <c r="DB225" s="61"/>
      <c r="DC225" s="61"/>
      <c r="DD225" s="61"/>
      <c r="DE225" s="61"/>
      <c r="DF225" s="61"/>
      <c r="DG225" s="61"/>
      <c r="DH225" s="61"/>
      <c r="DI225" s="61"/>
      <c r="DJ225" s="61"/>
      <c r="DK225" s="61"/>
      <c r="DL225" s="61"/>
      <c r="DM225" s="61"/>
      <c r="DN225" s="61"/>
      <c r="DO225" s="61"/>
      <c r="DP225" s="61"/>
      <c r="DQ225" s="61"/>
      <c r="DR225" s="61"/>
      <c r="DS225" s="61"/>
      <c r="DT225" s="61"/>
      <c r="DU225" s="61"/>
      <c r="DV225" s="61"/>
      <c r="DW225" s="61"/>
      <c r="DX225" s="61"/>
      <c r="DY225" s="61"/>
      <c r="DZ225" s="61"/>
      <c r="EA225" s="61"/>
      <c r="EB225" s="61"/>
      <c r="EC225" s="61"/>
      <c r="ED225" s="61"/>
      <c r="EE225" s="61"/>
      <c r="EF225" s="61"/>
      <c r="EG225" s="61"/>
      <c r="EH225" s="61"/>
      <c r="EI225" s="61"/>
      <c r="EJ225" s="61"/>
      <c r="EK225" s="61"/>
      <c r="EL225" s="61"/>
      <c r="EM225" s="61"/>
      <c r="EN225" s="61"/>
      <c r="EO225" s="61"/>
      <c r="EP225" s="61"/>
      <c r="EQ225" s="61"/>
      <c r="ER225" s="61"/>
      <c r="ES225" s="61"/>
      <c r="ET225" s="61"/>
      <c r="EU225" s="61"/>
      <c r="EV225" s="61"/>
      <c r="EW225" s="61"/>
    </row>
    <row r="226" spans="1:153">
      <c r="A226" s="56">
        <v>33451</v>
      </c>
      <c r="B226" s="57"/>
      <c r="C226" s="7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71"/>
      <c r="P226" s="60">
        <v>201.887</v>
      </c>
      <c r="Q226" s="61">
        <v>10.871</v>
      </c>
      <c r="R226" s="61">
        <v>250.834</v>
      </c>
      <c r="S226" s="61">
        <v>512.22699999999998</v>
      </c>
      <c r="T226" s="61">
        <v>237.52500000000001</v>
      </c>
      <c r="U226" s="61">
        <v>14.928000000000001</v>
      </c>
      <c r="V226" s="61">
        <v>6.5629999999999997</v>
      </c>
      <c r="W226" s="61">
        <v>2.3769999999999998</v>
      </c>
      <c r="X226" s="61">
        <v>201.887</v>
      </c>
      <c r="Y226" s="61">
        <v>38.076000000000001</v>
      </c>
      <c r="Z226" s="61">
        <v>10.871</v>
      </c>
      <c r="AA226" s="61">
        <v>250.834</v>
      </c>
      <c r="AB226" s="60">
        <v>512.22699999999998</v>
      </c>
      <c r="AC226" s="62"/>
      <c r="AD226" s="61"/>
      <c r="AE226" s="61"/>
      <c r="AF226" s="61"/>
      <c r="AG226" s="61"/>
      <c r="AH226" s="61"/>
      <c r="AI226" s="61"/>
      <c r="AJ226" s="61"/>
      <c r="AK226" s="62"/>
      <c r="AL226" s="63"/>
      <c r="AM226" s="64"/>
      <c r="AN226" s="65" t="e">
        <v>#N/A</v>
      </c>
      <c r="AO226" s="61" t="e">
        <v>#N/A</v>
      </c>
      <c r="AP226" s="61" t="e">
        <v>#N/A</v>
      </c>
      <c r="AQ226" s="61" t="e">
        <v>#N/A</v>
      </c>
      <c r="AR226" s="61" t="e">
        <v>#N/A</v>
      </c>
      <c r="AS226" s="61" t="e">
        <v>#N/A</v>
      </c>
      <c r="AT226" s="61" t="e">
        <v>#N/A</v>
      </c>
      <c r="AU226" s="61" t="e">
        <v>#N/A</v>
      </c>
      <c r="AV226" s="61" t="e">
        <v>#N/A</v>
      </c>
      <c r="AW226" s="61" t="e">
        <v>#N/A</v>
      </c>
      <c r="AX226" s="65" t="e">
        <v>#N/A</v>
      </c>
      <c r="AY226" s="66">
        <v>0.501</v>
      </c>
      <c r="AZ226" s="61">
        <v>5.7930000000000001</v>
      </c>
      <c r="BA226" s="61">
        <v>51.808</v>
      </c>
      <c r="BB226" s="61">
        <v>58.101999999999997</v>
      </c>
      <c r="BC226" s="61">
        <v>0.108</v>
      </c>
      <c r="BD226" s="61">
        <v>0.255</v>
      </c>
      <c r="BE226" s="61">
        <v>1.9E-2</v>
      </c>
      <c r="BF226" s="61" t="s">
        <v>122</v>
      </c>
      <c r="BG226" s="61">
        <v>5.8360000000000003</v>
      </c>
      <c r="BH226" s="61">
        <v>2.3159999999999998</v>
      </c>
      <c r="BI226" s="61">
        <v>3.7999999999999999E-2</v>
      </c>
      <c r="BJ226" s="61">
        <v>8.1890000000000001</v>
      </c>
      <c r="BK226" s="66">
        <v>8.5709999999999997</v>
      </c>
      <c r="BL226" s="67">
        <v>5.9530000000000003</v>
      </c>
      <c r="BM226" s="61" t="s">
        <v>121</v>
      </c>
      <c r="BN226" s="61" t="s">
        <v>121</v>
      </c>
      <c r="BO226" s="61" t="s">
        <v>121</v>
      </c>
      <c r="BP226" s="61">
        <v>5.9530000000000003</v>
      </c>
      <c r="BQ226" s="61">
        <v>235.08</v>
      </c>
      <c r="BR226" s="61">
        <v>13.994</v>
      </c>
      <c r="BS226" s="61">
        <v>0.746</v>
      </c>
      <c r="BT226" s="61">
        <v>2.3769999999999998</v>
      </c>
      <c r="BU226" s="61">
        <v>12.13</v>
      </c>
      <c r="BV226" s="61">
        <v>19.981999999999999</v>
      </c>
      <c r="BW226" s="61">
        <v>32.113</v>
      </c>
      <c r="BX226" s="67">
        <v>284.31</v>
      </c>
      <c r="BY226" s="68">
        <v>91781</v>
      </c>
      <c r="BZ226" s="68">
        <v>85874</v>
      </c>
      <c r="CA226" s="69">
        <v>5209</v>
      </c>
      <c r="CB226" s="68">
        <v>131377</v>
      </c>
      <c r="CC226" s="68">
        <v>4479</v>
      </c>
      <c r="CD226" s="61"/>
      <c r="CE226" s="64"/>
      <c r="CF226" s="64"/>
      <c r="CG226" s="70">
        <f t="shared" si="16"/>
        <v>5517.8339999999998</v>
      </c>
      <c r="CH226" s="70">
        <f t="shared" si="17"/>
        <v>218.77799999999999</v>
      </c>
      <c r="CI226" s="70">
        <f t="shared" si="18"/>
        <v>188.11799999999999</v>
      </c>
      <c r="CJ226" s="70">
        <f t="shared" si="20"/>
        <v>3854.8020000000001</v>
      </c>
      <c r="CK226" s="70">
        <f t="shared" si="20"/>
        <v>3606.7080000000001</v>
      </c>
      <c r="CL226" s="70">
        <f t="shared" si="19"/>
        <v>188.11799999999999</v>
      </c>
      <c r="CM226" s="61"/>
      <c r="CN226" s="61"/>
      <c r="CO226" s="61"/>
      <c r="CP226" s="61"/>
      <c r="CQ226" s="61"/>
      <c r="CR226" s="61"/>
      <c r="CS226" s="61"/>
      <c r="CT226" s="61"/>
      <c r="CU226" s="61"/>
      <c r="CV226" s="61"/>
      <c r="CW226" s="61"/>
      <c r="CX226" s="61"/>
      <c r="CY226" s="61"/>
      <c r="CZ226" s="61"/>
      <c r="DA226" s="61"/>
      <c r="DB226" s="61"/>
      <c r="DC226" s="61"/>
      <c r="DD226" s="61"/>
      <c r="DE226" s="61"/>
      <c r="DF226" s="61"/>
      <c r="DG226" s="61"/>
      <c r="DH226" s="61"/>
      <c r="DI226" s="61"/>
      <c r="DJ226" s="61"/>
      <c r="DK226" s="61"/>
      <c r="DL226" s="61"/>
      <c r="DM226" s="61"/>
      <c r="DN226" s="61"/>
      <c r="DO226" s="61"/>
      <c r="DP226" s="61"/>
      <c r="DQ226" s="61"/>
      <c r="DR226" s="61"/>
      <c r="DS226" s="61"/>
      <c r="DT226" s="61"/>
      <c r="DU226" s="61"/>
      <c r="DV226" s="61"/>
      <c r="DW226" s="61"/>
      <c r="DX226" s="61"/>
      <c r="DY226" s="61"/>
      <c r="DZ226" s="61"/>
      <c r="EA226" s="61"/>
      <c r="EB226" s="61"/>
      <c r="EC226" s="61"/>
      <c r="ED226" s="61"/>
      <c r="EE226" s="61"/>
      <c r="EF226" s="61"/>
      <c r="EG226" s="61"/>
      <c r="EH226" s="61"/>
      <c r="EI226" s="61"/>
      <c r="EJ226" s="61"/>
      <c r="EK226" s="61"/>
      <c r="EL226" s="61"/>
      <c r="EM226" s="61"/>
      <c r="EN226" s="61"/>
      <c r="EO226" s="61"/>
      <c r="EP226" s="61"/>
      <c r="EQ226" s="61"/>
      <c r="ER226" s="61"/>
      <c r="ES226" s="61"/>
      <c r="ET226" s="61"/>
      <c r="EU226" s="61"/>
      <c r="EV226" s="61"/>
      <c r="EW226" s="61"/>
    </row>
    <row r="227" spans="1:153">
      <c r="A227" s="56">
        <v>33482</v>
      </c>
      <c r="B227" s="57"/>
      <c r="C227" s="7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71"/>
      <c r="P227" s="60">
        <v>220.84299999999999</v>
      </c>
      <c r="Q227" s="61">
        <v>10.521000000000001</v>
      </c>
      <c r="R227" s="61">
        <v>267.73500000000001</v>
      </c>
      <c r="S227" s="61">
        <v>491.72</v>
      </c>
      <c r="T227" s="61">
        <v>201.86099999999999</v>
      </c>
      <c r="U227" s="61">
        <v>14.03</v>
      </c>
      <c r="V227" s="61">
        <v>5.9329999999999998</v>
      </c>
      <c r="W227" s="61">
        <v>2.161</v>
      </c>
      <c r="X227" s="61">
        <v>220.84299999999999</v>
      </c>
      <c r="Y227" s="61">
        <v>36.371000000000002</v>
      </c>
      <c r="Z227" s="61">
        <v>10.521000000000001</v>
      </c>
      <c r="AA227" s="61">
        <v>267.73500000000001</v>
      </c>
      <c r="AB227" s="60">
        <v>491.72</v>
      </c>
      <c r="AC227" s="62"/>
      <c r="AD227" s="61"/>
      <c r="AE227" s="61"/>
      <c r="AF227" s="61"/>
      <c r="AG227" s="61"/>
      <c r="AH227" s="61"/>
      <c r="AI227" s="61"/>
      <c r="AJ227" s="61"/>
      <c r="AK227" s="62"/>
      <c r="AL227" s="63"/>
      <c r="AM227" s="64"/>
      <c r="AN227" s="65" t="e">
        <v>#N/A</v>
      </c>
      <c r="AO227" s="61" t="e">
        <v>#N/A</v>
      </c>
      <c r="AP227" s="61" t="e">
        <v>#N/A</v>
      </c>
      <c r="AQ227" s="61" t="e">
        <v>#N/A</v>
      </c>
      <c r="AR227" s="61" t="e">
        <v>#N/A</v>
      </c>
      <c r="AS227" s="61" t="e">
        <v>#N/A</v>
      </c>
      <c r="AT227" s="61" t="e">
        <v>#N/A</v>
      </c>
      <c r="AU227" s="61" t="e">
        <v>#N/A</v>
      </c>
      <c r="AV227" s="61" t="e">
        <v>#N/A</v>
      </c>
      <c r="AW227" s="61" t="e">
        <v>#N/A</v>
      </c>
      <c r="AX227" s="65" t="e">
        <v>#N/A</v>
      </c>
      <c r="AY227" s="66">
        <v>0.48499999999999999</v>
      </c>
      <c r="AZ227" s="61">
        <v>5.2830000000000004</v>
      </c>
      <c r="BA227" s="61">
        <v>50.137</v>
      </c>
      <c r="BB227" s="61">
        <v>55.905000000000001</v>
      </c>
      <c r="BC227" s="61">
        <v>9.1999999999999998E-2</v>
      </c>
      <c r="BD227" s="61">
        <v>0.247</v>
      </c>
      <c r="BE227" s="61">
        <v>1.7999999999999999E-2</v>
      </c>
      <c r="BF227" s="61" t="s">
        <v>122</v>
      </c>
      <c r="BG227" s="61">
        <v>5.6909999999999998</v>
      </c>
      <c r="BH227" s="61">
        <v>2.198</v>
      </c>
      <c r="BI227" s="61">
        <v>3.5999999999999997E-2</v>
      </c>
      <c r="BJ227" s="61">
        <v>7.9249999999999998</v>
      </c>
      <c r="BK227" s="66">
        <v>8.2810000000000006</v>
      </c>
      <c r="BL227" s="67">
        <v>5.7610000000000001</v>
      </c>
      <c r="BM227" s="61" t="s">
        <v>121</v>
      </c>
      <c r="BN227" s="61" t="s">
        <v>121</v>
      </c>
      <c r="BO227" s="61" t="s">
        <v>121</v>
      </c>
      <c r="BP227" s="61">
        <v>5.7610000000000001</v>
      </c>
      <c r="BQ227" s="61">
        <v>199.78299999999999</v>
      </c>
      <c r="BR227" s="61">
        <v>13.125999999999999</v>
      </c>
      <c r="BS227" s="61">
        <v>0.628</v>
      </c>
      <c r="BT227" s="61">
        <v>2.161</v>
      </c>
      <c r="BU227" s="61">
        <v>14.4</v>
      </c>
      <c r="BV227" s="61">
        <v>18.966000000000001</v>
      </c>
      <c r="BW227" s="61">
        <v>33.366</v>
      </c>
      <c r="BX227" s="67">
        <v>249.06399999999999</v>
      </c>
      <c r="BY227" s="68">
        <v>91653</v>
      </c>
      <c r="BZ227" s="68">
        <v>85947</v>
      </c>
      <c r="CA227" s="69">
        <v>7115</v>
      </c>
      <c r="CB227" s="68">
        <v>140117</v>
      </c>
      <c r="CC227" s="68">
        <v>4081</v>
      </c>
      <c r="CD227" s="61"/>
      <c r="CE227" s="64"/>
      <c r="CF227" s="64"/>
      <c r="CG227" s="70">
        <f t="shared" si="16"/>
        <v>5884.9139999999998</v>
      </c>
      <c r="CH227" s="70">
        <f t="shared" si="17"/>
        <v>298.83</v>
      </c>
      <c r="CI227" s="70">
        <f t="shared" si="18"/>
        <v>171.40199999999999</v>
      </c>
      <c r="CJ227" s="70">
        <f t="shared" si="20"/>
        <v>3849.4259999999999</v>
      </c>
      <c r="CK227" s="70">
        <f t="shared" si="20"/>
        <v>3609.7739999999999</v>
      </c>
      <c r="CL227" s="70">
        <f t="shared" si="19"/>
        <v>171.40199999999999</v>
      </c>
      <c r="CM227" s="61"/>
      <c r="CN227" s="61"/>
      <c r="CO227" s="61"/>
      <c r="CP227" s="61"/>
      <c r="CQ227" s="61"/>
      <c r="CR227" s="61"/>
      <c r="CS227" s="61"/>
      <c r="CT227" s="61"/>
      <c r="CU227" s="61"/>
      <c r="CV227" s="61"/>
      <c r="CW227" s="61"/>
      <c r="CX227" s="61"/>
      <c r="CY227" s="61"/>
      <c r="CZ227" s="61"/>
      <c r="DA227" s="61"/>
      <c r="DB227" s="61"/>
      <c r="DC227" s="61"/>
      <c r="DD227" s="61"/>
      <c r="DE227" s="61"/>
      <c r="DF227" s="61"/>
      <c r="DG227" s="61"/>
      <c r="DH227" s="61"/>
      <c r="DI227" s="61"/>
      <c r="DJ227" s="61"/>
      <c r="DK227" s="61"/>
      <c r="DL227" s="61"/>
      <c r="DM227" s="61"/>
      <c r="DN227" s="61"/>
      <c r="DO227" s="61"/>
      <c r="DP227" s="61"/>
      <c r="DQ227" s="61"/>
      <c r="DR227" s="61"/>
      <c r="DS227" s="61"/>
      <c r="DT227" s="61"/>
      <c r="DU227" s="61"/>
      <c r="DV227" s="61"/>
      <c r="DW227" s="61"/>
      <c r="DX227" s="61"/>
      <c r="DY227" s="61"/>
      <c r="DZ227" s="61"/>
      <c r="EA227" s="61"/>
      <c r="EB227" s="61"/>
      <c r="EC227" s="61"/>
      <c r="ED227" s="61"/>
      <c r="EE227" s="61"/>
      <c r="EF227" s="61"/>
      <c r="EG227" s="61"/>
      <c r="EH227" s="61"/>
      <c r="EI227" s="61"/>
      <c r="EJ227" s="61"/>
      <c r="EK227" s="61"/>
      <c r="EL227" s="61"/>
      <c r="EM227" s="61"/>
      <c r="EN227" s="61"/>
      <c r="EO227" s="61"/>
      <c r="EP227" s="61"/>
      <c r="EQ227" s="61"/>
      <c r="ER227" s="61"/>
      <c r="ES227" s="61"/>
      <c r="ET227" s="61"/>
      <c r="EU227" s="61"/>
      <c r="EV227" s="61"/>
      <c r="EW227" s="61"/>
    </row>
    <row r="228" spans="1:153">
      <c r="A228" s="56">
        <v>33512</v>
      </c>
      <c r="B228" s="57"/>
      <c r="C228" s="7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71"/>
      <c r="P228" s="60">
        <v>204.17</v>
      </c>
      <c r="Q228" s="61">
        <v>10.871</v>
      </c>
      <c r="R228" s="61">
        <v>249.40799999999999</v>
      </c>
      <c r="S228" s="61">
        <v>467.13299999999998</v>
      </c>
      <c r="T228" s="61">
        <v>193.29599999999999</v>
      </c>
      <c r="U228" s="61">
        <v>14.792999999999999</v>
      </c>
      <c r="V228" s="61">
        <v>5.2069999999999999</v>
      </c>
      <c r="W228" s="61">
        <v>4.43</v>
      </c>
      <c r="X228" s="61">
        <v>204.17</v>
      </c>
      <c r="Y228" s="61">
        <v>34.366</v>
      </c>
      <c r="Z228" s="61">
        <v>10.871</v>
      </c>
      <c r="AA228" s="61">
        <v>249.40799999999999</v>
      </c>
      <c r="AB228" s="60">
        <v>467.13299999999998</v>
      </c>
      <c r="AC228" s="62"/>
      <c r="AD228" s="61"/>
      <c r="AE228" s="61"/>
      <c r="AF228" s="61"/>
      <c r="AG228" s="61"/>
      <c r="AH228" s="61"/>
      <c r="AI228" s="61"/>
      <c r="AJ228" s="61"/>
      <c r="AK228" s="62"/>
      <c r="AL228" s="63"/>
      <c r="AM228" s="64"/>
      <c r="AN228" s="65" t="e">
        <v>#N/A</v>
      </c>
      <c r="AO228" s="61" t="e">
        <v>#N/A</v>
      </c>
      <c r="AP228" s="61" t="e">
        <v>#N/A</v>
      </c>
      <c r="AQ228" s="61" t="e">
        <v>#N/A</v>
      </c>
      <c r="AR228" s="61" t="e">
        <v>#N/A</v>
      </c>
      <c r="AS228" s="61" t="e">
        <v>#N/A</v>
      </c>
      <c r="AT228" s="61" t="e">
        <v>#N/A</v>
      </c>
      <c r="AU228" s="61" t="e">
        <v>#N/A</v>
      </c>
      <c r="AV228" s="61" t="e">
        <v>#N/A</v>
      </c>
      <c r="AW228" s="61" t="e">
        <v>#N/A</v>
      </c>
      <c r="AX228" s="65" t="e">
        <v>#N/A</v>
      </c>
      <c r="AY228" s="66">
        <v>0.501</v>
      </c>
      <c r="AZ228" s="61">
        <v>4.8150000000000004</v>
      </c>
      <c r="BA228" s="61">
        <v>51.808</v>
      </c>
      <c r="BB228" s="61">
        <v>57.125</v>
      </c>
      <c r="BC228" s="61">
        <v>8.7999999999999995E-2</v>
      </c>
      <c r="BD228" s="61">
        <v>0.255</v>
      </c>
      <c r="BE228" s="61">
        <v>1.6E-2</v>
      </c>
      <c r="BF228" s="61" t="s">
        <v>122</v>
      </c>
      <c r="BG228" s="61">
        <v>5.84</v>
      </c>
      <c r="BH228" s="61">
        <v>1.9790000000000001</v>
      </c>
      <c r="BI228" s="61">
        <v>3.7999999999999999E-2</v>
      </c>
      <c r="BJ228" s="61">
        <v>7.8570000000000002</v>
      </c>
      <c r="BK228" s="66">
        <v>8.2159999999999993</v>
      </c>
      <c r="BL228" s="67">
        <v>5.9530000000000003</v>
      </c>
      <c r="BM228" s="61" t="s">
        <v>121</v>
      </c>
      <c r="BN228" s="61" t="s">
        <v>121</v>
      </c>
      <c r="BO228" s="61" t="s">
        <v>121</v>
      </c>
      <c r="BP228" s="61">
        <v>5.9530000000000003</v>
      </c>
      <c r="BQ228" s="61">
        <v>191.30600000000001</v>
      </c>
      <c r="BR228" s="61">
        <v>13.859</v>
      </c>
      <c r="BS228" s="61">
        <v>0.372</v>
      </c>
      <c r="BT228" s="61">
        <v>4.43</v>
      </c>
      <c r="BU228" s="61">
        <v>12.369</v>
      </c>
      <c r="BV228" s="61">
        <v>17.082000000000001</v>
      </c>
      <c r="BW228" s="61">
        <v>29.451000000000001</v>
      </c>
      <c r="BX228" s="67">
        <v>239.41800000000001</v>
      </c>
      <c r="BY228" s="68">
        <v>94236</v>
      </c>
      <c r="BZ228" s="68">
        <v>94464</v>
      </c>
      <c r="CA228" s="69">
        <v>6404</v>
      </c>
      <c r="CB228" s="68">
        <v>138278</v>
      </c>
      <c r="CC228" s="68">
        <v>8015</v>
      </c>
      <c r="CD228" s="61"/>
      <c r="CE228" s="64"/>
      <c r="CF228" s="64"/>
      <c r="CG228" s="70">
        <f t="shared" si="16"/>
        <v>5807.6760000000004</v>
      </c>
      <c r="CH228" s="70">
        <f t="shared" si="17"/>
        <v>268.96800000000002</v>
      </c>
      <c r="CI228" s="70">
        <f t="shared" si="18"/>
        <v>336.63</v>
      </c>
      <c r="CJ228" s="70">
        <f t="shared" si="20"/>
        <v>3957.9119999999998</v>
      </c>
      <c r="CK228" s="70">
        <f t="shared" si="20"/>
        <v>3967.4879999999998</v>
      </c>
      <c r="CL228" s="70">
        <f t="shared" si="19"/>
        <v>336.63</v>
      </c>
      <c r="CM228" s="61"/>
      <c r="CN228" s="61"/>
      <c r="CO228" s="61"/>
      <c r="CP228" s="61"/>
      <c r="CQ228" s="61"/>
      <c r="CR228" s="61"/>
      <c r="CS228" s="61"/>
      <c r="CT228" s="61"/>
      <c r="CU228" s="61"/>
      <c r="CV228" s="61"/>
      <c r="CW228" s="61"/>
      <c r="CX228" s="61"/>
      <c r="CY228" s="61"/>
      <c r="CZ228" s="61"/>
      <c r="DA228" s="61"/>
      <c r="DB228" s="61"/>
      <c r="DC228" s="61"/>
      <c r="DD228" s="61"/>
      <c r="DE228" s="61"/>
      <c r="DF228" s="61"/>
      <c r="DG228" s="61"/>
      <c r="DH228" s="61"/>
      <c r="DI228" s="61"/>
      <c r="DJ228" s="61"/>
      <c r="DK228" s="61"/>
      <c r="DL228" s="61"/>
      <c r="DM228" s="61"/>
      <c r="DN228" s="61"/>
      <c r="DO228" s="61"/>
      <c r="DP228" s="61"/>
      <c r="DQ228" s="61"/>
      <c r="DR228" s="61"/>
      <c r="DS228" s="61"/>
      <c r="DT228" s="61"/>
      <c r="DU228" s="61"/>
      <c r="DV228" s="61"/>
      <c r="DW228" s="61"/>
      <c r="DX228" s="61"/>
      <c r="DY228" s="61"/>
      <c r="DZ228" s="61"/>
      <c r="EA228" s="61"/>
      <c r="EB228" s="61"/>
      <c r="EC228" s="61"/>
      <c r="ED228" s="61"/>
      <c r="EE228" s="61"/>
      <c r="EF228" s="61"/>
      <c r="EG228" s="61"/>
      <c r="EH228" s="61"/>
      <c r="EI228" s="61"/>
      <c r="EJ228" s="61"/>
      <c r="EK228" s="61"/>
      <c r="EL228" s="61"/>
      <c r="EM228" s="61"/>
      <c r="EN228" s="61"/>
      <c r="EO228" s="61"/>
      <c r="EP228" s="61"/>
      <c r="EQ228" s="61"/>
      <c r="ER228" s="61"/>
      <c r="ES228" s="61"/>
      <c r="ET228" s="61"/>
      <c r="EU228" s="61"/>
      <c r="EV228" s="61"/>
      <c r="EW228" s="61"/>
    </row>
    <row r="229" spans="1:153">
      <c r="A229" s="56">
        <v>33543</v>
      </c>
      <c r="B229" s="57"/>
      <c r="C229" s="7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71"/>
      <c r="P229" s="60">
        <v>194.09399999999999</v>
      </c>
      <c r="Q229" s="61">
        <v>10.521000000000001</v>
      </c>
      <c r="R229" s="61">
        <v>241.541</v>
      </c>
      <c r="S229" s="61">
        <v>467.74099999999999</v>
      </c>
      <c r="T229" s="61">
        <v>202.13</v>
      </c>
      <c r="U229" s="61">
        <v>15.411</v>
      </c>
      <c r="V229" s="61">
        <v>4.2279999999999998</v>
      </c>
      <c r="W229" s="61">
        <v>4.43</v>
      </c>
      <c r="X229" s="61">
        <v>194.09399999999999</v>
      </c>
      <c r="Y229" s="61">
        <v>36.927</v>
      </c>
      <c r="Z229" s="61">
        <v>10.521000000000001</v>
      </c>
      <c r="AA229" s="61">
        <v>241.541</v>
      </c>
      <c r="AB229" s="60">
        <v>467.74099999999999</v>
      </c>
      <c r="AC229" s="62"/>
      <c r="AD229" s="61"/>
      <c r="AE229" s="61"/>
      <c r="AF229" s="61"/>
      <c r="AG229" s="61"/>
      <c r="AH229" s="61"/>
      <c r="AI229" s="61"/>
      <c r="AJ229" s="61"/>
      <c r="AK229" s="62"/>
      <c r="AL229" s="63"/>
      <c r="AM229" s="64"/>
      <c r="AN229" s="65" t="e">
        <v>#N/A</v>
      </c>
      <c r="AO229" s="61" t="e">
        <v>#N/A</v>
      </c>
      <c r="AP229" s="61" t="e">
        <v>#N/A</v>
      </c>
      <c r="AQ229" s="61" t="e">
        <v>#N/A</v>
      </c>
      <c r="AR229" s="61" t="e">
        <v>#N/A</v>
      </c>
      <c r="AS229" s="61" t="e">
        <v>#N/A</v>
      </c>
      <c r="AT229" s="61" t="e">
        <v>#N/A</v>
      </c>
      <c r="AU229" s="61" t="e">
        <v>#N/A</v>
      </c>
      <c r="AV229" s="61" t="e">
        <v>#N/A</v>
      </c>
      <c r="AW229" s="61" t="e">
        <v>#N/A</v>
      </c>
      <c r="AX229" s="65" t="e">
        <v>#N/A</v>
      </c>
      <c r="AY229" s="66">
        <v>0.48499999999999999</v>
      </c>
      <c r="AZ229" s="61">
        <v>3.95</v>
      </c>
      <c r="BA229" s="61">
        <v>50.137</v>
      </c>
      <c r="BB229" s="61">
        <v>54.572000000000003</v>
      </c>
      <c r="BC229" s="61">
        <v>9.1999999999999998E-2</v>
      </c>
      <c r="BD229" s="61">
        <v>0.247</v>
      </c>
      <c r="BE229" s="61">
        <v>1.2999999999999999E-2</v>
      </c>
      <c r="BF229" s="61" t="s">
        <v>122</v>
      </c>
      <c r="BG229" s="61">
        <v>5.6459999999999999</v>
      </c>
      <c r="BH229" s="61">
        <v>2.2480000000000002</v>
      </c>
      <c r="BI229" s="61">
        <v>3.5999999999999997E-2</v>
      </c>
      <c r="BJ229" s="61">
        <v>7.93</v>
      </c>
      <c r="BK229" s="66">
        <v>8.282</v>
      </c>
      <c r="BL229" s="67">
        <v>5.7610000000000001</v>
      </c>
      <c r="BM229" s="61" t="s">
        <v>121</v>
      </c>
      <c r="BN229" s="61" t="s">
        <v>121</v>
      </c>
      <c r="BO229" s="61" t="s">
        <v>121</v>
      </c>
      <c r="BP229" s="61">
        <v>5.7610000000000001</v>
      </c>
      <c r="BQ229" s="61">
        <v>200.04900000000001</v>
      </c>
      <c r="BR229" s="61">
        <v>14.507</v>
      </c>
      <c r="BS229" s="61">
        <v>0.26300000000000001</v>
      </c>
      <c r="BT229" s="61">
        <v>4.43</v>
      </c>
      <c r="BU229" s="61">
        <v>11.605</v>
      </c>
      <c r="BV229" s="61">
        <v>19.399999999999999</v>
      </c>
      <c r="BW229" s="61">
        <v>31.004999999999999</v>
      </c>
      <c r="BX229" s="67">
        <v>250.25399999999999</v>
      </c>
      <c r="BY229" s="68">
        <v>93096</v>
      </c>
      <c r="BZ229" s="68">
        <v>87641</v>
      </c>
      <c r="CA229" s="69">
        <v>7459</v>
      </c>
      <c r="CB229" s="68">
        <v>144458</v>
      </c>
      <c r="CC229" s="68">
        <v>6734</v>
      </c>
      <c r="CD229" s="61"/>
      <c r="CE229" s="64"/>
      <c r="CF229" s="64"/>
      <c r="CG229" s="70">
        <f t="shared" si="16"/>
        <v>6067.2359999999999</v>
      </c>
      <c r="CH229" s="70">
        <f t="shared" si="17"/>
        <v>313.27800000000002</v>
      </c>
      <c r="CI229" s="70">
        <f t="shared" si="18"/>
        <v>282.82799999999997</v>
      </c>
      <c r="CJ229" s="70">
        <f t="shared" si="20"/>
        <v>3910.0320000000002</v>
      </c>
      <c r="CK229" s="70">
        <f t="shared" si="20"/>
        <v>3680.922</v>
      </c>
      <c r="CL229" s="70">
        <f t="shared" si="19"/>
        <v>282.82799999999997</v>
      </c>
      <c r="CM229" s="61"/>
      <c r="CN229" s="61"/>
      <c r="CO229" s="61"/>
      <c r="CP229" s="61"/>
      <c r="CQ229" s="61"/>
      <c r="CR229" s="61"/>
      <c r="CS229" s="61"/>
      <c r="CT229" s="61"/>
      <c r="CU229" s="61"/>
      <c r="CV229" s="61"/>
      <c r="CW229" s="61"/>
      <c r="CX229" s="61"/>
      <c r="CY229" s="61"/>
      <c r="CZ229" s="61"/>
      <c r="DA229" s="61"/>
      <c r="DB229" s="61"/>
      <c r="DC229" s="61"/>
      <c r="DD229" s="61"/>
      <c r="DE229" s="61"/>
      <c r="DF229" s="61"/>
      <c r="DG229" s="61"/>
      <c r="DH229" s="61"/>
      <c r="DI229" s="61"/>
      <c r="DJ229" s="61"/>
      <c r="DK229" s="61"/>
      <c r="DL229" s="61"/>
      <c r="DM229" s="61"/>
      <c r="DN229" s="61"/>
      <c r="DO229" s="61"/>
      <c r="DP229" s="61"/>
      <c r="DQ229" s="61"/>
      <c r="DR229" s="61"/>
      <c r="DS229" s="61"/>
      <c r="DT229" s="61"/>
      <c r="DU229" s="61"/>
      <c r="DV229" s="61"/>
      <c r="DW229" s="61"/>
      <c r="DX229" s="61"/>
      <c r="DY229" s="61"/>
      <c r="DZ229" s="61"/>
      <c r="EA229" s="61"/>
      <c r="EB229" s="61"/>
      <c r="EC229" s="61"/>
      <c r="ED229" s="61"/>
      <c r="EE229" s="61"/>
      <c r="EF229" s="61"/>
      <c r="EG229" s="61"/>
      <c r="EH229" s="61"/>
      <c r="EI229" s="61"/>
      <c r="EJ229" s="61"/>
      <c r="EK229" s="61"/>
      <c r="EL229" s="61"/>
      <c r="EM229" s="61"/>
      <c r="EN229" s="61"/>
      <c r="EO229" s="61"/>
      <c r="EP229" s="61"/>
      <c r="EQ229" s="61"/>
      <c r="ER229" s="61"/>
      <c r="ES229" s="61"/>
      <c r="ET229" s="61"/>
      <c r="EU229" s="61"/>
      <c r="EV229" s="61"/>
      <c r="EW229" s="61"/>
    </row>
    <row r="230" spans="1:153">
      <c r="A230" s="56">
        <v>33573</v>
      </c>
      <c r="B230" s="57"/>
      <c r="C230" s="7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71"/>
      <c r="P230" s="60">
        <v>220.221</v>
      </c>
      <c r="Q230" s="61">
        <v>10.871</v>
      </c>
      <c r="R230" s="61">
        <v>267.03300000000002</v>
      </c>
      <c r="S230" s="61">
        <v>528.57899999999995</v>
      </c>
      <c r="T230" s="61">
        <v>239.63900000000001</v>
      </c>
      <c r="U230" s="61">
        <v>15.954000000000001</v>
      </c>
      <c r="V230" s="61">
        <v>3.9</v>
      </c>
      <c r="W230" s="61">
        <v>2.0529999999999999</v>
      </c>
      <c r="X230" s="61">
        <v>220.221</v>
      </c>
      <c r="Y230" s="61">
        <v>35.94</v>
      </c>
      <c r="Z230" s="61">
        <v>10.871</v>
      </c>
      <c r="AA230" s="61">
        <v>267.03300000000002</v>
      </c>
      <c r="AB230" s="60">
        <v>528.57899999999995</v>
      </c>
      <c r="AC230" s="62"/>
      <c r="AD230" s="61"/>
      <c r="AE230" s="61"/>
      <c r="AF230" s="61"/>
      <c r="AG230" s="61"/>
      <c r="AH230" s="61"/>
      <c r="AI230" s="61"/>
      <c r="AJ230" s="61"/>
      <c r="AK230" s="62"/>
      <c r="AL230" s="63"/>
      <c r="AM230" s="64"/>
      <c r="AN230" s="65" t="e">
        <v>#N/A</v>
      </c>
      <c r="AO230" s="61" t="e">
        <v>#N/A</v>
      </c>
      <c r="AP230" s="61" t="e">
        <v>#N/A</v>
      </c>
      <c r="AQ230" s="61" t="e">
        <v>#N/A</v>
      </c>
      <c r="AR230" s="61" t="e">
        <v>#N/A</v>
      </c>
      <c r="AS230" s="61" t="e">
        <v>#N/A</v>
      </c>
      <c r="AT230" s="61" t="e">
        <v>#N/A</v>
      </c>
      <c r="AU230" s="61" t="e">
        <v>#N/A</v>
      </c>
      <c r="AV230" s="61" t="e">
        <v>#N/A</v>
      </c>
      <c r="AW230" s="61" t="e">
        <v>#N/A</v>
      </c>
      <c r="AX230" s="65" t="e">
        <v>#N/A</v>
      </c>
      <c r="AY230" s="66">
        <v>0.501</v>
      </c>
      <c r="AZ230" s="61">
        <v>3.7490000000000001</v>
      </c>
      <c r="BA230" s="61">
        <v>51.808</v>
      </c>
      <c r="BB230" s="61">
        <v>56.058999999999997</v>
      </c>
      <c r="BC230" s="61">
        <v>0.109</v>
      </c>
      <c r="BD230" s="61">
        <v>0.255</v>
      </c>
      <c r="BE230" s="61">
        <v>1.2999999999999999E-2</v>
      </c>
      <c r="BF230" s="61" t="s">
        <v>122</v>
      </c>
      <c r="BG230" s="61">
        <v>5.8680000000000003</v>
      </c>
      <c r="BH230" s="61">
        <v>2.1219999999999999</v>
      </c>
      <c r="BI230" s="61">
        <v>3.7999999999999999E-2</v>
      </c>
      <c r="BJ230" s="61">
        <v>8.0269999999999992</v>
      </c>
      <c r="BK230" s="66">
        <v>8.4030000000000005</v>
      </c>
      <c r="BL230" s="67">
        <v>5.9530000000000003</v>
      </c>
      <c r="BM230" s="61" t="s">
        <v>121</v>
      </c>
      <c r="BN230" s="61" t="s">
        <v>121</v>
      </c>
      <c r="BO230" s="61" t="s">
        <v>121</v>
      </c>
      <c r="BP230" s="61">
        <v>5.9530000000000003</v>
      </c>
      <c r="BQ230" s="61">
        <v>237.172</v>
      </c>
      <c r="BR230" s="61">
        <v>15.02</v>
      </c>
      <c r="BS230" s="61">
        <v>0.13600000000000001</v>
      </c>
      <c r="BT230" s="61">
        <v>2.0529999999999999</v>
      </c>
      <c r="BU230" s="61">
        <v>14.045999999999999</v>
      </c>
      <c r="BV230" s="61">
        <v>18.312999999999999</v>
      </c>
      <c r="BW230" s="61">
        <v>32.359000000000002</v>
      </c>
      <c r="BX230" s="67">
        <v>286.74</v>
      </c>
      <c r="BY230" s="68">
        <v>96310</v>
      </c>
      <c r="BZ230" s="68">
        <v>95710</v>
      </c>
      <c r="CA230" s="69">
        <v>7807</v>
      </c>
      <c r="CB230" s="68">
        <v>143515</v>
      </c>
      <c r="CC230" s="68">
        <v>9350</v>
      </c>
      <c r="CD230" s="61"/>
      <c r="CE230" s="64"/>
      <c r="CF230" s="64"/>
      <c r="CG230" s="70">
        <f t="shared" si="16"/>
        <v>6027.63</v>
      </c>
      <c r="CH230" s="70">
        <f t="shared" si="17"/>
        <v>327.89400000000001</v>
      </c>
      <c r="CI230" s="70">
        <f t="shared" si="18"/>
        <v>392.7</v>
      </c>
      <c r="CJ230" s="70">
        <f t="shared" si="20"/>
        <v>4045.02</v>
      </c>
      <c r="CK230" s="70">
        <f t="shared" si="20"/>
        <v>4019.82</v>
      </c>
      <c r="CL230" s="70">
        <f t="shared" si="19"/>
        <v>392.7</v>
      </c>
      <c r="CM230" s="61"/>
      <c r="CN230" s="61"/>
      <c r="CO230" s="61"/>
      <c r="CP230" s="61"/>
      <c r="CQ230" s="61"/>
      <c r="CR230" s="61"/>
      <c r="CS230" s="61"/>
      <c r="CT230" s="61"/>
      <c r="CU230" s="61"/>
      <c r="CV230" s="61"/>
      <c r="CW230" s="61"/>
      <c r="CX230" s="61"/>
      <c r="CY230" s="61"/>
      <c r="CZ230" s="61"/>
      <c r="DA230" s="61"/>
      <c r="DB230" s="61"/>
      <c r="DC230" s="61"/>
      <c r="DD230" s="61"/>
      <c r="DE230" s="61"/>
      <c r="DF230" s="61"/>
      <c r="DG230" s="61"/>
      <c r="DH230" s="61"/>
      <c r="DI230" s="61"/>
      <c r="DJ230" s="61"/>
      <c r="DK230" s="61"/>
      <c r="DL230" s="61"/>
      <c r="DM230" s="61"/>
      <c r="DN230" s="61"/>
      <c r="DO230" s="61"/>
      <c r="DP230" s="61"/>
      <c r="DQ230" s="61"/>
      <c r="DR230" s="61"/>
      <c r="DS230" s="61"/>
      <c r="DT230" s="61"/>
      <c r="DU230" s="61"/>
      <c r="DV230" s="61"/>
      <c r="DW230" s="61"/>
      <c r="DX230" s="61"/>
      <c r="DY230" s="61"/>
      <c r="DZ230" s="61"/>
      <c r="EA230" s="61"/>
      <c r="EB230" s="61"/>
      <c r="EC230" s="61"/>
      <c r="ED230" s="61"/>
      <c r="EE230" s="61"/>
      <c r="EF230" s="61"/>
      <c r="EG230" s="61"/>
      <c r="EH230" s="61"/>
      <c r="EI230" s="61"/>
      <c r="EJ230" s="61"/>
      <c r="EK230" s="61"/>
      <c r="EL230" s="61"/>
      <c r="EM230" s="61"/>
      <c r="EN230" s="61"/>
      <c r="EO230" s="61"/>
      <c r="EP230" s="61"/>
      <c r="EQ230" s="61"/>
      <c r="ER230" s="61"/>
      <c r="ES230" s="61"/>
      <c r="ET230" s="61"/>
      <c r="EU230" s="61"/>
      <c r="EV230" s="61"/>
      <c r="EW230" s="61"/>
    </row>
    <row r="231" spans="1:153">
      <c r="A231" s="56">
        <v>33604</v>
      </c>
      <c r="B231" s="57"/>
      <c r="C231" s="7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71"/>
      <c r="P231" s="60">
        <v>225.22300000000001</v>
      </c>
      <c r="Q231" s="61">
        <v>12.282</v>
      </c>
      <c r="R231" s="61">
        <v>279.197</v>
      </c>
      <c r="S231" s="61">
        <v>535.60400000000004</v>
      </c>
      <c r="T231" s="61">
        <v>235.95</v>
      </c>
      <c r="U231" s="61">
        <v>15.635</v>
      </c>
      <c r="V231" s="61">
        <v>3.2709999999999999</v>
      </c>
      <c r="W231" s="61">
        <v>1.5509999999999999</v>
      </c>
      <c r="X231" s="61">
        <v>225.22300000000001</v>
      </c>
      <c r="Y231" s="61">
        <v>41.692</v>
      </c>
      <c r="Z231" s="61">
        <v>12.282</v>
      </c>
      <c r="AA231" s="61">
        <v>279.197</v>
      </c>
      <c r="AB231" s="60">
        <v>535.60400000000004</v>
      </c>
      <c r="AC231" s="62"/>
      <c r="AD231" s="61"/>
      <c r="AE231" s="61"/>
      <c r="AF231" s="61"/>
      <c r="AG231" s="61"/>
      <c r="AH231" s="61"/>
      <c r="AI231" s="61"/>
      <c r="AJ231" s="61"/>
      <c r="AK231" s="62"/>
      <c r="AL231" s="63"/>
      <c r="AM231" s="64"/>
      <c r="AN231" s="65" t="e">
        <v>#N/A</v>
      </c>
      <c r="AO231" s="61" t="e">
        <v>#N/A</v>
      </c>
      <c r="AP231" s="61" t="e">
        <v>#N/A</v>
      </c>
      <c r="AQ231" s="61" t="e">
        <v>#N/A</v>
      </c>
      <c r="AR231" s="61" t="e">
        <v>#N/A</v>
      </c>
      <c r="AS231" s="61" t="e">
        <v>#N/A</v>
      </c>
      <c r="AT231" s="61" t="e">
        <v>#N/A</v>
      </c>
      <c r="AU231" s="61" t="e">
        <v>#N/A</v>
      </c>
      <c r="AV231" s="61" t="e">
        <v>#N/A</v>
      </c>
      <c r="AW231" s="61" t="e">
        <v>#N/A</v>
      </c>
      <c r="AX231" s="65" t="e">
        <v>#N/A</v>
      </c>
      <c r="AY231" s="66">
        <v>0.54200000000000004</v>
      </c>
      <c r="AZ231" s="61">
        <v>3.1680000000000001</v>
      </c>
      <c r="BA231" s="61">
        <v>54.207999999999998</v>
      </c>
      <c r="BB231" s="61">
        <v>57.917000000000002</v>
      </c>
      <c r="BC231" s="61">
        <v>0.114</v>
      </c>
      <c r="BD231" s="61">
        <v>0.27100000000000002</v>
      </c>
      <c r="BE231" s="61">
        <v>1.0999999999999999E-2</v>
      </c>
      <c r="BF231" s="61" t="s">
        <v>122</v>
      </c>
      <c r="BG231" s="61">
        <v>6.1459999999999999</v>
      </c>
      <c r="BH231" s="61">
        <v>2.9060000000000001</v>
      </c>
      <c r="BI231" s="61">
        <v>3.9E-2</v>
      </c>
      <c r="BJ231" s="61">
        <v>9.0909999999999993</v>
      </c>
      <c r="BK231" s="66">
        <v>9.4870000000000001</v>
      </c>
      <c r="BL231" s="67">
        <v>6.7539999999999996</v>
      </c>
      <c r="BM231" s="61" t="s">
        <v>121</v>
      </c>
      <c r="BN231" s="61" t="s">
        <v>121</v>
      </c>
      <c r="BO231" s="61" t="s">
        <v>121</v>
      </c>
      <c r="BP231" s="61">
        <v>6.7539999999999996</v>
      </c>
      <c r="BQ231" s="61">
        <v>233.08600000000001</v>
      </c>
      <c r="BR231" s="61">
        <v>14.635</v>
      </c>
      <c r="BS231" s="61">
        <v>0.09</v>
      </c>
      <c r="BT231" s="61">
        <v>1.5509999999999999</v>
      </c>
      <c r="BU231" s="61">
        <v>15.026999999999999</v>
      </c>
      <c r="BV231" s="61">
        <v>23.48</v>
      </c>
      <c r="BW231" s="61">
        <v>38.506999999999998</v>
      </c>
      <c r="BX231" s="67">
        <v>287.86900000000003</v>
      </c>
      <c r="BY231" s="68">
        <v>87368</v>
      </c>
      <c r="BZ231" s="68">
        <v>100166</v>
      </c>
      <c r="CA231" s="69">
        <v>7178</v>
      </c>
      <c r="CB231" s="68">
        <v>126733</v>
      </c>
      <c r="CC231" s="68">
        <v>11162</v>
      </c>
      <c r="CD231" s="61"/>
      <c r="CE231" s="64"/>
      <c r="CF231" s="64"/>
      <c r="CG231" s="70">
        <f t="shared" si="16"/>
        <v>5322.7860000000001</v>
      </c>
      <c r="CH231" s="70">
        <f t="shared" si="17"/>
        <v>301.476</v>
      </c>
      <c r="CI231" s="70">
        <f t="shared" si="18"/>
        <v>468.80399999999997</v>
      </c>
      <c r="CJ231" s="70">
        <f t="shared" si="20"/>
        <v>3669.4560000000001</v>
      </c>
      <c r="CK231" s="70">
        <f t="shared" si="20"/>
        <v>4206.9719999999998</v>
      </c>
      <c r="CL231" s="70">
        <f t="shared" si="19"/>
        <v>468.80399999999997</v>
      </c>
      <c r="CM231" s="61"/>
      <c r="CN231" s="61"/>
      <c r="CO231" s="61"/>
      <c r="CP231" s="61"/>
      <c r="CQ231" s="61"/>
      <c r="CR231" s="61"/>
      <c r="CS231" s="61"/>
      <c r="CT231" s="61"/>
      <c r="CU231" s="61"/>
      <c r="CV231" s="61"/>
      <c r="CW231" s="61"/>
      <c r="CX231" s="61"/>
      <c r="CY231" s="61"/>
      <c r="CZ231" s="61"/>
      <c r="DA231" s="61"/>
      <c r="DB231" s="61"/>
      <c r="DC231" s="61"/>
      <c r="DD231" s="61"/>
      <c r="DE231" s="61"/>
      <c r="DF231" s="61"/>
      <c r="DG231" s="61"/>
      <c r="DH231" s="61"/>
      <c r="DI231" s="61"/>
      <c r="DJ231" s="61"/>
      <c r="DK231" s="61"/>
      <c r="DL231" s="61"/>
      <c r="DM231" s="61"/>
      <c r="DN231" s="61"/>
      <c r="DO231" s="61"/>
      <c r="DP231" s="61"/>
      <c r="DQ231" s="61"/>
      <c r="DR231" s="61"/>
      <c r="DS231" s="61"/>
      <c r="DT231" s="61"/>
      <c r="DU231" s="61"/>
      <c r="DV231" s="61"/>
      <c r="DW231" s="61"/>
      <c r="DX231" s="61"/>
      <c r="DY231" s="61"/>
      <c r="DZ231" s="61"/>
      <c r="EA231" s="61"/>
      <c r="EB231" s="61"/>
      <c r="EC231" s="61"/>
      <c r="ED231" s="61"/>
      <c r="EE231" s="61"/>
      <c r="EF231" s="61"/>
      <c r="EG231" s="61"/>
      <c r="EH231" s="61"/>
      <c r="EI231" s="61"/>
      <c r="EJ231" s="61"/>
      <c r="EK231" s="61"/>
      <c r="EL231" s="61"/>
      <c r="EM231" s="61"/>
      <c r="EN231" s="61"/>
      <c r="EO231" s="61"/>
      <c r="EP231" s="61"/>
      <c r="EQ231" s="61"/>
      <c r="ER231" s="61"/>
      <c r="ES231" s="61"/>
      <c r="ET231" s="61"/>
      <c r="EU231" s="61"/>
      <c r="EV231" s="61"/>
      <c r="EW231" s="61"/>
    </row>
    <row r="232" spans="1:153">
      <c r="A232" s="56">
        <v>33635</v>
      </c>
      <c r="B232" s="57"/>
      <c r="C232" s="7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71"/>
      <c r="P232" s="60">
        <v>179.107</v>
      </c>
      <c r="Q232" s="61">
        <v>11.489000000000001</v>
      </c>
      <c r="R232" s="61">
        <v>230.46799999999999</v>
      </c>
      <c r="S232" s="61">
        <v>449.19200000000001</v>
      </c>
      <c r="T232" s="61">
        <v>196.02099999999999</v>
      </c>
      <c r="U232" s="61">
        <v>13.827</v>
      </c>
      <c r="V232" s="61">
        <v>3.544</v>
      </c>
      <c r="W232" s="61">
        <v>5.3330000000000002</v>
      </c>
      <c r="X232" s="61">
        <v>179.107</v>
      </c>
      <c r="Y232" s="61">
        <v>39.871000000000002</v>
      </c>
      <c r="Z232" s="61">
        <v>11.489000000000001</v>
      </c>
      <c r="AA232" s="61">
        <v>230.46799999999999</v>
      </c>
      <c r="AB232" s="60">
        <v>449.19200000000001</v>
      </c>
      <c r="AC232" s="62"/>
      <c r="AD232" s="61"/>
      <c r="AE232" s="61"/>
      <c r="AF232" s="61"/>
      <c r="AG232" s="61"/>
      <c r="AH232" s="61"/>
      <c r="AI232" s="61"/>
      <c r="AJ232" s="61"/>
      <c r="AK232" s="62"/>
      <c r="AL232" s="63"/>
      <c r="AM232" s="64"/>
      <c r="AN232" s="65" t="e">
        <v>#N/A</v>
      </c>
      <c r="AO232" s="61" t="e">
        <v>#N/A</v>
      </c>
      <c r="AP232" s="61" t="e">
        <v>#N/A</v>
      </c>
      <c r="AQ232" s="61" t="e">
        <v>#N/A</v>
      </c>
      <c r="AR232" s="61" t="e">
        <v>#N/A</v>
      </c>
      <c r="AS232" s="61" t="e">
        <v>#N/A</v>
      </c>
      <c r="AT232" s="61" t="e">
        <v>#N/A</v>
      </c>
      <c r="AU232" s="61" t="e">
        <v>#N/A</v>
      </c>
      <c r="AV232" s="61" t="e">
        <v>#N/A</v>
      </c>
      <c r="AW232" s="61" t="e">
        <v>#N/A</v>
      </c>
      <c r="AX232" s="65" t="e">
        <v>#N/A</v>
      </c>
      <c r="AY232" s="66">
        <v>0.50700000000000001</v>
      </c>
      <c r="AZ232" s="61">
        <v>3.415</v>
      </c>
      <c r="BA232" s="61">
        <v>50.71</v>
      </c>
      <c r="BB232" s="61">
        <v>54.631999999999998</v>
      </c>
      <c r="BC232" s="61">
        <v>9.5000000000000001E-2</v>
      </c>
      <c r="BD232" s="61">
        <v>0.254</v>
      </c>
      <c r="BE232" s="61">
        <v>1.2E-2</v>
      </c>
      <c r="BF232" s="61" t="s">
        <v>122</v>
      </c>
      <c r="BG232" s="61">
        <v>5.7009999999999996</v>
      </c>
      <c r="BH232" s="61">
        <v>2.8029999999999999</v>
      </c>
      <c r="BI232" s="61">
        <v>3.6999999999999998E-2</v>
      </c>
      <c r="BJ232" s="61">
        <v>8.5399999999999991</v>
      </c>
      <c r="BK232" s="66">
        <v>8.9</v>
      </c>
      <c r="BL232" s="67">
        <v>6.319</v>
      </c>
      <c r="BM232" s="61" t="s">
        <v>121</v>
      </c>
      <c r="BN232" s="61" t="s">
        <v>121</v>
      </c>
      <c r="BO232" s="61" t="s">
        <v>121</v>
      </c>
      <c r="BP232" s="61">
        <v>6.319</v>
      </c>
      <c r="BQ232" s="61">
        <v>193.64099999999999</v>
      </c>
      <c r="BR232" s="61">
        <v>12.891999999999999</v>
      </c>
      <c r="BS232" s="61">
        <v>0.115</v>
      </c>
      <c r="BT232" s="61">
        <v>5.3330000000000002</v>
      </c>
      <c r="BU232" s="61">
        <v>10.657999999999999</v>
      </c>
      <c r="BV232" s="61">
        <v>22.649000000000001</v>
      </c>
      <c r="BW232" s="61">
        <v>33.307000000000002</v>
      </c>
      <c r="BX232" s="67">
        <v>245.28800000000001</v>
      </c>
      <c r="BY232" s="68">
        <v>77163</v>
      </c>
      <c r="BZ232" s="68">
        <v>93346</v>
      </c>
      <c r="CA232" s="69">
        <v>6298</v>
      </c>
      <c r="CB232" s="68">
        <v>108773</v>
      </c>
      <c r="CC232" s="68">
        <v>8075</v>
      </c>
      <c r="CD232" s="61"/>
      <c r="CE232" s="64"/>
      <c r="CF232" s="64"/>
      <c r="CG232" s="70">
        <f t="shared" si="16"/>
        <v>4568.4660000000003</v>
      </c>
      <c r="CH232" s="70">
        <f t="shared" si="17"/>
        <v>264.51600000000002</v>
      </c>
      <c r="CI232" s="70">
        <f t="shared" si="18"/>
        <v>339.15</v>
      </c>
      <c r="CJ232" s="70">
        <f t="shared" si="20"/>
        <v>3240.846</v>
      </c>
      <c r="CK232" s="70">
        <f t="shared" si="20"/>
        <v>3920.5320000000002</v>
      </c>
      <c r="CL232" s="70">
        <f t="shared" si="19"/>
        <v>339.15</v>
      </c>
      <c r="CM232" s="61"/>
      <c r="CN232" s="61"/>
      <c r="CO232" s="61"/>
      <c r="CP232" s="61"/>
      <c r="CQ232" s="61"/>
      <c r="CR232" s="61"/>
      <c r="CS232" s="61"/>
      <c r="CT232" s="61"/>
      <c r="CU232" s="61"/>
      <c r="CV232" s="61"/>
      <c r="CW232" s="61"/>
      <c r="CX232" s="61"/>
      <c r="CY232" s="61"/>
      <c r="CZ232" s="61"/>
      <c r="DA232" s="61"/>
      <c r="DB232" s="61"/>
      <c r="DC232" s="61"/>
      <c r="DD232" s="61"/>
      <c r="DE232" s="61"/>
      <c r="DF232" s="61"/>
      <c r="DG232" s="61"/>
      <c r="DH232" s="61"/>
      <c r="DI232" s="61"/>
      <c r="DJ232" s="61"/>
      <c r="DK232" s="61"/>
      <c r="DL232" s="61"/>
      <c r="DM232" s="61"/>
      <c r="DN232" s="61"/>
      <c r="DO232" s="61"/>
      <c r="DP232" s="61"/>
      <c r="DQ232" s="61"/>
      <c r="DR232" s="61"/>
      <c r="DS232" s="61"/>
      <c r="DT232" s="61"/>
      <c r="DU232" s="61"/>
      <c r="DV232" s="61"/>
      <c r="DW232" s="61"/>
      <c r="DX232" s="61"/>
      <c r="DY232" s="61"/>
      <c r="DZ232" s="61"/>
      <c r="EA232" s="61"/>
      <c r="EB232" s="61"/>
      <c r="EC232" s="61"/>
      <c r="ED232" s="61"/>
      <c r="EE232" s="61"/>
      <c r="EF232" s="61"/>
      <c r="EG232" s="61"/>
      <c r="EH232" s="61"/>
      <c r="EI232" s="61"/>
      <c r="EJ232" s="61"/>
      <c r="EK232" s="61"/>
      <c r="EL232" s="61"/>
      <c r="EM232" s="61"/>
      <c r="EN232" s="61"/>
      <c r="EO232" s="61"/>
      <c r="EP232" s="61"/>
      <c r="EQ232" s="61"/>
      <c r="ER232" s="61"/>
      <c r="ES232" s="61"/>
      <c r="ET232" s="61"/>
      <c r="EU232" s="61"/>
      <c r="EV232" s="61"/>
      <c r="EW232" s="61"/>
    </row>
    <row r="233" spans="1:153">
      <c r="A233" s="56">
        <v>33664</v>
      </c>
      <c r="B233" s="57"/>
      <c r="C233" s="7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71"/>
      <c r="P233" s="60">
        <v>169.584</v>
      </c>
      <c r="Q233" s="61">
        <v>12.282</v>
      </c>
      <c r="R233" s="61">
        <v>221.17699999999999</v>
      </c>
      <c r="S233" s="61">
        <v>482.78100000000001</v>
      </c>
      <c r="T233" s="61">
        <v>237.66</v>
      </c>
      <c r="U233" s="61">
        <v>15.679</v>
      </c>
      <c r="V233" s="61">
        <v>4.8710000000000004</v>
      </c>
      <c r="W233" s="61">
        <v>3.3929999999999998</v>
      </c>
      <c r="X233" s="61">
        <v>169.584</v>
      </c>
      <c r="Y233" s="61">
        <v>39.311999999999998</v>
      </c>
      <c r="Z233" s="61">
        <v>12.282</v>
      </c>
      <c r="AA233" s="61">
        <v>221.17699999999999</v>
      </c>
      <c r="AB233" s="60">
        <v>482.78100000000001</v>
      </c>
      <c r="AC233" s="62"/>
      <c r="AD233" s="61"/>
      <c r="AE233" s="61"/>
      <c r="AF233" s="61"/>
      <c r="AG233" s="61"/>
      <c r="AH233" s="61"/>
      <c r="AI233" s="61"/>
      <c r="AJ233" s="61"/>
      <c r="AK233" s="62"/>
      <c r="AL233" s="63"/>
      <c r="AM233" s="64"/>
      <c r="AN233" s="65" t="e">
        <v>#N/A</v>
      </c>
      <c r="AO233" s="61" t="e">
        <v>#N/A</v>
      </c>
      <c r="AP233" s="61" t="e">
        <v>#N/A</v>
      </c>
      <c r="AQ233" s="61" t="e">
        <v>#N/A</v>
      </c>
      <c r="AR233" s="61" t="e">
        <v>#N/A</v>
      </c>
      <c r="AS233" s="61" t="e">
        <v>#N/A</v>
      </c>
      <c r="AT233" s="61" t="e">
        <v>#N/A</v>
      </c>
      <c r="AU233" s="61" t="e">
        <v>#N/A</v>
      </c>
      <c r="AV233" s="61" t="e">
        <v>#N/A</v>
      </c>
      <c r="AW233" s="61" t="e">
        <v>#N/A</v>
      </c>
      <c r="AX233" s="65" t="e">
        <v>#N/A</v>
      </c>
      <c r="AY233" s="66">
        <v>0.54200000000000004</v>
      </c>
      <c r="AZ233" s="61">
        <v>4.7050000000000001</v>
      </c>
      <c r="BA233" s="61">
        <v>54.207999999999998</v>
      </c>
      <c r="BB233" s="61">
        <v>59.454000000000001</v>
      </c>
      <c r="BC233" s="61">
        <v>0.115</v>
      </c>
      <c r="BD233" s="61">
        <v>0.27100000000000002</v>
      </c>
      <c r="BE233" s="61">
        <v>1.7000000000000001E-2</v>
      </c>
      <c r="BF233" s="61" t="s">
        <v>122</v>
      </c>
      <c r="BG233" s="61">
        <v>6.06</v>
      </c>
      <c r="BH233" s="61">
        <v>2.6739999999999999</v>
      </c>
      <c r="BI233" s="61">
        <v>3.9E-2</v>
      </c>
      <c r="BJ233" s="61">
        <v>8.7729999999999997</v>
      </c>
      <c r="BK233" s="66">
        <v>9.1760000000000002</v>
      </c>
      <c r="BL233" s="67">
        <v>6.7539999999999996</v>
      </c>
      <c r="BM233" s="61" t="s">
        <v>121</v>
      </c>
      <c r="BN233" s="61" t="s">
        <v>121</v>
      </c>
      <c r="BO233" s="61" t="s">
        <v>121</v>
      </c>
      <c r="BP233" s="61">
        <v>6.7539999999999996</v>
      </c>
      <c r="BQ233" s="61">
        <v>234.77500000000001</v>
      </c>
      <c r="BR233" s="61">
        <v>14.679</v>
      </c>
      <c r="BS233" s="61">
        <v>0.14599999999999999</v>
      </c>
      <c r="BT233" s="61">
        <v>3.3929999999999998</v>
      </c>
      <c r="BU233" s="61">
        <v>9.0389999999999997</v>
      </c>
      <c r="BV233" s="61">
        <v>21.606999999999999</v>
      </c>
      <c r="BW233" s="61">
        <v>30.646000000000001</v>
      </c>
      <c r="BX233" s="67">
        <v>283.64</v>
      </c>
      <c r="BY233" s="68">
        <v>85206</v>
      </c>
      <c r="BZ233" s="68">
        <v>99405</v>
      </c>
      <c r="CA233" s="69">
        <v>7366</v>
      </c>
      <c r="CB233" s="68">
        <v>97676</v>
      </c>
      <c r="CC233" s="68">
        <v>4264</v>
      </c>
      <c r="CD233" s="61"/>
      <c r="CE233" s="64"/>
      <c r="CF233" s="64"/>
      <c r="CG233" s="70">
        <f t="shared" si="16"/>
        <v>4102.3919999999998</v>
      </c>
      <c r="CH233" s="70">
        <f t="shared" si="17"/>
        <v>309.37200000000001</v>
      </c>
      <c r="CI233" s="70">
        <f t="shared" si="18"/>
        <v>179.08799999999999</v>
      </c>
      <c r="CJ233" s="70">
        <f t="shared" si="20"/>
        <v>3578.652</v>
      </c>
      <c r="CK233" s="70">
        <f t="shared" si="20"/>
        <v>4175.01</v>
      </c>
      <c r="CL233" s="70">
        <f t="shared" si="19"/>
        <v>179.08799999999999</v>
      </c>
      <c r="CM233" s="61"/>
      <c r="CN233" s="61"/>
      <c r="CO233" s="61"/>
      <c r="CP233" s="61"/>
      <c r="CQ233" s="61"/>
      <c r="CR233" s="61"/>
      <c r="CS233" s="61"/>
      <c r="CT233" s="61"/>
      <c r="CU233" s="61"/>
      <c r="CV233" s="61"/>
      <c r="CW233" s="61"/>
      <c r="CX233" s="61"/>
      <c r="CY233" s="61"/>
      <c r="CZ233" s="61"/>
      <c r="DA233" s="61"/>
      <c r="DB233" s="61"/>
      <c r="DC233" s="61"/>
      <c r="DD233" s="61"/>
      <c r="DE233" s="61"/>
      <c r="DF233" s="61"/>
      <c r="DG233" s="61"/>
      <c r="DH233" s="61"/>
      <c r="DI233" s="61"/>
      <c r="DJ233" s="61"/>
      <c r="DK233" s="61"/>
      <c r="DL233" s="61"/>
      <c r="DM233" s="61"/>
      <c r="DN233" s="61"/>
      <c r="DO233" s="61"/>
      <c r="DP233" s="61"/>
      <c r="DQ233" s="61"/>
      <c r="DR233" s="61"/>
      <c r="DS233" s="61"/>
      <c r="DT233" s="61"/>
      <c r="DU233" s="61"/>
      <c r="DV233" s="61"/>
      <c r="DW233" s="61"/>
      <c r="DX233" s="61"/>
      <c r="DY233" s="61"/>
      <c r="DZ233" s="61"/>
      <c r="EA233" s="61"/>
      <c r="EB233" s="61"/>
      <c r="EC233" s="61"/>
      <c r="ED233" s="61"/>
      <c r="EE233" s="61"/>
      <c r="EF233" s="61"/>
      <c r="EG233" s="61"/>
      <c r="EH233" s="61"/>
      <c r="EI233" s="61"/>
      <c r="EJ233" s="61"/>
      <c r="EK233" s="61"/>
      <c r="EL233" s="61"/>
      <c r="EM233" s="61"/>
      <c r="EN233" s="61"/>
      <c r="EO233" s="61"/>
      <c r="EP233" s="61"/>
      <c r="EQ233" s="61"/>
      <c r="ER233" s="61"/>
      <c r="ES233" s="61"/>
      <c r="ET233" s="61"/>
      <c r="EU233" s="61"/>
      <c r="EV233" s="61"/>
      <c r="EW233" s="61"/>
    </row>
    <row r="234" spans="1:153">
      <c r="A234" s="56">
        <v>33695</v>
      </c>
      <c r="B234" s="57"/>
      <c r="C234" s="7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71"/>
      <c r="P234" s="60">
        <v>162.501</v>
      </c>
      <c r="Q234" s="61">
        <v>11.885999999999999</v>
      </c>
      <c r="R234" s="61">
        <v>210.172</v>
      </c>
      <c r="S234" s="61">
        <v>445.952</v>
      </c>
      <c r="T234" s="61">
        <v>212.71899999999999</v>
      </c>
      <c r="U234" s="61">
        <v>14.254</v>
      </c>
      <c r="V234" s="61">
        <v>5.51</v>
      </c>
      <c r="W234" s="61">
        <v>3.2970000000000002</v>
      </c>
      <c r="X234" s="61">
        <v>162.501</v>
      </c>
      <c r="Y234" s="61">
        <v>35.784999999999997</v>
      </c>
      <c r="Z234" s="61">
        <v>11.885999999999999</v>
      </c>
      <c r="AA234" s="61">
        <v>210.172</v>
      </c>
      <c r="AB234" s="60">
        <v>445.952</v>
      </c>
      <c r="AC234" s="62"/>
      <c r="AD234" s="61"/>
      <c r="AE234" s="61"/>
      <c r="AF234" s="61"/>
      <c r="AG234" s="61"/>
      <c r="AH234" s="61"/>
      <c r="AI234" s="61"/>
      <c r="AJ234" s="61"/>
      <c r="AK234" s="62"/>
      <c r="AL234" s="63"/>
      <c r="AM234" s="64"/>
      <c r="AN234" s="65" t="e">
        <v>#N/A</v>
      </c>
      <c r="AO234" s="61" t="e">
        <v>#N/A</v>
      </c>
      <c r="AP234" s="61" t="e">
        <v>#N/A</v>
      </c>
      <c r="AQ234" s="61" t="e">
        <v>#N/A</v>
      </c>
      <c r="AR234" s="61" t="e">
        <v>#N/A</v>
      </c>
      <c r="AS234" s="61" t="e">
        <v>#N/A</v>
      </c>
      <c r="AT234" s="61" t="e">
        <v>#N/A</v>
      </c>
      <c r="AU234" s="61" t="e">
        <v>#N/A</v>
      </c>
      <c r="AV234" s="61" t="e">
        <v>#N/A</v>
      </c>
      <c r="AW234" s="61" t="e">
        <v>#N/A</v>
      </c>
      <c r="AX234" s="65" t="e">
        <v>#N/A</v>
      </c>
      <c r="AY234" s="66">
        <v>0.52500000000000002</v>
      </c>
      <c r="AZ234" s="61">
        <v>5.1849999999999996</v>
      </c>
      <c r="BA234" s="61">
        <v>52.459000000000003</v>
      </c>
      <c r="BB234" s="61">
        <v>58.168999999999997</v>
      </c>
      <c r="BC234" s="61">
        <v>0.10299999999999999</v>
      </c>
      <c r="BD234" s="61">
        <v>0.26200000000000001</v>
      </c>
      <c r="BE234" s="61">
        <v>1.7999999999999999E-2</v>
      </c>
      <c r="BF234" s="61" t="s">
        <v>122</v>
      </c>
      <c r="BG234" s="61">
        <v>5.8620000000000001</v>
      </c>
      <c r="BH234" s="61">
        <v>2.3679999999999999</v>
      </c>
      <c r="BI234" s="61">
        <v>3.7999999999999999E-2</v>
      </c>
      <c r="BJ234" s="61">
        <v>8.2680000000000007</v>
      </c>
      <c r="BK234" s="66">
        <v>8.6509999999999998</v>
      </c>
      <c r="BL234" s="67">
        <v>6.5369999999999999</v>
      </c>
      <c r="BM234" s="61" t="s">
        <v>121</v>
      </c>
      <c r="BN234" s="61" t="s">
        <v>121</v>
      </c>
      <c r="BO234" s="61" t="s">
        <v>121</v>
      </c>
      <c r="BP234" s="61">
        <v>6.5369999999999999</v>
      </c>
      <c r="BQ234" s="61">
        <v>210.137</v>
      </c>
      <c r="BR234" s="61">
        <v>13.287000000000001</v>
      </c>
      <c r="BS234" s="61">
        <v>0.30299999999999999</v>
      </c>
      <c r="BT234" s="61">
        <v>3.2970000000000002</v>
      </c>
      <c r="BU234" s="61">
        <v>8.5739999999999998</v>
      </c>
      <c r="BV234" s="61">
        <v>19.132000000000001</v>
      </c>
      <c r="BW234" s="61">
        <v>27.706</v>
      </c>
      <c r="BX234" s="67">
        <v>254.72900000000001</v>
      </c>
      <c r="BY234" s="68">
        <v>87898</v>
      </c>
      <c r="BZ234" s="68">
        <v>91156</v>
      </c>
      <c r="CA234" s="69">
        <v>6057</v>
      </c>
      <c r="CB234" s="68">
        <v>92131</v>
      </c>
      <c r="CC234" s="68">
        <v>8344</v>
      </c>
      <c r="CD234" s="61"/>
      <c r="CE234" s="64"/>
      <c r="CF234" s="64"/>
      <c r="CG234" s="70">
        <f t="shared" si="16"/>
        <v>3869.502</v>
      </c>
      <c r="CH234" s="70">
        <f t="shared" si="17"/>
        <v>254.39400000000001</v>
      </c>
      <c r="CI234" s="70">
        <f t="shared" si="18"/>
        <v>350.44799999999998</v>
      </c>
      <c r="CJ234" s="70">
        <f t="shared" si="20"/>
        <v>3691.7159999999999</v>
      </c>
      <c r="CK234" s="70">
        <f t="shared" si="20"/>
        <v>3828.5520000000001</v>
      </c>
      <c r="CL234" s="70">
        <f t="shared" si="19"/>
        <v>350.44799999999998</v>
      </c>
      <c r="CM234" s="61"/>
      <c r="CN234" s="61"/>
      <c r="CO234" s="61"/>
      <c r="CP234" s="61"/>
      <c r="CQ234" s="61"/>
      <c r="CR234" s="61"/>
      <c r="CS234" s="61"/>
      <c r="CT234" s="61"/>
      <c r="CU234" s="61"/>
      <c r="CV234" s="61"/>
      <c r="CW234" s="61"/>
      <c r="CX234" s="61"/>
      <c r="CY234" s="61"/>
      <c r="CZ234" s="61"/>
      <c r="DA234" s="61"/>
      <c r="DB234" s="61"/>
      <c r="DC234" s="61"/>
      <c r="DD234" s="61"/>
      <c r="DE234" s="61"/>
      <c r="DF234" s="61"/>
      <c r="DG234" s="61"/>
      <c r="DH234" s="61"/>
      <c r="DI234" s="61"/>
      <c r="DJ234" s="61"/>
      <c r="DK234" s="61"/>
      <c r="DL234" s="61"/>
      <c r="DM234" s="61"/>
      <c r="DN234" s="61"/>
      <c r="DO234" s="61"/>
      <c r="DP234" s="61"/>
      <c r="DQ234" s="61"/>
      <c r="DR234" s="61"/>
      <c r="DS234" s="61"/>
      <c r="DT234" s="61"/>
      <c r="DU234" s="61"/>
      <c r="DV234" s="61"/>
      <c r="DW234" s="61"/>
      <c r="DX234" s="61"/>
      <c r="DY234" s="61"/>
      <c r="DZ234" s="61"/>
      <c r="EA234" s="61"/>
      <c r="EB234" s="61"/>
      <c r="EC234" s="61"/>
      <c r="ED234" s="61"/>
      <c r="EE234" s="61"/>
      <c r="EF234" s="61"/>
      <c r="EG234" s="61"/>
      <c r="EH234" s="61"/>
      <c r="EI234" s="61"/>
      <c r="EJ234" s="61"/>
      <c r="EK234" s="61"/>
      <c r="EL234" s="61"/>
      <c r="EM234" s="61"/>
      <c r="EN234" s="61"/>
      <c r="EO234" s="61"/>
      <c r="EP234" s="61"/>
      <c r="EQ234" s="61"/>
      <c r="ER234" s="61"/>
      <c r="ES234" s="61"/>
      <c r="ET234" s="61"/>
      <c r="EU234" s="61"/>
      <c r="EV234" s="61"/>
      <c r="EW234" s="61"/>
    </row>
    <row r="235" spans="1:153">
      <c r="A235" s="56">
        <v>33725</v>
      </c>
      <c r="B235" s="57"/>
      <c r="C235" s="7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71"/>
      <c r="P235" s="60">
        <v>136.512</v>
      </c>
      <c r="Q235" s="61">
        <v>12.282</v>
      </c>
      <c r="R235" s="61">
        <v>190.53700000000001</v>
      </c>
      <c r="S235" s="61">
        <v>455.23599999999999</v>
      </c>
      <c r="T235" s="61">
        <v>242.42599999999999</v>
      </c>
      <c r="U235" s="61">
        <v>15.069000000000001</v>
      </c>
      <c r="V235" s="61">
        <v>6.234</v>
      </c>
      <c r="W235" s="61">
        <v>0.97</v>
      </c>
      <c r="X235" s="61">
        <v>136.512</v>
      </c>
      <c r="Y235" s="61">
        <v>41.743000000000002</v>
      </c>
      <c r="Z235" s="61">
        <v>12.282</v>
      </c>
      <c r="AA235" s="61">
        <v>190.53700000000001</v>
      </c>
      <c r="AB235" s="60">
        <v>455.23599999999999</v>
      </c>
      <c r="AC235" s="62"/>
      <c r="AD235" s="61"/>
      <c r="AE235" s="61"/>
      <c r="AF235" s="61"/>
      <c r="AG235" s="61"/>
      <c r="AH235" s="61"/>
      <c r="AI235" s="61"/>
      <c r="AJ235" s="61"/>
      <c r="AK235" s="62"/>
      <c r="AL235" s="63"/>
      <c r="AM235" s="64"/>
      <c r="AN235" s="65" t="e">
        <v>#N/A</v>
      </c>
      <c r="AO235" s="61" t="e">
        <v>#N/A</v>
      </c>
      <c r="AP235" s="61" t="e">
        <v>#N/A</v>
      </c>
      <c r="AQ235" s="61" t="e">
        <v>#N/A</v>
      </c>
      <c r="AR235" s="61" t="e">
        <v>#N/A</v>
      </c>
      <c r="AS235" s="61" t="e">
        <v>#N/A</v>
      </c>
      <c r="AT235" s="61" t="e">
        <v>#N/A</v>
      </c>
      <c r="AU235" s="61" t="e">
        <v>#N/A</v>
      </c>
      <c r="AV235" s="61" t="e">
        <v>#N/A</v>
      </c>
      <c r="AW235" s="61" t="e">
        <v>#N/A</v>
      </c>
      <c r="AX235" s="65" t="e">
        <v>#N/A</v>
      </c>
      <c r="AY235" s="66">
        <v>0.54200000000000004</v>
      </c>
      <c r="AZ235" s="61">
        <v>5.7240000000000002</v>
      </c>
      <c r="BA235" s="61">
        <v>54.207999999999998</v>
      </c>
      <c r="BB235" s="61">
        <v>60.473999999999997</v>
      </c>
      <c r="BC235" s="61">
        <v>0.11700000000000001</v>
      </c>
      <c r="BD235" s="61">
        <v>0.27100000000000002</v>
      </c>
      <c r="BE235" s="61">
        <v>0.02</v>
      </c>
      <c r="BF235" s="61" t="s">
        <v>122</v>
      </c>
      <c r="BG235" s="61">
        <v>6.0090000000000003</v>
      </c>
      <c r="BH235" s="61">
        <v>2.911</v>
      </c>
      <c r="BI235" s="61">
        <v>3.9E-2</v>
      </c>
      <c r="BJ235" s="61">
        <v>8.9589999999999996</v>
      </c>
      <c r="BK235" s="66">
        <v>9.3670000000000009</v>
      </c>
      <c r="BL235" s="67">
        <v>6.7539999999999996</v>
      </c>
      <c r="BM235" s="61" t="s">
        <v>121</v>
      </c>
      <c r="BN235" s="61" t="s">
        <v>121</v>
      </c>
      <c r="BO235" s="61" t="s">
        <v>121</v>
      </c>
      <c r="BP235" s="61">
        <v>6.7539999999999996</v>
      </c>
      <c r="BQ235" s="61">
        <v>239.483</v>
      </c>
      <c r="BR235" s="61">
        <v>14.07</v>
      </c>
      <c r="BS235" s="61">
        <v>0.48499999999999999</v>
      </c>
      <c r="BT235" s="61">
        <v>0.97</v>
      </c>
      <c r="BU235" s="61">
        <v>5.48</v>
      </c>
      <c r="BV235" s="61">
        <v>23.52</v>
      </c>
      <c r="BW235" s="61">
        <v>29</v>
      </c>
      <c r="BX235" s="67">
        <v>284.00799999999998</v>
      </c>
      <c r="BY235" s="68">
        <v>90934</v>
      </c>
      <c r="BZ235" s="68">
        <v>85333</v>
      </c>
      <c r="CA235" s="69">
        <v>5560</v>
      </c>
      <c r="CB235" s="68">
        <v>96425</v>
      </c>
      <c r="CC235" s="68">
        <v>6867</v>
      </c>
      <c r="CD235" s="61"/>
      <c r="CE235" s="64"/>
      <c r="CF235" s="64"/>
      <c r="CG235" s="70">
        <f t="shared" si="16"/>
        <v>4049.85</v>
      </c>
      <c r="CH235" s="70">
        <f t="shared" si="17"/>
        <v>233.52</v>
      </c>
      <c r="CI235" s="70">
        <f t="shared" si="18"/>
        <v>288.41399999999999</v>
      </c>
      <c r="CJ235" s="70">
        <f t="shared" si="20"/>
        <v>3819.2280000000001</v>
      </c>
      <c r="CK235" s="70">
        <f t="shared" si="20"/>
        <v>3583.9859999999999</v>
      </c>
      <c r="CL235" s="70">
        <f t="shared" si="19"/>
        <v>288.41399999999999</v>
      </c>
      <c r="CM235" s="61"/>
      <c r="CN235" s="61"/>
      <c r="CO235" s="61"/>
      <c r="CP235" s="61"/>
      <c r="CQ235" s="61"/>
      <c r="CR235" s="61"/>
      <c r="CS235" s="61"/>
      <c r="CT235" s="61"/>
      <c r="CU235" s="61"/>
      <c r="CV235" s="61"/>
      <c r="CW235" s="61"/>
      <c r="CX235" s="61"/>
      <c r="CY235" s="61"/>
      <c r="CZ235" s="61"/>
      <c r="DA235" s="61"/>
      <c r="DB235" s="61"/>
      <c r="DC235" s="61"/>
      <c r="DD235" s="61"/>
      <c r="DE235" s="61"/>
      <c r="DF235" s="61"/>
      <c r="DG235" s="61"/>
      <c r="DH235" s="61"/>
      <c r="DI235" s="61"/>
      <c r="DJ235" s="61"/>
      <c r="DK235" s="61"/>
      <c r="DL235" s="61"/>
      <c r="DM235" s="61"/>
      <c r="DN235" s="61"/>
      <c r="DO235" s="61"/>
      <c r="DP235" s="61"/>
      <c r="DQ235" s="61"/>
      <c r="DR235" s="61"/>
      <c r="DS235" s="61"/>
      <c r="DT235" s="61"/>
      <c r="DU235" s="61"/>
      <c r="DV235" s="61"/>
      <c r="DW235" s="61"/>
      <c r="DX235" s="61"/>
      <c r="DY235" s="61"/>
      <c r="DZ235" s="61"/>
      <c r="EA235" s="61"/>
      <c r="EB235" s="61"/>
      <c r="EC235" s="61"/>
      <c r="ED235" s="61"/>
      <c r="EE235" s="61"/>
      <c r="EF235" s="61"/>
      <c r="EG235" s="61"/>
      <c r="EH235" s="61"/>
      <c r="EI235" s="61"/>
      <c r="EJ235" s="61"/>
      <c r="EK235" s="61"/>
      <c r="EL235" s="61"/>
      <c r="EM235" s="61"/>
      <c r="EN235" s="61"/>
      <c r="EO235" s="61"/>
      <c r="EP235" s="61"/>
      <c r="EQ235" s="61"/>
      <c r="ER235" s="61"/>
      <c r="ES235" s="61"/>
      <c r="ET235" s="61"/>
      <c r="EU235" s="61"/>
      <c r="EV235" s="61"/>
      <c r="EW235" s="61"/>
    </row>
    <row r="236" spans="1:153">
      <c r="A236" s="56">
        <v>33756</v>
      </c>
      <c r="B236" s="57"/>
      <c r="C236" s="7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71"/>
      <c r="P236" s="60">
        <v>178.93799999999999</v>
      </c>
      <c r="Q236" s="61">
        <v>11.885999999999999</v>
      </c>
      <c r="R236" s="61">
        <v>230.98500000000001</v>
      </c>
      <c r="S236" s="61">
        <v>497.87799999999999</v>
      </c>
      <c r="T236" s="61">
        <v>244.96600000000001</v>
      </c>
      <c r="U236" s="61">
        <v>14.875999999999999</v>
      </c>
      <c r="V236" s="61">
        <v>6.2750000000000004</v>
      </c>
      <c r="W236" s="61">
        <v>0.77600000000000002</v>
      </c>
      <c r="X236" s="61">
        <v>178.93799999999999</v>
      </c>
      <c r="Y236" s="61">
        <v>40.161000000000001</v>
      </c>
      <c r="Z236" s="61">
        <v>11.885999999999999</v>
      </c>
      <c r="AA236" s="61">
        <v>230.98500000000001</v>
      </c>
      <c r="AB236" s="60">
        <v>497.87799999999999</v>
      </c>
      <c r="AC236" s="62"/>
      <c r="AD236" s="61"/>
      <c r="AE236" s="61"/>
      <c r="AF236" s="61"/>
      <c r="AG236" s="61"/>
      <c r="AH236" s="61"/>
      <c r="AI236" s="61"/>
      <c r="AJ236" s="61"/>
      <c r="AK236" s="62"/>
      <c r="AL236" s="63"/>
      <c r="AM236" s="64"/>
      <c r="AN236" s="65" t="e">
        <v>#N/A</v>
      </c>
      <c r="AO236" s="61" t="e">
        <v>#N/A</v>
      </c>
      <c r="AP236" s="61" t="e">
        <v>#N/A</v>
      </c>
      <c r="AQ236" s="61" t="e">
        <v>#N/A</v>
      </c>
      <c r="AR236" s="61" t="e">
        <v>#N/A</v>
      </c>
      <c r="AS236" s="61" t="e">
        <v>#N/A</v>
      </c>
      <c r="AT236" s="61" t="e">
        <v>#N/A</v>
      </c>
      <c r="AU236" s="61" t="e">
        <v>#N/A</v>
      </c>
      <c r="AV236" s="61" t="e">
        <v>#N/A</v>
      </c>
      <c r="AW236" s="61" t="e">
        <v>#N/A</v>
      </c>
      <c r="AX236" s="65" t="e">
        <v>#N/A</v>
      </c>
      <c r="AY236" s="66">
        <v>0.52500000000000002</v>
      </c>
      <c r="AZ236" s="61">
        <v>5.7759999999999998</v>
      </c>
      <c r="BA236" s="61">
        <v>52.459000000000003</v>
      </c>
      <c r="BB236" s="61">
        <v>58.76</v>
      </c>
      <c r="BC236" s="61">
        <v>0.11899999999999999</v>
      </c>
      <c r="BD236" s="61">
        <v>0.26200000000000001</v>
      </c>
      <c r="BE236" s="61">
        <v>0.02</v>
      </c>
      <c r="BF236" s="61" t="s">
        <v>122</v>
      </c>
      <c r="BG236" s="61">
        <v>5.8869999999999996</v>
      </c>
      <c r="BH236" s="61">
        <v>2.794</v>
      </c>
      <c r="BI236" s="61">
        <v>3.7999999999999999E-2</v>
      </c>
      <c r="BJ236" s="61">
        <v>8.7189999999999994</v>
      </c>
      <c r="BK236" s="66">
        <v>9.1199999999999992</v>
      </c>
      <c r="BL236" s="67">
        <v>6.5369999999999999</v>
      </c>
      <c r="BM236" s="61" t="s">
        <v>121</v>
      </c>
      <c r="BN236" s="61" t="s">
        <v>121</v>
      </c>
      <c r="BO236" s="61" t="s">
        <v>121</v>
      </c>
      <c r="BP236" s="61">
        <v>6.5369999999999999</v>
      </c>
      <c r="BQ236" s="61">
        <v>241.99299999999999</v>
      </c>
      <c r="BR236" s="61">
        <v>13.909000000000001</v>
      </c>
      <c r="BS236" s="61">
        <v>0.47499999999999998</v>
      </c>
      <c r="BT236" s="61">
        <v>0.77600000000000002</v>
      </c>
      <c r="BU236" s="61">
        <v>10.343</v>
      </c>
      <c r="BV236" s="61">
        <v>22.576000000000001</v>
      </c>
      <c r="BW236" s="61">
        <v>32.918999999999997</v>
      </c>
      <c r="BX236" s="67">
        <v>290.07100000000003</v>
      </c>
      <c r="BY236" s="68">
        <v>89836</v>
      </c>
      <c r="BZ236" s="68">
        <v>80368</v>
      </c>
      <c r="CA236" s="69">
        <v>4720</v>
      </c>
      <c r="CB236" s="68">
        <v>104473</v>
      </c>
      <c r="CC236" s="68">
        <v>6140</v>
      </c>
      <c r="CD236" s="61"/>
      <c r="CE236" s="64"/>
      <c r="CF236" s="64"/>
      <c r="CG236" s="70">
        <f t="shared" si="16"/>
        <v>4387.866</v>
      </c>
      <c r="CH236" s="70">
        <f t="shared" si="17"/>
        <v>198.24</v>
      </c>
      <c r="CI236" s="70">
        <f t="shared" si="18"/>
        <v>257.88</v>
      </c>
      <c r="CJ236" s="70">
        <f t="shared" si="20"/>
        <v>3773.1120000000001</v>
      </c>
      <c r="CK236" s="70">
        <f t="shared" si="20"/>
        <v>3375.4560000000001</v>
      </c>
      <c r="CL236" s="70">
        <f t="shared" si="19"/>
        <v>257.88</v>
      </c>
      <c r="CM236" s="61"/>
      <c r="CN236" s="61"/>
      <c r="CO236" s="61"/>
      <c r="CP236" s="61"/>
      <c r="CQ236" s="61"/>
      <c r="CR236" s="61"/>
      <c r="CS236" s="61"/>
      <c r="CT236" s="61"/>
      <c r="CU236" s="61"/>
      <c r="CV236" s="61"/>
      <c r="CW236" s="61"/>
      <c r="CX236" s="61"/>
      <c r="CY236" s="61"/>
      <c r="CZ236" s="61"/>
      <c r="DA236" s="61"/>
      <c r="DB236" s="61"/>
      <c r="DC236" s="61"/>
      <c r="DD236" s="61"/>
      <c r="DE236" s="61"/>
      <c r="DF236" s="61"/>
      <c r="DG236" s="61"/>
      <c r="DH236" s="61"/>
      <c r="DI236" s="61"/>
      <c r="DJ236" s="61"/>
      <c r="DK236" s="61"/>
      <c r="DL236" s="61"/>
      <c r="DM236" s="61"/>
      <c r="DN236" s="61"/>
      <c r="DO236" s="61"/>
      <c r="DP236" s="61"/>
      <c r="DQ236" s="61"/>
      <c r="DR236" s="61"/>
      <c r="DS236" s="61"/>
      <c r="DT236" s="61"/>
      <c r="DU236" s="61"/>
      <c r="DV236" s="61"/>
      <c r="DW236" s="61"/>
      <c r="DX236" s="61"/>
      <c r="DY236" s="61"/>
      <c r="DZ236" s="61"/>
      <c r="EA236" s="61"/>
      <c r="EB236" s="61"/>
      <c r="EC236" s="61"/>
      <c r="ED236" s="61"/>
      <c r="EE236" s="61"/>
      <c r="EF236" s="61"/>
      <c r="EG236" s="61"/>
      <c r="EH236" s="61"/>
      <c r="EI236" s="61"/>
      <c r="EJ236" s="61"/>
      <c r="EK236" s="61"/>
      <c r="EL236" s="61"/>
      <c r="EM236" s="61"/>
      <c r="EN236" s="61"/>
      <c r="EO236" s="61"/>
      <c r="EP236" s="61"/>
      <c r="EQ236" s="61"/>
      <c r="ER236" s="61"/>
      <c r="ES236" s="61"/>
      <c r="ET236" s="61"/>
      <c r="EU236" s="61"/>
      <c r="EV236" s="61"/>
      <c r="EW236" s="61"/>
    </row>
    <row r="237" spans="1:153">
      <c r="A237" s="56">
        <v>33786</v>
      </c>
      <c r="B237" s="57"/>
      <c r="C237" s="7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71"/>
      <c r="P237" s="60">
        <v>196.21799999999999</v>
      </c>
      <c r="Q237" s="61">
        <v>12.282</v>
      </c>
      <c r="R237" s="61">
        <v>250.15</v>
      </c>
      <c r="S237" s="61">
        <v>486.97399999999999</v>
      </c>
      <c r="T237" s="61">
        <v>214.20699999999999</v>
      </c>
      <c r="U237" s="61">
        <v>15.109</v>
      </c>
      <c r="V237" s="61">
        <v>6.7320000000000002</v>
      </c>
      <c r="W237" s="61">
        <v>0.77600000000000002</v>
      </c>
      <c r="X237" s="61">
        <v>196.21799999999999</v>
      </c>
      <c r="Y237" s="61">
        <v>41.651000000000003</v>
      </c>
      <c r="Z237" s="61">
        <v>12.282</v>
      </c>
      <c r="AA237" s="61">
        <v>250.15</v>
      </c>
      <c r="AB237" s="60">
        <v>486.97399999999999</v>
      </c>
      <c r="AC237" s="62"/>
      <c r="AD237" s="61"/>
      <c r="AE237" s="61"/>
      <c r="AF237" s="61"/>
      <c r="AG237" s="61"/>
      <c r="AH237" s="61"/>
      <c r="AI237" s="61"/>
      <c r="AJ237" s="61"/>
      <c r="AK237" s="62"/>
      <c r="AL237" s="63"/>
      <c r="AM237" s="64"/>
      <c r="AN237" s="65" t="e">
        <v>#N/A</v>
      </c>
      <c r="AO237" s="61" t="e">
        <v>#N/A</v>
      </c>
      <c r="AP237" s="61" t="e">
        <v>#N/A</v>
      </c>
      <c r="AQ237" s="61" t="e">
        <v>#N/A</v>
      </c>
      <c r="AR237" s="61" t="e">
        <v>#N/A</v>
      </c>
      <c r="AS237" s="61" t="e">
        <v>#N/A</v>
      </c>
      <c r="AT237" s="61" t="e">
        <v>#N/A</v>
      </c>
      <c r="AU237" s="61" t="e">
        <v>#N/A</v>
      </c>
      <c r="AV237" s="61" t="e">
        <v>#N/A</v>
      </c>
      <c r="AW237" s="61" t="e">
        <v>#N/A</v>
      </c>
      <c r="AX237" s="65" t="e">
        <v>#N/A</v>
      </c>
      <c r="AY237" s="66">
        <v>0.54200000000000004</v>
      </c>
      <c r="AZ237" s="61">
        <v>6.0629999999999997</v>
      </c>
      <c r="BA237" s="61">
        <v>54.207999999999998</v>
      </c>
      <c r="BB237" s="61">
        <v>60.813000000000002</v>
      </c>
      <c r="BC237" s="61">
        <v>0.104</v>
      </c>
      <c r="BD237" s="61">
        <v>0.27100000000000002</v>
      </c>
      <c r="BE237" s="61">
        <v>2.1000000000000001E-2</v>
      </c>
      <c r="BF237" s="61" t="s">
        <v>122</v>
      </c>
      <c r="BG237" s="61">
        <v>6.101</v>
      </c>
      <c r="BH237" s="61">
        <v>2.9020000000000001</v>
      </c>
      <c r="BI237" s="61">
        <v>3.9E-2</v>
      </c>
      <c r="BJ237" s="61">
        <v>9.0419999999999998</v>
      </c>
      <c r="BK237" s="66">
        <v>9.4380000000000006</v>
      </c>
      <c r="BL237" s="67">
        <v>6.7539999999999996</v>
      </c>
      <c r="BM237" s="61" t="s">
        <v>121</v>
      </c>
      <c r="BN237" s="61" t="s">
        <v>121</v>
      </c>
      <c r="BO237" s="61" t="s">
        <v>121</v>
      </c>
      <c r="BP237" s="61">
        <v>6.7539999999999996</v>
      </c>
      <c r="BQ237" s="61">
        <v>211.607</v>
      </c>
      <c r="BR237" s="61">
        <v>14.109</v>
      </c>
      <c r="BS237" s="61">
        <v>0.64300000000000002</v>
      </c>
      <c r="BT237" s="61">
        <v>0.77600000000000002</v>
      </c>
      <c r="BU237" s="61">
        <v>11.904999999999999</v>
      </c>
      <c r="BV237" s="61">
        <v>23.446999999999999</v>
      </c>
      <c r="BW237" s="61">
        <v>35.353000000000002</v>
      </c>
      <c r="BX237" s="67">
        <v>262.48700000000002</v>
      </c>
      <c r="BY237" s="68">
        <v>95071</v>
      </c>
      <c r="BZ237" s="68">
        <v>84006</v>
      </c>
      <c r="CA237" s="69">
        <v>5345</v>
      </c>
      <c r="CB237" s="68">
        <v>114639</v>
      </c>
      <c r="CC237" s="68">
        <v>6244</v>
      </c>
      <c r="CD237" s="61"/>
      <c r="CE237" s="64"/>
      <c r="CF237" s="64"/>
      <c r="CG237" s="70">
        <f t="shared" si="16"/>
        <v>4814.8379999999997</v>
      </c>
      <c r="CH237" s="70">
        <f t="shared" si="17"/>
        <v>224.49</v>
      </c>
      <c r="CI237" s="70">
        <f t="shared" si="18"/>
        <v>262.24799999999999</v>
      </c>
      <c r="CJ237" s="70">
        <f t="shared" si="20"/>
        <v>3992.982</v>
      </c>
      <c r="CK237" s="70">
        <f t="shared" si="20"/>
        <v>3528.252</v>
      </c>
      <c r="CL237" s="70">
        <f t="shared" si="19"/>
        <v>262.24799999999999</v>
      </c>
      <c r="CM237" s="61"/>
      <c r="CN237" s="61"/>
      <c r="CO237" s="61"/>
      <c r="CP237" s="61"/>
      <c r="CQ237" s="61"/>
      <c r="CR237" s="61"/>
      <c r="CS237" s="61"/>
      <c r="CT237" s="61"/>
      <c r="CU237" s="61"/>
      <c r="CV237" s="61"/>
      <c r="CW237" s="61"/>
      <c r="CX237" s="61"/>
      <c r="CY237" s="61"/>
      <c r="CZ237" s="61"/>
      <c r="DA237" s="61"/>
      <c r="DB237" s="61"/>
      <c r="DC237" s="61"/>
      <c r="DD237" s="61"/>
      <c r="DE237" s="61"/>
      <c r="DF237" s="61"/>
      <c r="DG237" s="61"/>
      <c r="DH237" s="61"/>
      <c r="DI237" s="61"/>
      <c r="DJ237" s="61"/>
      <c r="DK237" s="61"/>
      <c r="DL237" s="61"/>
      <c r="DM237" s="61"/>
      <c r="DN237" s="61"/>
      <c r="DO237" s="61"/>
      <c r="DP237" s="61"/>
      <c r="DQ237" s="61"/>
      <c r="DR237" s="61"/>
      <c r="DS237" s="61"/>
      <c r="DT237" s="61"/>
      <c r="DU237" s="61"/>
      <c r="DV237" s="61"/>
      <c r="DW237" s="61"/>
      <c r="DX237" s="61"/>
      <c r="DY237" s="61"/>
      <c r="DZ237" s="61"/>
      <c r="EA237" s="61"/>
      <c r="EB237" s="61"/>
      <c r="EC237" s="61"/>
      <c r="ED237" s="61"/>
      <c r="EE237" s="61"/>
      <c r="EF237" s="61"/>
      <c r="EG237" s="61"/>
      <c r="EH237" s="61"/>
      <c r="EI237" s="61"/>
      <c r="EJ237" s="61"/>
      <c r="EK237" s="61"/>
      <c r="EL237" s="61"/>
      <c r="EM237" s="61"/>
      <c r="EN237" s="61"/>
      <c r="EO237" s="61"/>
      <c r="EP237" s="61"/>
      <c r="EQ237" s="61"/>
      <c r="ER237" s="61"/>
      <c r="ES237" s="61"/>
      <c r="ET237" s="61"/>
      <c r="EU237" s="61"/>
      <c r="EV237" s="61"/>
      <c r="EW237" s="61"/>
    </row>
    <row r="238" spans="1:153">
      <c r="A238" s="56">
        <v>33817</v>
      </c>
      <c r="B238" s="57"/>
      <c r="C238" s="7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71"/>
      <c r="P238" s="60">
        <v>216.24799999999999</v>
      </c>
      <c r="Q238" s="61">
        <v>12.282</v>
      </c>
      <c r="R238" s="61">
        <v>269.66199999999998</v>
      </c>
      <c r="S238" s="61">
        <v>491.43799999999999</v>
      </c>
      <c r="T238" s="61">
        <v>198.45699999999999</v>
      </c>
      <c r="U238" s="61">
        <v>15.214</v>
      </c>
      <c r="V238" s="61">
        <v>6.6509999999999998</v>
      </c>
      <c r="W238" s="61">
        <v>1.454</v>
      </c>
      <c r="X238" s="61">
        <v>216.24799999999999</v>
      </c>
      <c r="Y238" s="61">
        <v>41.131999999999998</v>
      </c>
      <c r="Z238" s="61">
        <v>12.282</v>
      </c>
      <c r="AA238" s="61">
        <v>269.66199999999998</v>
      </c>
      <c r="AB238" s="60">
        <v>491.43799999999999</v>
      </c>
      <c r="AC238" s="62"/>
      <c r="AD238" s="61"/>
      <c r="AE238" s="61"/>
      <c r="AF238" s="61"/>
      <c r="AG238" s="61"/>
      <c r="AH238" s="61"/>
      <c r="AI238" s="61"/>
      <c r="AJ238" s="61"/>
      <c r="AK238" s="62"/>
      <c r="AL238" s="63"/>
      <c r="AM238" s="64"/>
      <c r="AN238" s="65" t="e">
        <v>#N/A</v>
      </c>
      <c r="AO238" s="61" t="e">
        <v>#N/A</v>
      </c>
      <c r="AP238" s="61" t="e">
        <v>#N/A</v>
      </c>
      <c r="AQ238" s="61" t="e">
        <v>#N/A</v>
      </c>
      <c r="AR238" s="61" t="e">
        <v>#N/A</v>
      </c>
      <c r="AS238" s="61" t="e">
        <v>#N/A</v>
      </c>
      <c r="AT238" s="61" t="e">
        <v>#N/A</v>
      </c>
      <c r="AU238" s="61" t="e">
        <v>#N/A</v>
      </c>
      <c r="AV238" s="61" t="e">
        <v>#N/A</v>
      </c>
      <c r="AW238" s="61" t="e">
        <v>#N/A</v>
      </c>
      <c r="AX238" s="65" t="e">
        <v>#N/A</v>
      </c>
      <c r="AY238" s="66">
        <v>0.54200000000000004</v>
      </c>
      <c r="AZ238" s="61">
        <v>6</v>
      </c>
      <c r="BA238" s="61">
        <v>54.207999999999998</v>
      </c>
      <c r="BB238" s="61">
        <v>60.75</v>
      </c>
      <c r="BC238" s="61">
        <v>9.6000000000000002E-2</v>
      </c>
      <c r="BD238" s="61">
        <v>0.27100000000000002</v>
      </c>
      <c r="BE238" s="61">
        <v>2.1000000000000001E-2</v>
      </c>
      <c r="BF238" s="61" t="s">
        <v>122</v>
      </c>
      <c r="BG238" s="61">
        <v>6.1319999999999997</v>
      </c>
      <c r="BH238" s="61">
        <v>2.851</v>
      </c>
      <c r="BI238" s="61">
        <v>3.9E-2</v>
      </c>
      <c r="BJ238" s="61">
        <v>9.0220000000000002</v>
      </c>
      <c r="BK238" s="66">
        <v>9.41</v>
      </c>
      <c r="BL238" s="67">
        <v>6.7539999999999996</v>
      </c>
      <c r="BM238" s="61" t="s">
        <v>121</v>
      </c>
      <c r="BN238" s="61" t="s">
        <v>121</v>
      </c>
      <c r="BO238" s="61" t="s">
        <v>121</v>
      </c>
      <c r="BP238" s="61">
        <v>6.7539999999999996</v>
      </c>
      <c r="BQ238" s="61">
        <v>196.048</v>
      </c>
      <c r="BR238" s="61">
        <v>14.214</v>
      </c>
      <c r="BS238" s="61">
        <v>0.625</v>
      </c>
      <c r="BT238" s="61">
        <v>1.454</v>
      </c>
      <c r="BU238" s="61">
        <v>14.061</v>
      </c>
      <c r="BV238" s="61">
        <v>23.039000000000001</v>
      </c>
      <c r="BW238" s="61">
        <v>37.1</v>
      </c>
      <c r="BX238" s="67">
        <v>249.441</v>
      </c>
      <c r="BY238" s="68">
        <v>88821</v>
      </c>
      <c r="BZ238" s="68">
        <v>83851</v>
      </c>
      <c r="CA238" s="69">
        <v>7104</v>
      </c>
      <c r="CB238" s="68">
        <v>122772</v>
      </c>
      <c r="CC238" s="68">
        <v>3941</v>
      </c>
      <c r="CD238" s="61"/>
      <c r="CE238" s="64"/>
      <c r="CF238" s="64"/>
      <c r="CG238" s="70">
        <f t="shared" si="16"/>
        <v>5156.424</v>
      </c>
      <c r="CH238" s="70">
        <f t="shared" si="17"/>
        <v>298.36799999999999</v>
      </c>
      <c r="CI238" s="70">
        <f t="shared" si="18"/>
        <v>165.52199999999999</v>
      </c>
      <c r="CJ238" s="70">
        <f t="shared" si="20"/>
        <v>3730.482</v>
      </c>
      <c r="CK238" s="70">
        <f t="shared" si="20"/>
        <v>3521.7420000000002</v>
      </c>
      <c r="CL238" s="70">
        <f t="shared" si="19"/>
        <v>165.52199999999999</v>
      </c>
      <c r="CM238" s="61"/>
      <c r="CN238" s="61"/>
      <c r="CO238" s="61"/>
      <c r="CP238" s="61"/>
      <c r="CQ238" s="61"/>
      <c r="CR238" s="61"/>
      <c r="CS238" s="61"/>
      <c r="CT238" s="61"/>
      <c r="CU238" s="61"/>
      <c r="CV238" s="61"/>
      <c r="CW238" s="61"/>
      <c r="CX238" s="61"/>
      <c r="CY238" s="61"/>
      <c r="CZ238" s="61"/>
      <c r="DA238" s="61"/>
      <c r="DB238" s="61"/>
      <c r="DC238" s="61"/>
      <c r="DD238" s="61"/>
      <c r="DE238" s="61"/>
      <c r="DF238" s="61"/>
      <c r="DG238" s="61"/>
      <c r="DH238" s="61"/>
      <c r="DI238" s="61"/>
      <c r="DJ238" s="61"/>
      <c r="DK238" s="61"/>
      <c r="DL238" s="61"/>
      <c r="DM238" s="61"/>
      <c r="DN238" s="61"/>
      <c r="DO238" s="61"/>
      <c r="DP238" s="61"/>
      <c r="DQ238" s="61"/>
      <c r="DR238" s="61"/>
      <c r="DS238" s="61"/>
      <c r="DT238" s="61"/>
      <c r="DU238" s="61"/>
      <c r="DV238" s="61"/>
      <c r="DW238" s="61"/>
      <c r="DX238" s="61"/>
      <c r="DY238" s="61"/>
      <c r="DZ238" s="61"/>
      <c r="EA238" s="61"/>
      <c r="EB238" s="61"/>
      <c r="EC238" s="61"/>
      <c r="ED238" s="61"/>
      <c r="EE238" s="61"/>
      <c r="EF238" s="61"/>
      <c r="EG238" s="61"/>
      <c r="EH238" s="61"/>
      <c r="EI238" s="61"/>
      <c r="EJ238" s="61"/>
      <c r="EK238" s="61"/>
      <c r="EL238" s="61"/>
      <c r="EM238" s="61"/>
      <c r="EN238" s="61"/>
      <c r="EO238" s="61"/>
      <c r="EP238" s="61"/>
      <c r="EQ238" s="61"/>
      <c r="ER238" s="61"/>
      <c r="ES238" s="61"/>
      <c r="ET238" s="61"/>
      <c r="EU238" s="61"/>
      <c r="EV238" s="61"/>
      <c r="EW238" s="61"/>
    </row>
    <row r="239" spans="1:153">
      <c r="A239" s="56">
        <v>33848</v>
      </c>
      <c r="B239" s="57"/>
      <c r="C239" s="7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71"/>
      <c r="P239" s="60">
        <v>199.5</v>
      </c>
      <c r="Q239" s="61">
        <v>11.885999999999999</v>
      </c>
      <c r="R239" s="61">
        <v>251.511</v>
      </c>
      <c r="S239" s="61">
        <v>458.26</v>
      </c>
      <c r="T239" s="61">
        <v>183.3</v>
      </c>
      <c r="U239" s="61">
        <v>14.18</v>
      </c>
      <c r="V239" s="61">
        <v>5.9720000000000004</v>
      </c>
      <c r="W239" s="61">
        <v>3.2970000000000002</v>
      </c>
      <c r="X239" s="61">
        <v>199.5</v>
      </c>
      <c r="Y239" s="61">
        <v>40.125</v>
      </c>
      <c r="Z239" s="61">
        <v>11.885999999999999</v>
      </c>
      <c r="AA239" s="61">
        <v>251.511</v>
      </c>
      <c r="AB239" s="60">
        <v>458.26</v>
      </c>
      <c r="AC239" s="62"/>
      <c r="AD239" s="61"/>
      <c r="AE239" s="61"/>
      <c r="AF239" s="61"/>
      <c r="AG239" s="61"/>
      <c r="AH239" s="61"/>
      <c r="AI239" s="61"/>
      <c r="AJ239" s="61"/>
      <c r="AK239" s="62"/>
      <c r="AL239" s="63"/>
      <c r="AM239" s="64"/>
      <c r="AN239" s="65" t="e">
        <v>#N/A</v>
      </c>
      <c r="AO239" s="61" t="e">
        <v>#N/A</v>
      </c>
      <c r="AP239" s="61" t="e">
        <v>#N/A</v>
      </c>
      <c r="AQ239" s="61" t="e">
        <v>#N/A</v>
      </c>
      <c r="AR239" s="61" t="e">
        <v>#N/A</v>
      </c>
      <c r="AS239" s="61" t="e">
        <v>#N/A</v>
      </c>
      <c r="AT239" s="61" t="e">
        <v>#N/A</v>
      </c>
      <c r="AU239" s="61" t="e">
        <v>#N/A</v>
      </c>
      <c r="AV239" s="61" t="e">
        <v>#N/A</v>
      </c>
      <c r="AW239" s="61" t="e">
        <v>#N/A</v>
      </c>
      <c r="AX239" s="65" t="e">
        <v>#N/A</v>
      </c>
      <c r="AY239" s="66">
        <v>0.52500000000000002</v>
      </c>
      <c r="AZ239" s="61">
        <v>5.4729999999999999</v>
      </c>
      <c r="BA239" s="61">
        <v>52.459000000000003</v>
      </c>
      <c r="BB239" s="61">
        <v>58.456000000000003</v>
      </c>
      <c r="BC239" s="61">
        <v>8.8999999999999996E-2</v>
      </c>
      <c r="BD239" s="61">
        <v>0.26200000000000001</v>
      </c>
      <c r="BE239" s="61">
        <v>1.9E-2</v>
      </c>
      <c r="BF239" s="61" t="s">
        <v>122</v>
      </c>
      <c r="BG239" s="61">
        <v>5.9189999999999996</v>
      </c>
      <c r="BH239" s="61">
        <v>2.79</v>
      </c>
      <c r="BI239" s="61">
        <v>3.7999999999999999E-2</v>
      </c>
      <c r="BJ239" s="61">
        <v>8.7469999999999999</v>
      </c>
      <c r="BK239" s="66">
        <v>9.1170000000000009</v>
      </c>
      <c r="BL239" s="67">
        <v>6.5369999999999999</v>
      </c>
      <c r="BM239" s="61" t="s">
        <v>121</v>
      </c>
      <c r="BN239" s="61" t="s">
        <v>121</v>
      </c>
      <c r="BO239" s="61" t="s">
        <v>121</v>
      </c>
      <c r="BP239" s="61">
        <v>6.5369999999999999</v>
      </c>
      <c r="BQ239" s="61">
        <v>181.07499999999999</v>
      </c>
      <c r="BR239" s="61">
        <v>13.212999999999999</v>
      </c>
      <c r="BS239" s="61">
        <v>0.47599999999999998</v>
      </c>
      <c r="BT239" s="61">
        <v>3.2970000000000002</v>
      </c>
      <c r="BU239" s="61">
        <v>12.555999999999999</v>
      </c>
      <c r="BV239" s="61">
        <v>22.547999999999998</v>
      </c>
      <c r="BW239" s="61">
        <v>35.103999999999999</v>
      </c>
      <c r="BX239" s="67">
        <v>233.16399999999999</v>
      </c>
      <c r="BY239" s="68">
        <v>89501</v>
      </c>
      <c r="BZ239" s="68">
        <v>87231</v>
      </c>
      <c r="CA239" s="69">
        <v>7098</v>
      </c>
      <c r="CB239" s="68">
        <v>127797</v>
      </c>
      <c r="CC239" s="68">
        <v>4343</v>
      </c>
      <c r="CD239" s="61"/>
      <c r="CE239" s="64"/>
      <c r="CF239" s="64"/>
      <c r="CG239" s="70">
        <f t="shared" si="16"/>
        <v>5367.4740000000002</v>
      </c>
      <c r="CH239" s="70">
        <f t="shared" si="17"/>
        <v>298.11599999999999</v>
      </c>
      <c r="CI239" s="70">
        <f t="shared" si="18"/>
        <v>182.40600000000001</v>
      </c>
      <c r="CJ239" s="70">
        <f t="shared" si="20"/>
        <v>3759.0419999999999</v>
      </c>
      <c r="CK239" s="70">
        <f t="shared" si="20"/>
        <v>3663.7020000000002</v>
      </c>
      <c r="CL239" s="70">
        <f t="shared" si="19"/>
        <v>182.40600000000001</v>
      </c>
      <c r="CM239" s="61"/>
      <c r="CN239" s="61"/>
      <c r="CO239" s="61"/>
      <c r="CP239" s="61"/>
      <c r="CQ239" s="61"/>
      <c r="CR239" s="61"/>
      <c r="CS239" s="61"/>
      <c r="CT239" s="61"/>
      <c r="CU239" s="61"/>
      <c r="CV239" s="61"/>
      <c r="CW239" s="61"/>
      <c r="CX239" s="61"/>
      <c r="CY239" s="61"/>
      <c r="CZ239" s="61"/>
      <c r="DA239" s="61"/>
      <c r="DB239" s="61"/>
      <c r="DC239" s="61"/>
      <c r="DD239" s="61"/>
      <c r="DE239" s="61"/>
      <c r="DF239" s="61"/>
      <c r="DG239" s="61"/>
      <c r="DH239" s="61"/>
      <c r="DI239" s="61"/>
      <c r="DJ239" s="61"/>
      <c r="DK239" s="61"/>
      <c r="DL239" s="61"/>
      <c r="DM239" s="61"/>
      <c r="DN239" s="61"/>
      <c r="DO239" s="61"/>
      <c r="DP239" s="61"/>
      <c r="DQ239" s="61"/>
      <c r="DR239" s="61"/>
      <c r="DS239" s="61"/>
      <c r="DT239" s="61"/>
      <c r="DU239" s="61"/>
      <c r="DV239" s="61"/>
      <c r="DW239" s="61"/>
      <c r="DX239" s="61"/>
      <c r="DY239" s="61"/>
      <c r="DZ239" s="61"/>
      <c r="EA239" s="61"/>
      <c r="EB239" s="61"/>
      <c r="EC239" s="61"/>
      <c r="ED239" s="61"/>
      <c r="EE239" s="61"/>
      <c r="EF239" s="61"/>
      <c r="EG239" s="61"/>
      <c r="EH239" s="61"/>
      <c r="EI239" s="61"/>
      <c r="EJ239" s="61"/>
      <c r="EK239" s="61"/>
      <c r="EL239" s="61"/>
      <c r="EM239" s="61"/>
      <c r="EN239" s="61"/>
      <c r="EO239" s="61"/>
      <c r="EP239" s="61"/>
      <c r="EQ239" s="61"/>
      <c r="ER239" s="61"/>
      <c r="ES239" s="61"/>
      <c r="ET239" s="61"/>
      <c r="EU239" s="61"/>
      <c r="EV239" s="61"/>
      <c r="EW239" s="61"/>
    </row>
    <row r="240" spans="1:153">
      <c r="A240" s="56">
        <v>33878</v>
      </c>
      <c r="B240" s="57"/>
      <c r="C240" s="7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71"/>
      <c r="P240" s="60">
        <v>219.054</v>
      </c>
      <c r="Q240" s="61">
        <v>12.282</v>
      </c>
      <c r="R240" s="61">
        <v>269.54500000000002</v>
      </c>
      <c r="S240" s="61">
        <v>472.67700000000002</v>
      </c>
      <c r="T240" s="61">
        <v>180.27</v>
      </c>
      <c r="U240" s="61">
        <v>14.943</v>
      </c>
      <c r="V240" s="61">
        <v>5.3979999999999997</v>
      </c>
      <c r="W240" s="61">
        <v>2.5209999999999999</v>
      </c>
      <c r="X240" s="61">
        <v>219.054</v>
      </c>
      <c r="Y240" s="61">
        <v>38.209000000000003</v>
      </c>
      <c r="Z240" s="61">
        <v>12.282</v>
      </c>
      <c r="AA240" s="61">
        <v>269.54500000000002</v>
      </c>
      <c r="AB240" s="60">
        <v>472.67700000000002</v>
      </c>
      <c r="AC240" s="62"/>
      <c r="AD240" s="61"/>
      <c r="AE240" s="61"/>
      <c r="AF240" s="61"/>
      <c r="AG240" s="61"/>
      <c r="AH240" s="61"/>
      <c r="AI240" s="61"/>
      <c r="AJ240" s="61"/>
      <c r="AK240" s="62"/>
      <c r="AL240" s="63"/>
      <c r="AM240" s="64"/>
      <c r="AN240" s="65" t="e">
        <v>#N/A</v>
      </c>
      <c r="AO240" s="61" t="e">
        <v>#N/A</v>
      </c>
      <c r="AP240" s="61" t="e">
        <v>#N/A</v>
      </c>
      <c r="AQ240" s="61" t="e">
        <v>#N/A</v>
      </c>
      <c r="AR240" s="61" t="e">
        <v>#N/A</v>
      </c>
      <c r="AS240" s="61" t="e">
        <v>#N/A</v>
      </c>
      <c r="AT240" s="61" t="e">
        <v>#N/A</v>
      </c>
      <c r="AU240" s="61" t="e">
        <v>#N/A</v>
      </c>
      <c r="AV240" s="61" t="e">
        <v>#N/A</v>
      </c>
      <c r="AW240" s="61" t="e">
        <v>#N/A</v>
      </c>
      <c r="AX240" s="65" t="e">
        <v>#N/A</v>
      </c>
      <c r="AY240" s="66">
        <v>0.54200000000000004</v>
      </c>
      <c r="AZ240" s="61">
        <v>4.9880000000000004</v>
      </c>
      <c r="BA240" s="61">
        <v>54.207999999999998</v>
      </c>
      <c r="BB240" s="61">
        <v>59.738</v>
      </c>
      <c r="BC240" s="61">
        <v>8.6999999999999994E-2</v>
      </c>
      <c r="BD240" s="61">
        <v>0.27100000000000002</v>
      </c>
      <c r="BE240" s="61">
        <v>1.7999999999999999E-2</v>
      </c>
      <c r="BF240" s="61" t="s">
        <v>122</v>
      </c>
      <c r="BG240" s="61">
        <v>6.1360000000000001</v>
      </c>
      <c r="BH240" s="61">
        <v>2.5659999999999998</v>
      </c>
      <c r="BI240" s="61">
        <v>3.9E-2</v>
      </c>
      <c r="BJ240" s="61">
        <v>8.7420000000000009</v>
      </c>
      <c r="BK240" s="66">
        <v>9.1180000000000003</v>
      </c>
      <c r="BL240" s="67">
        <v>6.7539999999999996</v>
      </c>
      <c r="BM240" s="61" t="s">
        <v>121</v>
      </c>
      <c r="BN240" s="61" t="s">
        <v>121</v>
      </c>
      <c r="BO240" s="61" t="s">
        <v>121</v>
      </c>
      <c r="BP240" s="61">
        <v>6.7539999999999996</v>
      </c>
      <c r="BQ240" s="61">
        <v>178.08199999999999</v>
      </c>
      <c r="BR240" s="61">
        <v>13.944000000000001</v>
      </c>
      <c r="BS240" s="61">
        <v>0.38900000000000001</v>
      </c>
      <c r="BT240" s="61">
        <v>2.5209999999999999</v>
      </c>
      <c r="BU240" s="61">
        <v>14.363</v>
      </c>
      <c r="BV240" s="61">
        <v>20.739000000000001</v>
      </c>
      <c r="BW240" s="61">
        <v>35.101999999999997</v>
      </c>
      <c r="BX240" s="67">
        <v>230.03800000000001</v>
      </c>
      <c r="BY240" s="68">
        <v>100773</v>
      </c>
      <c r="BZ240" s="68">
        <v>94721</v>
      </c>
      <c r="CA240" s="69">
        <v>8168</v>
      </c>
      <c r="CB240" s="68">
        <v>136789</v>
      </c>
      <c r="CC240" s="68">
        <v>5228</v>
      </c>
      <c r="CD240" s="61"/>
      <c r="CE240" s="64"/>
      <c r="CF240" s="64"/>
      <c r="CG240" s="70">
        <f t="shared" si="16"/>
        <v>5745.1379999999999</v>
      </c>
      <c r="CH240" s="70">
        <f t="shared" si="17"/>
        <v>343.05599999999998</v>
      </c>
      <c r="CI240" s="70">
        <f t="shared" si="18"/>
        <v>219.57599999999999</v>
      </c>
      <c r="CJ240" s="70">
        <f t="shared" si="20"/>
        <v>4232.4660000000003</v>
      </c>
      <c r="CK240" s="70">
        <f t="shared" si="20"/>
        <v>3978.2820000000002</v>
      </c>
      <c r="CL240" s="70">
        <f t="shared" si="19"/>
        <v>219.57599999999999</v>
      </c>
      <c r="CM240" s="61"/>
      <c r="CN240" s="61"/>
      <c r="CO240" s="61"/>
      <c r="CP240" s="61"/>
      <c r="CQ240" s="61"/>
      <c r="CR240" s="61"/>
      <c r="CS240" s="61"/>
      <c r="CT240" s="61"/>
      <c r="CU240" s="61"/>
      <c r="CV240" s="61"/>
      <c r="CW240" s="61"/>
      <c r="CX240" s="61"/>
      <c r="CY240" s="61"/>
      <c r="CZ240" s="61"/>
      <c r="DA240" s="61"/>
      <c r="DB240" s="61"/>
      <c r="DC240" s="61"/>
      <c r="DD240" s="61"/>
      <c r="DE240" s="61"/>
      <c r="DF240" s="61"/>
      <c r="DG240" s="61"/>
      <c r="DH240" s="61"/>
      <c r="DI240" s="61"/>
      <c r="DJ240" s="61"/>
      <c r="DK240" s="61"/>
      <c r="DL240" s="61"/>
      <c r="DM240" s="61"/>
      <c r="DN240" s="61"/>
      <c r="DO240" s="61"/>
      <c r="DP240" s="61"/>
      <c r="DQ240" s="61"/>
      <c r="DR240" s="61"/>
      <c r="DS240" s="61"/>
      <c r="DT240" s="61"/>
      <c r="DU240" s="61"/>
      <c r="DV240" s="61"/>
      <c r="DW240" s="61"/>
      <c r="DX240" s="61"/>
      <c r="DY240" s="61"/>
      <c r="DZ240" s="61"/>
      <c r="EA240" s="61"/>
      <c r="EB240" s="61"/>
      <c r="EC240" s="61"/>
      <c r="ED240" s="61"/>
      <c r="EE240" s="61"/>
      <c r="EF240" s="61"/>
      <c r="EG240" s="61"/>
      <c r="EH240" s="61"/>
      <c r="EI240" s="61"/>
      <c r="EJ240" s="61"/>
      <c r="EK240" s="61"/>
      <c r="EL240" s="61"/>
      <c r="EM240" s="61"/>
      <c r="EN240" s="61"/>
      <c r="EO240" s="61"/>
      <c r="EP240" s="61"/>
      <c r="EQ240" s="61"/>
      <c r="ER240" s="61"/>
      <c r="ES240" s="61"/>
      <c r="ET240" s="61"/>
      <c r="EU240" s="61"/>
      <c r="EV240" s="61"/>
      <c r="EW240" s="61"/>
    </row>
    <row r="241" spans="1:153">
      <c r="A241" s="56">
        <v>33909</v>
      </c>
      <c r="B241" s="57"/>
      <c r="C241" s="7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71"/>
      <c r="P241" s="60">
        <v>220.59200000000001</v>
      </c>
      <c r="Q241" s="61">
        <v>11.885999999999999</v>
      </c>
      <c r="R241" s="61">
        <v>264.38299999999998</v>
      </c>
      <c r="S241" s="61">
        <v>498.62900000000002</v>
      </c>
      <c r="T241" s="61">
        <v>212.065</v>
      </c>
      <c r="U241" s="61">
        <v>14.869</v>
      </c>
      <c r="V241" s="61">
        <v>4.4029999999999996</v>
      </c>
      <c r="W241" s="61">
        <v>2.9089999999999998</v>
      </c>
      <c r="X241" s="61">
        <v>220.59200000000001</v>
      </c>
      <c r="Y241" s="61">
        <v>31.905000000000001</v>
      </c>
      <c r="Z241" s="61">
        <v>11.885999999999999</v>
      </c>
      <c r="AA241" s="61">
        <v>264.38299999999998</v>
      </c>
      <c r="AB241" s="60">
        <v>498.62900000000002</v>
      </c>
      <c r="AC241" s="62"/>
      <c r="AD241" s="61"/>
      <c r="AE241" s="61"/>
      <c r="AF241" s="61"/>
      <c r="AG241" s="61"/>
      <c r="AH241" s="61"/>
      <c r="AI241" s="61"/>
      <c r="AJ241" s="61"/>
      <c r="AK241" s="62"/>
      <c r="AL241" s="63"/>
      <c r="AM241" s="64"/>
      <c r="AN241" s="65" t="e">
        <v>#N/A</v>
      </c>
      <c r="AO241" s="61" t="e">
        <v>#N/A</v>
      </c>
      <c r="AP241" s="61" t="e">
        <v>#N/A</v>
      </c>
      <c r="AQ241" s="61" t="e">
        <v>#N/A</v>
      </c>
      <c r="AR241" s="61" t="e">
        <v>#N/A</v>
      </c>
      <c r="AS241" s="61" t="e">
        <v>#N/A</v>
      </c>
      <c r="AT241" s="61" t="e">
        <v>#N/A</v>
      </c>
      <c r="AU241" s="61" t="e">
        <v>#N/A</v>
      </c>
      <c r="AV241" s="61" t="e">
        <v>#N/A</v>
      </c>
      <c r="AW241" s="61" t="e">
        <v>#N/A</v>
      </c>
      <c r="AX241" s="65" t="e">
        <v>#N/A</v>
      </c>
      <c r="AY241" s="66">
        <v>0.52500000000000002</v>
      </c>
      <c r="AZ241" s="61">
        <v>4.0919999999999996</v>
      </c>
      <c r="BA241" s="61">
        <v>52.459000000000003</v>
      </c>
      <c r="BB241" s="61">
        <v>57.075000000000003</v>
      </c>
      <c r="BC241" s="61">
        <v>0.10299999999999999</v>
      </c>
      <c r="BD241" s="61">
        <v>0.26200000000000001</v>
      </c>
      <c r="BE241" s="61">
        <v>1.4E-2</v>
      </c>
      <c r="BF241" s="61" t="s">
        <v>122</v>
      </c>
      <c r="BG241" s="61">
        <v>5.9509999999999996</v>
      </c>
      <c r="BH241" s="61">
        <v>1.99</v>
      </c>
      <c r="BI241" s="61">
        <v>3.7999999999999999E-2</v>
      </c>
      <c r="BJ241" s="61">
        <v>7.9790000000000001</v>
      </c>
      <c r="BK241" s="66">
        <v>8.359</v>
      </c>
      <c r="BL241" s="67">
        <v>6.5369999999999999</v>
      </c>
      <c r="BM241" s="61" t="s">
        <v>121</v>
      </c>
      <c r="BN241" s="61" t="s">
        <v>121</v>
      </c>
      <c r="BO241" s="61" t="s">
        <v>121</v>
      </c>
      <c r="BP241" s="61">
        <v>6.5369999999999999</v>
      </c>
      <c r="BQ241" s="61">
        <v>209.49100000000001</v>
      </c>
      <c r="BR241" s="61">
        <v>13.901999999999999</v>
      </c>
      <c r="BS241" s="61">
        <v>0.29299999999999998</v>
      </c>
      <c r="BT241" s="61">
        <v>2.9089999999999998</v>
      </c>
      <c r="BU241" s="61">
        <v>14.826000000000001</v>
      </c>
      <c r="BV241" s="61">
        <v>16.079999999999998</v>
      </c>
      <c r="BW241" s="61">
        <v>30.905000000000001</v>
      </c>
      <c r="BX241" s="67">
        <v>257.50099999999998</v>
      </c>
      <c r="BY241" s="68">
        <v>97190</v>
      </c>
      <c r="BZ241" s="68">
        <v>87876</v>
      </c>
      <c r="CA241" s="69">
        <v>7068</v>
      </c>
      <c r="CB241" s="68">
        <v>146283</v>
      </c>
      <c r="CC241" s="68">
        <v>6888</v>
      </c>
      <c r="CD241" s="61"/>
      <c r="CE241" s="64"/>
      <c r="CF241" s="64"/>
      <c r="CG241" s="70">
        <f t="shared" si="16"/>
        <v>6143.8860000000004</v>
      </c>
      <c r="CH241" s="70">
        <f t="shared" si="17"/>
        <v>296.85599999999999</v>
      </c>
      <c r="CI241" s="70">
        <f t="shared" si="18"/>
        <v>289.29599999999999</v>
      </c>
      <c r="CJ241" s="70">
        <f t="shared" si="20"/>
        <v>4081.98</v>
      </c>
      <c r="CK241" s="70">
        <f t="shared" si="20"/>
        <v>3690.7919999999999</v>
      </c>
      <c r="CL241" s="70">
        <f t="shared" si="19"/>
        <v>289.29599999999999</v>
      </c>
      <c r="CM241" s="61"/>
      <c r="CN241" s="61"/>
      <c r="CO241" s="61"/>
      <c r="CP241" s="61"/>
      <c r="CQ241" s="61"/>
      <c r="CR241" s="61"/>
      <c r="CS241" s="61"/>
      <c r="CT241" s="61"/>
      <c r="CU241" s="61"/>
      <c r="CV241" s="61"/>
      <c r="CW241" s="61"/>
      <c r="CX241" s="61"/>
      <c r="CY241" s="61"/>
      <c r="CZ241" s="61"/>
      <c r="DA241" s="61"/>
      <c r="DB241" s="61"/>
      <c r="DC241" s="61"/>
      <c r="DD241" s="61"/>
      <c r="DE241" s="61"/>
      <c r="DF241" s="61"/>
      <c r="DG241" s="61"/>
      <c r="DH241" s="61"/>
      <c r="DI241" s="61"/>
      <c r="DJ241" s="61"/>
      <c r="DK241" s="61"/>
      <c r="DL241" s="61"/>
      <c r="DM241" s="61"/>
      <c r="DN241" s="61"/>
      <c r="DO241" s="61"/>
      <c r="DP241" s="61"/>
      <c r="DQ241" s="61"/>
      <c r="DR241" s="61"/>
      <c r="DS241" s="61"/>
      <c r="DT241" s="61"/>
      <c r="DU241" s="61"/>
      <c r="DV241" s="61"/>
      <c r="DW241" s="61"/>
      <c r="DX241" s="61"/>
      <c r="DY241" s="61"/>
      <c r="DZ241" s="61"/>
      <c r="EA241" s="61"/>
      <c r="EB241" s="61"/>
      <c r="EC241" s="61"/>
      <c r="ED241" s="61"/>
      <c r="EE241" s="61"/>
      <c r="EF241" s="61"/>
      <c r="EG241" s="61"/>
      <c r="EH241" s="61"/>
      <c r="EI241" s="61"/>
      <c r="EJ241" s="61"/>
      <c r="EK241" s="61"/>
      <c r="EL241" s="61"/>
      <c r="EM241" s="61"/>
      <c r="EN241" s="61"/>
      <c r="EO241" s="61"/>
      <c r="EP241" s="61"/>
      <c r="EQ241" s="61"/>
      <c r="ER241" s="61"/>
      <c r="ES241" s="61"/>
      <c r="ET241" s="61"/>
      <c r="EU241" s="61"/>
      <c r="EV241" s="61"/>
      <c r="EW241" s="61"/>
    </row>
    <row r="242" spans="1:153">
      <c r="A242" s="56">
        <v>33939</v>
      </c>
      <c r="B242" s="57"/>
      <c r="C242" s="7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71"/>
      <c r="P242" s="60">
        <v>209.99299999999999</v>
      </c>
      <c r="Q242" s="61">
        <v>12.282</v>
      </c>
      <c r="R242" s="61">
        <v>263.89100000000002</v>
      </c>
      <c r="S242" s="61">
        <v>545.91099999999994</v>
      </c>
      <c r="T242" s="61">
        <v>259.39400000000001</v>
      </c>
      <c r="U242" s="61">
        <v>15.042999999999999</v>
      </c>
      <c r="V242" s="61">
        <v>3.9940000000000002</v>
      </c>
      <c r="W242" s="61">
        <v>3.5870000000000002</v>
      </c>
      <c r="X242" s="61">
        <v>209.99299999999999</v>
      </c>
      <c r="Y242" s="61">
        <v>41.616</v>
      </c>
      <c r="Z242" s="61">
        <v>12.282</v>
      </c>
      <c r="AA242" s="61">
        <v>263.89100000000002</v>
      </c>
      <c r="AB242" s="60">
        <v>545.91099999999994</v>
      </c>
      <c r="AC242" s="62"/>
      <c r="AD242" s="61"/>
      <c r="AE242" s="61"/>
      <c r="AF242" s="61"/>
      <c r="AG242" s="61"/>
      <c r="AH242" s="61"/>
      <c r="AI242" s="61"/>
      <c r="AJ242" s="61"/>
      <c r="AK242" s="62"/>
      <c r="AL242" s="63"/>
      <c r="AM242" s="64"/>
      <c r="AN242" s="65" t="e">
        <v>#N/A</v>
      </c>
      <c r="AO242" s="61" t="e">
        <v>#N/A</v>
      </c>
      <c r="AP242" s="61" t="e">
        <v>#N/A</v>
      </c>
      <c r="AQ242" s="61" t="e">
        <v>#N/A</v>
      </c>
      <c r="AR242" s="61" t="e">
        <v>#N/A</v>
      </c>
      <c r="AS242" s="61" t="e">
        <v>#N/A</v>
      </c>
      <c r="AT242" s="61" t="e">
        <v>#N/A</v>
      </c>
      <c r="AU242" s="61" t="e">
        <v>#N/A</v>
      </c>
      <c r="AV242" s="61" t="e">
        <v>#N/A</v>
      </c>
      <c r="AW242" s="61" t="e">
        <v>#N/A</v>
      </c>
      <c r="AX242" s="65" t="e">
        <v>#N/A</v>
      </c>
      <c r="AY242" s="66">
        <v>0.54200000000000004</v>
      </c>
      <c r="AZ242" s="61">
        <v>3.8839999999999999</v>
      </c>
      <c r="BA242" s="61">
        <v>54.207999999999998</v>
      </c>
      <c r="BB242" s="61">
        <v>58.633000000000003</v>
      </c>
      <c r="BC242" s="61">
        <v>0.125</v>
      </c>
      <c r="BD242" s="61">
        <v>0.27100000000000002</v>
      </c>
      <c r="BE242" s="61">
        <v>1.4E-2</v>
      </c>
      <c r="BF242" s="61" t="s">
        <v>122</v>
      </c>
      <c r="BG242" s="61">
        <v>6.1219999999999999</v>
      </c>
      <c r="BH242" s="61">
        <v>2.8980000000000001</v>
      </c>
      <c r="BI242" s="61">
        <v>3.9E-2</v>
      </c>
      <c r="BJ242" s="61">
        <v>9.06</v>
      </c>
      <c r="BK242" s="66">
        <v>9.4700000000000006</v>
      </c>
      <c r="BL242" s="67">
        <v>6.7539999999999996</v>
      </c>
      <c r="BM242" s="61" t="s">
        <v>121</v>
      </c>
      <c r="BN242" s="61" t="s">
        <v>121</v>
      </c>
      <c r="BO242" s="61" t="s">
        <v>121</v>
      </c>
      <c r="BP242" s="61">
        <v>6.7539999999999996</v>
      </c>
      <c r="BQ242" s="61">
        <v>256.24599999999998</v>
      </c>
      <c r="BR242" s="61">
        <v>14.044</v>
      </c>
      <c r="BS242" s="61">
        <v>9.4E-2</v>
      </c>
      <c r="BT242" s="61">
        <v>3.5870000000000002</v>
      </c>
      <c r="BU242" s="61">
        <v>13.388</v>
      </c>
      <c r="BV242" s="61">
        <v>23.42</v>
      </c>
      <c r="BW242" s="61">
        <v>36.808</v>
      </c>
      <c r="BX242" s="67">
        <v>310.779</v>
      </c>
      <c r="BY242" s="68">
        <v>98563</v>
      </c>
      <c r="BZ242" s="68">
        <v>102811</v>
      </c>
      <c r="CA242" s="69">
        <v>7114</v>
      </c>
      <c r="CB242" s="68">
        <v>140607</v>
      </c>
      <c r="CC242" s="68">
        <v>8542</v>
      </c>
      <c r="CD242" s="61"/>
      <c r="CE242" s="64"/>
      <c r="CF242" s="64"/>
      <c r="CG242" s="70">
        <f t="shared" si="16"/>
        <v>5905.4939999999997</v>
      </c>
      <c r="CH242" s="70">
        <f t="shared" si="17"/>
        <v>298.78800000000001</v>
      </c>
      <c r="CI242" s="70">
        <f t="shared" si="18"/>
        <v>358.76400000000001</v>
      </c>
      <c r="CJ242" s="70">
        <f t="shared" si="20"/>
        <v>4139.6459999999997</v>
      </c>
      <c r="CK242" s="70">
        <f t="shared" si="20"/>
        <v>4318.0619999999999</v>
      </c>
      <c r="CL242" s="70">
        <f t="shared" si="19"/>
        <v>358.76400000000001</v>
      </c>
      <c r="CM242" s="61"/>
      <c r="CN242" s="61"/>
      <c r="CO242" s="61"/>
      <c r="CP242" s="61"/>
      <c r="CQ242" s="61"/>
      <c r="CR242" s="61"/>
      <c r="CS242" s="61"/>
      <c r="CT242" s="61"/>
      <c r="CU242" s="61"/>
      <c r="CV242" s="61"/>
      <c r="CW242" s="61"/>
      <c r="CX242" s="61"/>
      <c r="CY242" s="61"/>
      <c r="CZ242" s="61"/>
      <c r="DA242" s="61"/>
      <c r="DB242" s="61"/>
      <c r="DC242" s="61"/>
      <c r="DD242" s="61"/>
      <c r="DE242" s="61"/>
      <c r="DF242" s="61"/>
      <c r="DG242" s="61"/>
      <c r="DH242" s="61"/>
      <c r="DI242" s="61"/>
      <c r="DJ242" s="61"/>
      <c r="DK242" s="61"/>
      <c r="DL242" s="61"/>
      <c r="DM242" s="61"/>
      <c r="DN242" s="61"/>
      <c r="DO242" s="61"/>
      <c r="DP242" s="61"/>
      <c r="DQ242" s="61"/>
      <c r="DR242" s="61"/>
      <c r="DS242" s="61"/>
      <c r="DT242" s="61"/>
      <c r="DU242" s="61"/>
      <c r="DV242" s="61"/>
      <c r="DW242" s="61"/>
      <c r="DX242" s="61"/>
      <c r="DY242" s="61"/>
      <c r="DZ242" s="61"/>
      <c r="EA242" s="61"/>
      <c r="EB242" s="61"/>
      <c r="EC242" s="61"/>
      <c r="ED242" s="61"/>
      <c r="EE242" s="61"/>
      <c r="EF242" s="61"/>
      <c r="EG242" s="61"/>
      <c r="EH242" s="61"/>
      <c r="EI242" s="61"/>
      <c r="EJ242" s="61"/>
      <c r="EK242" s="61"/>
      <c r="EL242" s="61"/>
      <c r="EM242" s="61"/>
      <c r="EN242" s="61"/>
      <c r="EO242" s="61"/>
      <c r="EP242" s="61"/>
      <c r="EQ242" s="61"/>
      <c r="ER242" s="61"/>
      <c r="ES242" s="61"/>
      <c r="ET242" s="61"/>
      <c r="EU242" s="61"/>
      <c r="EV242" s="61"/>
      <c r="EW242" s="61"/>
    </row>
    <row r="243" spans="1:153">
      <c r="A243" s="56">
        <v>33970</v>
      </c>
      <c r="B243" s="57"/>
      <c r="C243" s="7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71"/>
      <c r="P243" s="60">
        <v>212.917</v>
      </c>
      <c r="Q243" s="61">
        <v>14.701000000000001</v>
      </c>
      <c r="R243" s="61">
        <v>274.25700000000001</v>
      </c>
      <c r="S243" s="61">
        <v>564.64200000000005</v>
      </c>
      <c r="T243" s="61">
        <v>268.52100000000002</v>
      </c>
      <c r="U243" s="61">
        <v>15.945</v>
      </c>
      <c r="V243" s="61">
        <v>3.3679999999999999</v>
      </c>
      <c r="W243" s="61">
        <v>2.5499999999999998</v>
      </c>
      <c r="X243" s="61">
        <v>212.917</v>
      </c>
      <c r="Y243" s="61">
        <v>46.639000000000003</v>
      </c>
      <c r="Z243" s="61">
        <v>13.930999999999999</v>
      </c>
      <c r="AA243" s="61">
        <v>273.48700000000002</v>
      </c>
      <c r="AB243" s="60">
        <v>563.87199999999996</v>
      </c>
      <c r="AC243" s="62"/>
      <c r="AD243" s="61"/>
      <c r="AE243" s="61"/>
      <c r="AF243" s="61"/>
      <c r="AG243" s="61"/>
      <c r="AH243" s="61"/>
      <c r="AI243" s="61"/>
      <c r="AJ243" s="61"/>
      <c r="AK243" s="62"/>
      <c r="AL243" s="63"/>
      <c r="AM243" s="64"/>
      <c r="AN243" s="65" t="e">
        <v>#N/A</v>
      </c>
      <c r="AO243" s="61" t="e">
        <v>#N/A</v>
      </c>
      <c r="AP243" s="61" t="e">
        <v>#N/A</v>
      </c>
      <c r="AQ243" s="61" t="e">
        <v>#N/A</v>
      </c>
      <c r="AR243" s="61" t="e">
        <v>#N/A</v>
      </c>
      <c r="AS243" s="61" t="e">
        <v>#N/A</v>
      </c>
      <c r="AT243" s="61" t="e">
        <v>#N/A</v>
      </c>
      <c r="AU243" s="61" t="e">
        <v>#N/A</v>
      </c>
      <c r="AV243" s="61" t="e">
        <v>#N/A</v>
      </c>
      <c r="AW243" s="61" t="e">
        <v>#N/A</v>
      </c>
      <c r="AX243" s="65" t="e">
        <v>#N/A</v>
      </c>
      <c r="AY243" s="66">
        <v>0.57799999999999996</v>
      </c>
      <c r="AZ243" s="61">
        <v>3.2570000000000001</v>
      </c>
      <c r="BA243" s="61">
        <v>46.712000000000003</v>
      </c>
      <c r="BB243" s="61">
        <v>50.546999999999997</v>
      </c>
      <c r="BC243" s="61">
        <v>9.5000000000000001E-2</v>
      </c>
      <c r="BD243" s="61">
        <v>0.28899999999999998</v>
      </c>
      <c r="BE243" s="61">
        <v>1.2E-2</v>
      </c>
      <c r="BF243" s="61" t="s">
        <v>122</v>
      </c>
      <c r="BG243" s="61">
        <v>6.45</v>
      </c>
      <c r="BH243" s="61">
        <v>3.4119999999999999</v>
      </c>
      <c r="BI243" s="61">
        <v>1.4999999999999999E-2</v>
      </c>
      <c r="BJ243" s="61">
        <v>9.8770000000000007</v>
      </c>
      <c r="BK243" s="66">
        <v>10.273999999999999</v>
      </c>
      <c r="BL243" s="67">
        <v>7.3959999999999999</v>
      </c>
      <c r="BM243" s="61" t="s">
        <v>121</v>
      </c>
      <c r="BN243" s="61" t="s">
        <v>121</v>
      </c>
      <c r="BO243" s="61" t="s">
        <v>121</v>
      </c>
      <c r="BP243" s="61">
        <v>7.3959999999999999</v>
      </c>
      <c r="BQ243" s="61">
        <v>265.678</v>
      </c>
      <c r="BR243" s="61">
        <v>14.875</v>
      </c>
      <c r="BS243" s="61">
        <v>9.7000000000000003E-2</v>
      </c>
      <c r="BT243" s="61">
        <v>2.5499999999999998</v>
      </c>
      <c r="BU243" s="61">
        <v>15.106999999999999</v>
      </c>
      <c r="BV243" s="61">
        <v>27.053999999999998</v>
      </c>
      <c r="BW243" s="61">
        <v>42.161000000000001</v>
      </c>
      <c r="BX243" s="67">
        <v>325.36</v>
      </c>
      <c r="BY243" s="68">
        <v>90348</v>
      </c>
      <c r="BZ243" s="68">
        <v>96981</v>
      </c>
      <c r="CA243" s="69">
        <v>5650</v>
      </c>
      <c r="CB243" s="68">
        <v>130741</v>
      </c>
      <c r="CC243" s="68">
        <v>8883</v>
      </c>
      <c r="CD243" s="61"/>
      <c r="CE243" s="64"/>
      <c r="CF243" s="64"/>
      <c r="CG243" s="70">
        <f t="shared" si="16"/>
        <v>5491.1220000000003</v>
      </c>
      <c r="CH243" s="70">
        <f t="shared" si="17"/>
        <v>237.3</v>
      </c>
      <c r="CI243" s="70">
        <f t="shared" si="18"/>
        <v>373.08600000000001</v>
      </c>
      <c r="CJ243" s="70">
        <f t="shared" si="20"/>
        <v>3794.616</v>
      </c>
      <c r="CK243" s="70">
        <f t="shared" si="20"/>
        <v>4073.2020000000002</v>
      </c>
      <c r="CL243" s="70">
        <f t="shared" si="19"/>
        <v>373.08600000000001</v>
      </c>
      <c r="CM243" s="61"/>
      <c r="CN243" s="61"/>
      <c r="CO243" s="61"/>
      <c r="CP243" s="61"/>
      <c r="CQ243" s="61"/>
      <c r="CR243" s="61"/>
      <c r="CS243" s="61"/>
      <c r="CT243" s="61"/>
      <c r="CU243" s="61"/>
      <c r="CV243" s="61"/>
      <c r="CW243" s="61"/>
      <c r="CX243" s="61"/>
      <c r="CY243" s="61"/>
      <c r="CZ243" s="61"/>
      <c r="DA243" s="61"/>
      <c r="DB243" s="61"/>
      <c r="DC243" s="61"/>
      <c r="DD243" s="61"/>
      <c r="DE243" s="61"/>
      <c r="DF243" s="61"/>
      <c r="DG243" s="61"/>
      <c r="DH243" s="61"/>
      <c r="DI243" s="61"/>
      <c r="DJ243" s="61"/>
      <c r="DK243" s="61"/>
      <c r="DL243" s="61"/>
      <c r="DM243" s="61"/>
      <c r="DN243" s="61"/>
      <c r="DO243" s="61"/>
      <c r="DP243" s="61"/>
      <c r="DQ243" s="61"/>
      <c r="DR243" s="61"/>
      <c r="DS243" s="61"/>
      <c r="DT243" s="61"/>
      <c r="DU243" s="61"/>
      <c r="DV243" s="61"/>
      <c r="DW243" s="61"/>
      <c r="DX243" s="61"/>
      <c r="DY243" s="61"/>
      <c r="DZ243" s="61"/>
      <c r="EA243" s="61"/>
      <c r="EB243" s="61"/>
      <c r="EC243" s="61"/>
      <c r="ED243" s="61"/>
      <c r="EE243" s="61"/>
      <c r="EF243" s="61"/>
      <c r="EG243" s="61"/>
      <c r="EH243" s="61"/>
      <c r="EI243" s="61"/>
      <c r="EJ243" s="61"/>
      <c r="EK243" s="61"/>
      <c r="EL243" s="61"/>
      <c r="EM243" s="61"/>
      <c r="EN243" s="61"/>
      <c r="EO243" s="61"/>
      <c r="EP243" s="61"/>
      <c r="EQ243" s="61"/>
      <c r="ER243" s="61"/>
      <c r="ES243" s="61"/>
      <c r="ET243" s="61"/>
      <c r="EU243" s="61"/>
      <c r="EV243" s="61"/>
      <c r="EW243" s="61"/>
    </row>
    <row r="244" spans="1:153">
      <c r="A244" s="56">
        <v>34001</v>
      </c>
      <c r="B244" s="57"/>
      <c r="C244" s="7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71"/>
      <c r="P244" s="60">
        <v>190.79900000000001</v>
      </c>
      <c r="Q244" s="61">
        <v>12.587</v>
      </c>
      <c r="R244" s="61">
        <v>240.964</v>
      </c>
      <c r="S244" s="61">
        <v>477.33499999999998</v>
      </c>
      <c r="T244" s="61">
        <v>216.72499999999999</v>
      </c>
      <c r="U244" s="61">
        <v>15.426</v>
      </c>
      <c r="V244" s="61">
        <v>3.71</v>
      </c>
      <c r="W244" s="61">
        <v>0.51</v>
      </c>
      <c r="X244" s="61">
        <v>190.79900000000001</v>
      </c>
      <c r="Y244" s="61">
        <v>37.578000000000003</v>
      </c>
      <c r="Z244" s="61">
        <v>12.978999999999999</v>
      </c>
      <c r="AA244" s="61">
        <v>241.35599999999999</v>
      </c>
      <c r="AB244" s="60">
        <v>477.72699999999998</v>
      </c>
      <c r="AC244" s="62"/>
      <c r="AD244" s="61"/>
      <c r="AE244" s="61"/>
      <c r="AF244" s="61"/>
      <c r="AG244" s="61"/>
      <c r="AH244" s="61"/>
      <c r="AI244" s="61"/>
      <c r="AJ244" s="61"/>
      <c r="AK244" s="62"/>
      <c r="AL244" s="63"/>
      <c r="AM244" s="64"/>
      <c r="AN244" s="65" t="e">
        <v>#N/A</v>
      </c>
      <c r="AO244" s="61" t="e">
        <v>#N/A</v>
      </c>
      <c r="AP244" s="61" t="e">
        <v>#N/A</v>
      </c>
      <c r="AQ244" s="61" t="e">
        <v>#N/A</v>
      </c>
      <c r="AR244" s="61" t="e">
        <v>#N/A</v>
      </c>
      <c r="AS244" s="61" t="e">
        <v>#N/A</v>
      </c>
      <c r="AT244" s="61" t="e">
        <v>#N/A</v>
      </c>
      <c r="AU244" s="61" t="e">
        <v>#N/A</v>
      </c>
      <c r="AV244" s="61" t="e">
        <v>#N/A</v>
      </c>
      <c r="AW244" s="61" t="e">
        <v>#N/A</v>
      </c>
      <c r="AX244" s="65" t="e">
        <v>#N/A</v>
      </c>
      <c r="AY244" s="66">
        <v>0.52200000000000002</v>
      </c>
      <c r="AZ244" s="61">
        <v>3.5110000000000001</v>
      </c>
      <c r="BA244" s="61">
        <v>42.192</v>
      </c>
      <c r="BB244" s="61">
        <v>46.223999999999997</v>
      </c>
      <c r="BC244" s="61">
        <v>7.6999999999999999E-2</v>
      </c>
      <c r="BD244" s="61">
        <v>0.26100000000000001</v>
      </c>
      <c r="BE244" s="61">
        <v>1.2999999999999999E-2</v>
      </c>
      <c r="BF244" s="61" t="s">
        <v>122</v>
      </c>
      <c r="BG244" s="61">
        <v>5.8239999999999998</v>
      </c>
      <c r="BH244" s="61">
        <v>2.64</v>
      </c>
      <c r="BI244" s="61">
        <v>1.4999999999999999E-2</v>
      </c>
      <c r="BJ244" s="61">
        <v>8.4789999999999992</v>
      </c>
      <c r="BK244" s="66">
        <v>8.83</v>
      </c>
      <c r="BL244" s="67">
        <v>7.3680000000000003</v>
      </c>
      <c r="BM244" s="61" t="s">
        <v>121</v>
      </c>
      <c r="BN244" s="61" t="s">
        <v>121</v>
      </c>
      <c r="BO244" s="61" t="s">
        <v>121</v>
      </c>
      <c r="BP244" s="61">
        <v>7.3680000000000003</v>
      </c>
      <c r="BQ244" s="61">
        <v>214.43</v>
      </c>
      <c r="BR244" s="61">
        <v>14.459</v>
      </c>
      <c r="BS244" s="61">
        <v>0.183</v>
      </c>
      <c r="BT244" s="61">
        <v>0.51</v>
      </c>
      <c r="BU244" s="61">
        <v>13.473000000000001</v>
      </c>
      <c r="BV244" s="61">
        <v>20.934000000000001</v>
      </c>
      <c r="BW244" s="61">
        <v>34.406999999999996</v>
      </c>
      <c r="BX244" s="67">
        <v>263.99</v>
      </c>
      <c r="BY244" s="68">
        <v>78822</v>
      </c>
      <c r="BZ244" s="68">
        <v>97030</v>
      </c>
      <c r="CA244" s="69">
        <v>6272</v>
      </c>
      <c r="CB244" s="68">
        <v>110372</v>
      </c>
      <c r="CC244" s="68">
        <v>8433</v>
      </c>
      <c r="CD244" s="61"/>
      <c r="CE244" s="64"/>
      <c r="CF244" s="64"/>
      <c r="CG244" s="70">
        <f t="shared" si="16"/>
        <v>4635.6239999999998</v>
      </c>
      <c r="CH244" s="70">
        <f t="shared" si="17"/>
        <v>263.42399999999998</v>
      </c>
      <c r="CI244" s="70">
        <f t="shared" si="18"/>
        <v>354.18599999999998</v>
      </c>
      <c r="CJ244" s="70">
        <f t="shared" si="20"/>
        <v>3310.5239999999999</v>
      </c>
      <c r="CK244" s="70">
        <f t="shared" si="20"/>
        <v>4075.26</v>
      </c>
      <c r="CL244" s="70">
        <f t="shared" si="19"/>
        <v>354.18599999999998</v>
      </c>
      <c r="CM244" s="61"/>
      <c r="CN244" s="61"/>
      <c r="CO244" s="61"/>
      <c r="CP244" s="61"/>
      <c r="CQ244" s="61"/>
      <c r="CR244" s="61"/>
      <c r="CS244" s="61"/>
      <c r="CT244" s="61"/>
      <c r="CU244" s="61"/>
      <c r="CV244" s="61"/>
      <c r="CW244" s="61"/>
      <c r="CX244" s="61"/>
      <c r="CY244" s="61"/>
      <c r="CZ244" s="61"/>
      <c r="DA244" s="61"/>
      <c r="DB244" s="61"/>
      <c r="DC244" s="61"/>
      <c r="DD244" s="61"/>
      <c r="DE244" s="61"/>
      <c r="DF244" s="61"/>
      <c r="DG244" s="61"/>
      <c r="DH244" s="61"/>
      <c r="DI244" s="61"/>
      <c r="DJ244" s="61"/>
      <c r="DK244" s="61"/>
      <c r="DL244" s="61"/>
      <c r="DM244" s="61"/>
      <c r="DN244" s="61"/>
      <c r="DO244" s="61"/>
      <c r="DP244" s="61"/>
      <c r="DQ244" s="61"/>
      <c r="DR244" s="61"/>
      <c r="DS244" s="61"/>
      <c r="DT244" s="61"/>
      <c r="DU244" s="61"/>
      <c r="DV244" s="61"/>
      <c r="DW244" s="61"/>
      <c r="DX244" s="61"/>
      <c r="DY244" s="61"/>
      <c r="DZ244" s="61"/>
      <c r="EA244" s="61"/>
      <c r="EB244" s="61"/>
      <c r="EC244" s="61"/>
      <c r="ED244" s="61"/>
      <c r="EE244" s="61"/>
      <c r="EF244" s="61"/>
      <c r="EG244" s="61"/>
      <c r="EH244" s="61"/>
      <c r="EI244" s="61"/>
      <c r="EJ244" s="61"/>
      <c r="EK244" s="61"/>
      <c r="EL244" s="61"/>
      <c r="EM244" s="61"/>
      <c r="EN244" s="61"/>
      <c r="EO244" s="61"/>
      <c r="EP244" s="61"/>
      <c r="EQ244" s="61"/>
      <c r="ER244" s="61"/>
      <c r="ES244" s="61"/>
      <c r="ET244" s="61"/>
      <c r="EU244" s="61"/>
      <c r="EV244" s="61"/>
      <c r="EW244" s="61"/>
    </row>
    <row r="245" spans="1:153">
      <c r="A245" s="56">
        <v>34029</v>
      </c>
      <c r="B245" s="57"/>
      <c r="C245" s="7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71"/>
      <c r="P245" s="60">
        <v>202.46600000000001</v>
      </c>
      <c r="Q245" s="61">
        <v>14.83</v>
      </c>
      <c r="R245" s="61">
        <v>263.20400000000001</v>
      </c>
      <c r="S245" s="61">
        <v>543.31100000000004</v>
      </c>
      <c r="T245" s="61">
        <v>253.399</v>
      </c>
      <c r="U245" s="61">
        <v>16.137</v>
      </c>
      <c r="V245" s="61">
        <v>5.2160000000000002</v>
      </c>
      <c r="W245" s="61">
        <v>5.3559999999999999</v>
      </c>
      <c r="X245" s="61">
        <v>202.46600000000001</v>
      </c>
      <c r="Y245" s="61">
        <v>45.908000000000001</v>
      </c>
      <c r="Z245" s="61">
        <v>15.052</v>
      </c>
      <c r="AA245" s="61">
        <v>263.42599999999999</v>
      </c>
      <c r="AB245" s="60">
        <v>543.53300000000002</v>
      </c>
      <c r="AC245" s="62"/>
      <c r="AD245" s="61"/>
      <c r="AE245" s="61"/>
      <c r="AF245" s="61"/>
      <c r="AG245" s="61"/>
      <c r="AH245" s="61"/>
      <c r="AI245" s="61"/>
      <c r="AJ245" s="61"/>
      <c r="AK245" s="62"/>
      <c r="AL245" s="63"/>
      <c r="AM245" s="64"/>
      <c r="AN245" s="65" t="e">
        <v>#N/A</v>
      </c>
      <c r="AO245" s="61" t="e">
        <v>#N/A</v>
      </c>
      <c r="AP245" s="61" t="e">
        <v>#N/A</v>
      </c>
      <c r="AQ245" s="61" t="e">
        <v>#N/A</v>
      </c>
      <c r="AR245" s="61" t="e">
        <v>#N/A</v>
      </c>
      <c r="AS245" s="61" t="e">
        <v>#N/A</v>
      </c>
      <c r="AT245" s="61" t="e">
        <v>#N/A</v>
      </c>
      <c r="AU245" s="61" t="e">
        <v>#N/A</v>
      </c>
      <c r="AV245" s="61" t="e">
        <v>#N/A</v>
      </c>
      <c r="AW245" s="61" t="e">
        <v>#N/A</v>
      </c>
      <c r="AX245" s="65" t="e">
        <v>#N/A</v>
      </c>
      <c r="AY245" s="66">
        <v>0.57799999999999996</v>
      </c>
      <c r="AZ245" s="61">
        <v>4.8369999999999997</v>
      </c>
      <c r="BA245" s="61">
        <v>46.712000000000003</v>
      </c>
      <c r="BB245" s="61">
        <v>52.127000000000002</v>
      </c>
      <c r="BC245" s="61">
        <v>0.09</v>
      </c>
      <c r="BD245" s="61">
        <v>0.28899999999999998</v>
      </c>
      <c r="BE245" s="61">
        <v>1.7999999999999999E-2</v>
      </c>
      <c r="BF245" s="61" t="s">
        <v>122</v>
      </c>
      <c r="BG245" s="61">
        <v>6.4349999999999996</v>
      </c>
      <c r="BH245" s="61">
        <v>3.3410000000000002</v>
      </c>
      <c r="BI245" s="61">
        <v>1.7999999999999999E-2</v>
      </c>
      <c r="BJ245" s="61">
        <v>9.7940000000000005</v>
      </c>
      <c r="BK245" s="66">
        <v>10.191000000000001</v>
      </c>
      <c r="BL245" s="67">
        <v>8.4450000000000003</v>
      </c>
      <c r="BM245" s="61" t="s">
        <v>121</v>
      </c>
      <c r="BN245" s="61" t="s">
        <v>121</v>
      </c>
      <c r="BO245" s="61" t="s">
        <v>121</v>
      </c>
      <c r="BP245" s="61">
        <v>8.4450000000000003</v>
      </c>
      <c r="BQ245" s="61">
        <v>250.715</v>
      </c>
      <c r="BR245" s="61">
        <v>15.067</v>
      </c>
      <c r="BS245" s="61">
        <v>0.35599999999999998</v>
      </c>
      <c r="BT245" s="61">
        <v>5.3559999999999999</v>
      </c>
      <c r="BU245" s="61">
        <v>13.920999999999999</v>
      </c>
      <c r="BV245" s="61">
        <v>26.491</v>
      </c>
      <c r="BW245" s="61">
        <v>40.411999999999999</v>
      </c>
      <c r="BX245" s="67">
        <v>311.90600000000001</v>
      </c>
      <c r="BY245" s="68">
        <v>90483</v>
      </c>
      <c r="BZ245" s="68">
        <v>106021</v>
      </c>
      <c r="CA245" s="69">
        <v>7293</v>
      </c>
      <c r="CB245" s="68">
        <v>97349</v>
      </c>
      <c r="CC245" s="68">
        <v>4778</v>
      </c>
      <c r="CD245" s="61"/>
      <c r="CE245" s="64"/>
      <c r="CF245" s="64"/>
      <c r="CG245" s="70">
        <f t="shared" si="16"/>
        <v>4088.6579999999999</v>
      </c>
      <c r="CH245" s="70">
        <f t="shared" si="17"/>
        <v>306.30599999999998</v>
      </c>
      <c r="CI245" s="70">
        <f t="shared" si="18"/>
        <v>200.67599999999999</v>
      </c>
      <c r="CJ245" s="70">
        <f t="shared" si="20"/>
        <v>3800.2860000000001</v>
      </c>
      <c r="CK245" s="70">
        <f t="shared" si="20"/>
        <v>4452.8819999999996</v>
      </c>
      <c r="CL245" s="70">
        <f t="shared" si="19"/>
        <v>200.67599999999999</v>
      </c>
      <c r="CM245" s="61"/>
      <c r="CN245" s="61"/>
      <c r="CO245" s="61"/>
      <c r="CP245" s="61"/>
      <c r="CQ245" s="61"/>
      <c r="CR245" s="61"/>
      <c r="CS245" s="61"/>
      <c r="CT245" s="61"/>
      <c r="CU245" s="61"/>
      <c r="CV245" s="61"/>
      <c r="CW245" s="61"/>
      <c r="CX245" s="61"/>
      <c r="CY245" s="61"/>
      <c r="CZ245" s="61"/>
      <c r="DA245" s="61"/>
      <c r="DB245" s="61"/>
      <c r="DC245" s="61"/>
      <c r="DD245" s="61"/>
      <c r="DE245" s="61"/>
      <c r="DF245" s="61"/>
      <c r="DG245" s="61"/>
      <c r="DH245" s="61"/>
      <c r="DI245" s="61"/>
      <c r="DJ245" s="61"/>
      <c r="DK245" s="61"/>
      <c r="DL245" s="61"/>
      <c r="DM245" s="61"/>
      <c r="DN245" s="61"/>
      <c r="DO245" s="61"/>
      <c r="DP245" s="61"/>
      <c r="DQ245" s="61"/>
      <c r="DR245" s="61"/>
      <c r="DS245" s="61"/>
      <c r="DT245" s="61"/>
      <c r="DU245" s="61"/>
      <c r="DV245" s="61"/>
      <c r="DW245" s="61"/>
      <c r="DX245" s="61"/>
      <c r="DY245" s="61"/>
      <c r="DZ245" s="61"/>
      <c r="EA245" s="61"/>
      <c r="EB245" s="61"/>
      <c r="EC245" s="61"/>
      <c r="ED245" s="61"/>
      <c r="EE245" s="61"/>
      <c r="EF245" s="61"/>
      <c r="EG245" s="61"/>
      <c r="EH245" s="61"/>
      <c r="EI245" s="61"/>
      <c r="EJ245" s="61"/>
      <c r="EK245" s="61"/>
      <c r="EL245" s="61"/>
      <c r="EM245" s="61"/>
      <c r="EN245" s="61"/>
      <c r="EO245" s="61"/>
      <c r="EP245" s="61"/>
      <c r="EQ245" s="61"/>
      <c r="ER245" s="61"/>
      <c r="ES245" s="61"/>
      <c r="ET245" s="61"/>
      <c r="EU245" s="61"/>
      <c r="EV245" s="61"/>
      <c r="EW245" s="61"/>
    </row>
    <row r="246" spans="1:153">
      <c r="A246" s="56">
        <v>34060</v>
      </c>
      <c r="B246" s="57"/>
      <c r="C246" s="7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71"/>
      <c r="P246" s="60">
        <v>176.447</v>
      </c>
      <c r="Q246" s="61">
        <v>14.208</v>
      </c>
      <c r="R246" s="61">
        <v>226.85900000000001</v>
      </c>
      <c r="S246" s="61">
        <v>527.47400000000005</v>
      </c>
      <c r="T246" s="61">
        <v>274.88600000000002</v>
      </c>
      <c r="U246" s="61">
        <v>15.99</v>
      </c>
      <c r="V246" s="61">
        <v>5.9139999999999997</v>
      </c>
      <c r="W246" s="61">
        <v>3.8260000000000001</v>
      </c>
      <c r="X246" s="61">
        <v>176.447</v>
      </c>
      <c r="Y246" s="61">
        <v>36.204999999999998</v>
      </c>
      <c r="Z246" s="61">
        <v>13.433999999999999</v>
      </c>
      <c r="AA246" s="61">
        <v>226.08600000000001</v>
      </c>
      <c r="AB246" s="60">
        <v>526.70100000000002</v>
      </c>
      <c r="AC246" s="62"/>
      <c r="AD246" s="61"/>
      <c r="AE246" s="61"/>
      <c r="AF246" s="61"/>
      <c r="AG246" s="61"/>
      <c r="AH246" s="61"/>
      <c r="AI246" s="61"/>
      <c r="AJ246" s="61"/>
      <c r="AK246" s="62"/>
      <c r="AL246" s="63"/>
      <c r="AM246" s="64"/>
      <c r="AN246" s="65" t="e">
        <v>#N/A</v>
      </c>
      <c r="AO246" s="61" t="e">
        <v>#N/A</v>
      </c>
      <c r="AP246" s="61" t="e">
        <v>#N/A</v>
      </c>
      <c r="AQ246" s="61" t="e">
        <v>#N/A</v>
      </c>
      <c r="AR246" s="61" t="e">
        <v>#N/A</v>
      </c>
      <c r="AS246" s="61" t="e">
        <v>#N/A</v>
      </c>
      <c r="AT246" s="61" t="e">
        <v>#N/A</v>
      </c>
      <c r="AU246" s="61" t="e">
        <v>#N/A</v>
      </c>
      <c r="AV246" s="61" t="e">
        <v>#N/A</v>
      </c>
      <c r="AW246" s="61" t="e">
        <v>#N/A</v>
      </c>
      <c r="AX246" s="65" t="e">
        <v>#N/A</v>
      </c>
      <c r="AY246" s="66">
        <v>0.55900000000000005</v>
      </c>
      <c r="AZ246" s="61">
        <v>5.3319999999999999</v>
      </c>
      <c r="BA246" s="61">
        <v>45.204999999999998</v>
      </c>
      <c r="BB246" s="61">
        <v>51.095999999999997</v>
      </c>
      <c r="BC246" s="61">
        <v>9.8000000000000004E-2</v>
      </c>
      <c r="BD246" s="61">
        <v>0.27900000000000003</v>
      </c>
      <c r="BE246" s="61">
        <v>0.02</v>
      </c>
      <c r="BF246" s="61" t="s">
        <v>122</v>
      </c>
      <c r="BG246" s="61">
        <v>6.2</v>
      </c>
      <c r="BH246" s="61">
        <v>2.4340000000000002</v>
      </c>
      <c r="BI246" s="61">
        <v>1.4999999999999999E-2</v>
      </c>
      <c r="BJ246" s="61">
        <v>8.65</v>
      </c>
      <c r="BK246" s="66">
        <v>9.0470000000000006</v>
      </c>
      <c r="BL246" s="67">
        <v>7.1189999999999998</v>
      </c>
      <c r="BM246" s="61" t="s">
        <v>121</v>
      </c>
      <c r="BN246" s="61" t="s">
        <v>121</v>
      </c>
      <c r="BO246" s="61" t="s">
        <v>121</v>
      </c>
      <c r="BP246" s="61">
        <v>7.1189999999999998</v>
      </c>
      <c r="BQ246" s="61">
        <v>271.97500000000002</v>
      </c>
      <c r="BR246" s="61">
        <v>14.954000000000001</v>
      </c>
      <c r="BS246" s="61">
        <v>0.55800000000000005</v>
      </c>
      <c r="BT246" s="61">
        <v>3.8260000000000001</v>
      </c>
      <c r="BU246" s="61">
        <v>11.260999999999999</v>
      </c>
      <c r="BV246" s="61">
        <v>19.303999999999998</v>
      </c>
      <c r="BW246" s="61">
        <v>30.565999999999999</v>
      </c>
      <c r="BX246" s="67">
        <v>321.87799999999999</v>
      </c>
      <c r="BY246" s="68">
        <v>91395</v>
      </c>
      <c r="BZ246" s="68">
        <v>88303</v>
      </c>
      <c r="CA246" s="69">
        <v>6282</v>
      </c>
      <c r="CB246" s="68">
        <v>99480</v>
      </c>
      <c r="CC246" s="68">
        <v>7243</v>
      </c>
      <c r="CD246" s="61"/>
      <c r="CE246" s="64"/>
      <c r="CF246" s="64"/>
      <c r="CG246" s="70">
        <f t="shared" si="16"/>
        <v>4178.16</v>
      </c>
      <c r="CH246" s="70">
        <f t="shared" si="17"/>
        <v>263.84399999999999</v>
      </c>
      <c r="CI246" s="70">
        <f t="shared" si="18"/>
        <v>304.20600000000002</v>
      </c>
      <c r="CJ246" s="70">
        <f t="shared" si="20"/>
        <v>3838.59</v>
      </c>
      <c r="CK246" s="70">
        <f t="shared" si="20"/>
        <v>3708.7260000000001</v>
      </c>
      <c r="CL246" s="70">
        <f t="shared" si="19"/>
        <v>304.20600000000002</v>
      </c>
      <c r="CM246" s="61"/>
      <c r="CN246" s="61"/>
      <c r="CO246" s="61"/>
      <c r="CP246" s="61"/>
      <c r="CQ246" s="61"/>
      <c r="CR246" s="61"/>
      <c r="CS246" s="61"/>
      <c r="CT246" s="61"/>
      <c r="CU246" s="61"/>
      <c r="CV246" s="61"/>
      <c r="CW246" s="61"/>
      <c r="CX246" s="61"/>
      <c r="CY246" s="61"/>
      <c r="CZ246" s="61"/>
      <c r="DA246" s="61"/>
      <c r="DB246" s="61"/>
      <c r="DC246" s="61"/>
      <c r="DD246" s="61"/>
      <c r="DE246" s="61"/>
      <c r="DF246" s="61"/>
      <c r="DG246" s="61"/>
      <c r="DH246" s="61"/>
      <c r="DI246" s="61"/>
      <c r="DJ246" s="61"/>
      <c r="DK246" s="61"/>
      <c r="DL246" s="61"/>
      <c r="DM246" s="61"/>
      <c r="DN246" s="61"/>
      <c r="DO246" s="61"/>
      <c r="DP246" s="61"/>
      <c r="DQ246" s="61"/>
      <c r="DR246" s="61"/>
      <c r="DS246" s="61"/>
      <c r="DT246" s="61"/>
      <c r="DU246" s="61"/>
      <c r="DV246" s="61"/>
      <c r="DW246" s="61"/>
      <c r="DX246" s="61"/>
      <c r="DY246" s="61"/>
      <c r="DZ246" s="61"/>
      <c r="EA246" s="61"/>
      <c r="EB246" s="61"/>
      <c r="EC246" s="61"/>
      <c r="ED246" s="61"/>
      <c r="EE246" s="61"/>
      <c r="EF246" s="61"/>
      <c r="EG246" s="61"/>
      <c r="EH246" s="61"/>
      <c r="EI246" s="61"/>
      <c r="EJ246" s="61"/>
      <c r="EK246" s="61"/>
      <c r="EL246" s="61"/>
      <c r="EM246" s="61"/>
      <c r="EN246" s="61"/>
      <c r="EO246" s="61"/>
      <c r="EP246" s="61"/>
      <c r="EQ246" s="61"/>
      <c r="ER246" s="61"/>
      <c r="ES246" s="61"/>
      <c r="ET246" s="61"/>
      <c r="EU246" s="61"/>
      <c r="EV246" s="61"/>
      <c r="EW246" s="61"/>
    </row>
    <row r="247" spans="1:153">
      <c r="A247" s="56">
        <v>34090</v>
      </c>
      <c r="B247" s="57"/>
      <c r="C247" s="7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71"/>
      <c r="P247" s="60">
        <v>141.05699999999999</v>
      </c>
      <c r="Q247" s="61">
        <v>14.454000000000001</v>
      </c>
      <c r="R247" s="61">
        <v>196.012</v>
      </c>
      <c r="S247" s="61">
        <v>537.1</v>
      </c>
      <c r="T247" s="61">
        <v>316.46899999999999</v>
      </c>
      <c r="U247" s="61">
        <v>14.37</v>
      </c>
      <c r="V247" s="61">
        <v>6.423</v>
      </c>
      <c r="W247" s="61">
        <v>3.8260000000000001</v>
      </c>
      <c r="X247" s="61">
        <v>141.05699999999999</v>
      </c>
      <c r="Y247" s="61">
        <v>40.502000000000002</v>
      </c>
      <c r="Z247" s="61">
        <v>13.452</v>
      </c>
      <c r="AA247" s="61">
        <v>195.01</v>
      </c>
      <c r="AB247" s="60">
        <v>536.09699999999998</v>
      </c>
      <c r="AC247" s="62"/>
      <c r="AD247" s="61"/>
      <c r="AE247" s="61"/>
      <c r="AF247" s="61"/>
      <c r="AG247" s="61"/>
      <c r="AH247" s="61"/>
      <c r="AI247" s="61"/>
      <c r="AJ247" s="61"/>
      <c r="AK247" s="62"/>
      <c r="AL247" s="63"/>
      <c r="AM247" s="64"/>
      <c r="AN247" s="65" t="e">
        <v>#N/A</v>
      </c>
      <c r="AO247" s="61" t="e">
        <v>#N/A</v>
      </c>
      <c r="AP247" s="61" t="e">
        <v>#N/A</v>
      </c>
      <c r="AQ247" s="61" t="e">
        <v>#N/A</v>
      </c>
      <c r="AR247" s="61" t="e">
        <v>#N/A</v>
      </c>
      <c r="AS247" s="61" t="e">
        <v>#N/A</v>
      </c>
      <c r="AT247" s="61" t="e">
        <v>#N/A</v>
      </c>
      <c r="AU247" s="61" t="e">
        <v>#N/A</v>
      </c>
      <c r="AV247" s="61" t="e">
        <v>#N/A</v>
      </c>
      <c r="AW247" s="61" t="e">
        <v>#N/A</v>
      </c>
      <c r="AX247" s="65" t="e">
        <v>#N/A</v>
      </c>
      <c r="AY247" s="66">
        <v>0.57799999999999996</v>
      </c>
      <c r="AZ247" s="61">
        <v>5.8860000000000001</v>
      </c>
      <c r="BA247" s="61">
        <v>46.712000000000003</v>
      </c>
      <c r="BB247" s="61">
        <v>53.176000000000002</v>
      </c>
      <c r="BC247" s="61">
        <v>0.113</v>
      </c>
      <c r="BD247" s="61">
        <v>0.28899999999999998</v>
      </c>
      <c r="BE247" s="61">
        <v>2.1999999999999999E-2</v>
      </c>
      <c r="BF247" s="61" t="s">
        <v>122</v>
      </c>
      <c r="BG247" s="61">
        <v>6.3490000000000002</v>
      </c>
      <c r="BH247" s="61">
        <v>2.8159999999999998</v>
      </c>
      <c r="BI247" s="61">
        <v>1.4999999999999999E-2</v>
      </c>
      <c r="BJ247" s="61">
        <v>9.1790000000000003</v>
      </c>
      <c r="BK247" s="66">
        <v>9.6029999999999998</v>
      </c>
      <c r="BL247" s="67">
        <v>7.03</v>
      </c>
      <c r="BM247" s="61" t="s">
        <v>121</v>
      </c>
      <c r="BN247" s="61" t="s">
        <v>121</v>
      </c>
      <c r="BO247" s="61" t="s">
        <v>121</v>
      </c>
      <c r="BP247" s="61">
        <v>7.03</v>
      </c>
      <c r="BQ247" s="61">
        <v>313.11799999999999</v>
      </c>
      <c r="BR247" s="61">
        <v>13.298999999999999</v>
      </c>
      <c r="BS247" s="61">
        <v>0.51</v>
      </c>
      <c r="BT247" s="61">
        <v>3.8260000000000001</v>
      </c>
      <c r="BU247" s="61">
        <v>6.9550000000000001</v>
      </c>
      <c r="BV247" s="61">
        <v>22.327999999999999</v>
      </c>
      <c r="BW247" s="61">
        <v>29.282</v>
      </c>
      <c r="BX247" s="67">
        <v>360.03500000000003</v>
      </c>
      <c r="BY247" s="68">
        <v>92801</v>
      </c>
      <c r="BZ247" s="68">
        <v>83245</v>
      </c>
      <c r="CA247" s="69">
        <v>4730</v>
      </c>
      <c r="CB247" s="68">
        <v>102760</v>
      </c>
      <c r="CC247" s="68">
        <v>11006</v>
      </c>
      <c r="CD247" s="61"/>
      <c r="CE247" s="64"/>
      <c r="CF247" s="64"/>
      <c r="CG247" s="70">
        <f t="shared" si="16"/>
        <v>4315.92</v>
      </c>
      <c r="CH247" s="70">
        <f t="shared" si="17"/>
        <v>198.66</v>
      </c>
      <c r="CI247" s="70">
        <f t="shared" si="18"/>
        <v>462.25200000000001</v>
      </c>
      <c r="CJ247" s="70">
        <f t="shared" si="20"/>
        <v>3897.6419999999998</v>
      </c>
      <c r="CK247" s="70">
        <f t="shared" si="20"/>
        <v>3496.29</v>
      </c>
      <c r="CL247" s="70">
        <f t="shared" si="19"/>
        <v>462.25200000000001</v>
      </c>
      <c r="CM247" s="61"/>
      <c r="CN247" s="61"/>
      <c r="CO247" s="61"/>
      <c r="CP247" s="61"/>
      <c r="CQ247" s="61"/>
      <c r="CR247" s="61"/>
      <c r="CS247" s="61"/>
      <c r="CT247" s="61"/>
      <c r="CU247" s="61"/>
      <c r="CV247" s="61"/>
      <c r="CW247" s="61"/>
      <c r="CX247" s="61"/>
      <c r="CY247" s="61"/>
      <c r="CZ247" s="61"/>
      <c r="DA247" s="61"/>
      <c r="DB247" s="61"/>
      <c r="DC247" s="61"/>
      <c r="DD247" s="61"/>
      <c r="DE247" s="61"/>
      <c r="DF247" s="61"/>
      <c r="DG247" s="61"/>
      <c r="DH247" s="61"/>
      <c r="DI247" s="61"/>
      <c r="DJ247" s="61"/>
      <c r="DK247" s="61"/>
      <c r="DL247" s="61"/>
      <c r="DM247" s="61"/>
      <c r="DN247" s="61"/>
      <c r="DO247" s="61"/>
      <c r="DP247" s="61"/>
      <c r="DQ247" s="61"/>
      <c r="DR247" s="61"/>
      <c r="DS247" s="61"/>
      <c r="DT247" s="61"/>
      <c r="DU247" s="61"/>
      <c r="DV247" s="61"/>
      <c r="DW247" s="61"/>
      <c r="DX247" s="61"/>
      <c r="DY247" s="61"/>
      <c r="DZ247" s="61"/>
      <c r="EA247" s="61"/>
      <c r="EB247" s="61"/>
      <c r="EC247" s="61"/>
      <c r="ED247" s="61"/>
      <c r="EE247" s="61"/>
      <c r="EF247" s="61"/>
      <c r="EG247" s="61"/>
      <c r="EH247" s="61"/>
      <c r="EI247" s="61"/>
      <c r="EJ247" s="61"/>
      <c r="EK247" s="61"/>
      <c r="EL247" s="61"/>
      <c r="EM247" s="61"/>
      <c r="EN247" s="61"/>
      <c r="EO247" s="61"/>
      <c r="EP247" s="61"/>
      <c r="EQ247" s="61"/>
      <c r="ER247" s="61"/>
      <c r="ES247" s="61"/>
      <c r="ET247" s="61"/>
      <c r="EU247" s="61"/>
      <c r="EV247" s="61"/>
      <c r="EW247" s="61"/>
    </row>
    <row r="248" spans="1:153">
      <c r="A248" s="56">
        <v>34121</v>
      </c>
      <c r="B248" s="57"/>
      <c r="C248" s="7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71"/>
      <c r="P248" s="60">
        <v>142.881</v>
      </c>
      <c r="Q248" s="61">
        <v>13.992000000000001</v>
      </c>
      <c r="R248" s="61">
        <v>197.44499999999999</v>
      </c>
      <c r="S248" s="61">
        <v>506.685</v>
      </c>
      <c r="T248" s="61">
        <v>287.58100000000002</v>
      </c>
      <c r="U248" s="61">
        <v>14.436</v>
      </c>
      <c r="V248" s="61">
        <v>6.3310000000000004</v>
      </c>
      <c r="W248" s="61">
        <v>0.89300000000000002</v>
      </c>
      <c r="X248" s="61">
        <v>142.881</v>
      </c>
      <c r="Y248" s="61">
        <v>40.570999999999998</v>
      </c>
      <c r="Z248" s="61">
        <v>13.51</v>
      </c>
      <c r="AA248" s="61">
        <v>196.96299999999999</v>
      </c>
      <c r="AB248" s="60">
        <v>506.20299999999997</v>
      </c>
      <c r="AC248" s="62"/>
      <c r="AD248" s="61"/>
      <c r="AE248" s="61"/>
      <c r="AF248" s="61"/>
      <c r="AG248" s="61"/>
      <c r="AH248" s="61"/>
      <c r="AI248" s="61"/>
      <c r="AJ248" s="61"/>
      <c r="AK248" s="62"/>
      <c r="AL248" s="63"/>
      <c r="AM248" s="64"/>
      <c r="AN248" s="65" t="e">
        <v>#N/A</v>
      </c>
      <c r="AO248" s="61" t="e">
        <v>#N/A</v>
      </c>
      <c r="AP248" s="61" t="e">
        <v>#N/A</v>
      </c>
      <c r="AQ248" s="61" t="e">
        <v>#N/A</v>
      </c>
      <c r="AR248" s="61" t="e">
        <v>#N/A</v>
      </c>
      <c r="AS248" s="61" t="e">
        <v>#N/A</v>
      </c>
      <c r="AT248" s="61" t="e">
        <v>#N/A</v>
      </c>
      <c r="AU248" s="61" t="e">
        <v>#N/A</v>
      </c>
      <c r="AV248" s="61" t="e">
        <v>#N/A</v>
      </c>
      <c r="AW248" s="61" t="e">
        <v>#N/A</v>
      </c>
      <c r="AX248" s="65" t="e">
        <v>#N/A</v>
      </c>
      <c r="AY248" s="66">
        <v>0.55900000000000005</v>
      </c>
      <c r="AZ248" s="61">
        <v>5.9390000000000001</v>
      </c>
      <c r="BA248" s="61">
        <v>45.204999999999998</v>
      </c>
      <c r="BB248" s="61">
        <v>51.703000000000003</v>
      </c>
      <c r="BC248" s="61">
        <v>0.10199999999999999</v>
      </c>
      <c r="BD248" s="61">
        <v>0.27900000000000003</v>
      </c>
      <c r="BE248" s="61">
        <v>2.1999999999999999E-2</v>
      </c>
      <c r="BF248" s="61" t="s">
        <v>122</v>
      </c>
      <c r="BG248" s="61">
        <v>6.1529999999999996</v>
      </c>
      <c r="BH248" s="61">
        <v>2.859</v>
      </c>
      <c r="BI248" s="61">
        <v>1.4999999999999999E-2</v>
      </c>
      <c r="BJ248" s="61">
        <v>9.0269999999999992</v>
      </c>
      <c r="BK248" s="66">
        <v>9.4309999999999992</v>
      </c>
      <c r="BL248" s="67">
        <v>7.2859999999999996</v>
      </c>
      <c r="BM248" s="61" t="s">
        <v>121</v>
      </c>
      <c r="BN248" s="61" t="s">
        <v>121</v>
      </c>
      <c r="BO248" s="61" t="s">
        <v>121</v>
      </c>
      <c r="BP248" s="61">
        <v>7.2859999999999996</v>
      </c>
      <c r="BQ248" s="61">
        <v>284.536</v>
      </c>
      <c r="BR248" s="61">
        <v>13.4</v>
      </c>
      <c r="BS248" s="61">
        <v>0.36499999999999999</v>
      </c>
      <c r="BT248" s="61">
        <v>0.89300000000000002</v>
      </c>
      <c r="BU248" s="61">
        <v>7.4530000000000003</v>
      </c>
      <c r="BV248" s="61">
        <v>22.667000000000002</v>
      </c>
      <c r="BW248" s="61">
        <v>30.120999999999999</v>
      </c>
      <c r="BX248" s="67">
        <v>329.31400000000002</v>
      </c>
      <c r="BY248" s="68">
        <v>92780</v>
      </c>
      <c r="BZ248" s="68">
        <v>85883</v>
      </c>
      <c r="CA248" s="69">
        <v>5050</v>
      </c>
      <c r="CB248" s="68">
        <v>109981</v>
      </c>
      <c r="CC248" s="68">
        <v>4726</v>
      </c>
      <c r="CD248" s="61"/>
      <c r="CE248" s="64"/>
      <c r="CF248" s="64"/>
      <c r="CG248" s="70">
        <f t="shared" si="16"/>
        <v>4619.2020000000002</v>
      </c>
      <c r="CH248" s="70">
        <f t="shared" si="17"/>
        <v>212.1</v>
      </c>
      <c r="CI248" s="70">
        <f t="shared" si="18"/>
        <v>198.49199999999999</v>
      </c>
      <c r="CJ248" s="70">
        <f t="shared" si="20"/>
        <v>3896.76</v>
      </c>
      <c r="CK248" s="70">
        <f t="shared" si="20"/>
        <v>3607.0859999999998</v>
      </c>
      <c r="CL248" s="70">
        <f t="shared" si="19"/>
        <v>198.49199999999999</v>
      </c>
      <c r="CM248" s="61"/>
      <c r="CN248" s="61"/>
      <c r="CO248" s="61"/>
      <c r="CP248" s="61"/>
      <c r="CQ248" s="61"/>
      <c r="CR248" s="61"/>
      <c r="CS248" s="61"/>
      <c r="CT248" s="61"/>
      <c r="CU248" s="61"/>
      <c r="CV248" s="61"/>
      <c r="CW248" s="61"/>
      <c r="CX248" s="61"/>
      <c r="CY248" s="61"/>
      <c r="CZ248" s="61"/>
      <c r="DA248" s="61"/>
      <c r="DB248" s="61"/>
      <c r="DC248" s="61"/>
      <c r="DD248" s="61"/>
      <c r="DE248" s="61"/>
      <c r="DF248" s="61"/>
      <c r="DG248" s="61"/>
      <c r="DH248" s="61"/>
      <c r="DI248" s="61"/>
      <c r="DJ248" s="61"/>
      <c r="DK248" s="61"/>
      <c r="DL248" s="61"/>
      <c r="DM248" s="61"/>
      <c r="DN248" s="61"/>
      <c r="DO248" s="61"/>
      <c r="DP248" s="61"/>
      <c r="DQ248" s="61"/>
      <c r="DR248" s="61"/>
      <c r="DS248" s="61"/>
      <c r="DT248" s="61"/>
      <c r="DU248" s="61"/>
      <c r="DV248" s="61"/>
      <c r="DW248" s="61"/>
      <c r="DX248" s="61"/>
      <c r="DY248" s="61"/>
      <c r="DZ248" s="61"/>
      <c r="EA248" s="61"/>
      <c r="EB248" s="61"/>
      <c r="EC248" s="61"/>
      <c r="ED248" s="61"/>
      <c r="EE248" s="61"/>
      <c r="EF248" s="61"/>
      <c r="EG248" s="61"/>
      <c r="EH248" s="61"/>
      <c r="EI248" s="61"/>
      <c r="EJ248" s="61"/>
      <c r="EK248" s="61"/>
      <c r="EL248" s="61"/>
      <c r="EM248" s="61"/>
      <c r="EN248" s="61"/>
      <c r="EO248" s="61"/>
      <c r="EP248" s="61"/>
      <c r="EQ248" s="61"/>
      <c r="ER248" s="61"/>
      <c r="ES248" s="61"/>
      <c r="ET248" s="61"/>
      <c r="EU248" s="61"/>
      <c r="EV248" s="61"/>
      <c r="EW248" s="61"/>
    </row>
    <row r="249" spans="1:153">
      <c r="A249" s="56">
        <v>34151</v>
      </c>
      <c r="B249" s="57"/>
      <c r="C249" s="7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71"/>
      <c r="P249" s="60">
        <v>159.077</v>
      </c>
      <c r="Q249" s="61">
        <v>13.875</v>
      </c>
      <c r="R249" s="61">
        <v>212.70699999999999</v>
      </c>
      <c r="S249" s="61">
        <v>491.68099999999998</v>
      </c>
      <c r="T249" s="61">
        <v>254.88499999999999</v>
      </c>
      <c r="U249" s="61">
        <v>15.78</v>
      </c>
      <c r="V249" s="61">
        <v>6.9059999999999997</v>
      </c>
      <c r="W249" s="61">
        <v>1.403</v>
      </c>
      <c r="X249" s="61">
        <v>159.077</v>
      </c>
      <c r="Y249" s="61">
        <v>39.755000000000003</v>
      </c>
      <c r="Z249" s="61">
        <v>13.683999999999999</v>
      </c>
      <c r="AA249" s="61">
        <v>212.51599999999999</v>
      </c>
      <c r="AB249" s="60">
        <v>491.49</v>
      </c>
      <c r="AC249" s="62"/>
      <c r="AD249" s="61"/>
      <c r="AE249" s="61"/>
      <c r="AF249" s="61"/>
      <c r="AG249" s="61"/>
      <c r="AH249" s="61"/>
      <c r="AI249" s="61"/>
      <c r="AJ249" s="61"/>
      <c r="AK249" s="62"/>
      <c r="AL249" s="63"/>
      <c r="AM249" s="64"/>
      <c r="AN249" s="65" t="e">
        <v>#N/A</v>
      </c>
      <c r="AO249" s="61" t="e">
        <v>#N/A</v>
      </c>
      <c r="AP249" s="61" t="e">
        <v>#N/A</v>
      </c>
      <c r="AQ249" s="61" t="e">
        <v>#N/A</v>
      </c>
      <c r="AR249" s="61" t="e">
        <v>#N/A</v>
      </c>
      <c r="AS249" s="61" t="e">
        <v>#N/A</v>
      </c>
      <c r="AT249" s="61" t="e">
        <v>#N/A</v>
      </c>
      <c r="AU249" s="61" t="e">
        <v>#N/A</v>
      </c>
      <c r="AV249" s="61" t="e">
        <v>#N/A</v>
      </c>
      <c r="AW249" s="61" t="e">
        <v>#N/A</v>
      </c>
      <c r="AX249" s="65" t="e">
        <v>#N/A</v>
      </c>
      <c r="AY249" s="66">
        <v>0.57799999999999996</v>
      </c>
      <c r="AZ249" s="61">
        <v>6.2350000000000003</v>
      </c>
      <c r="BA249" s="61">
        <v>46.712000000000003</v>
      </c>
      <c r="BB249" s="61">
        <v>53.524000000000001</v>
      </c>
      <c r="BC249" s="61">
        <v>9.0999999999999998E-2</v>
      </c>
      <c r="BD249" s="61">
        <v>0.28899999999999998</v>
      </c>
      <c r="BE249" s="61">
        <v>2.3E-2</v>
      </c>
      <c r="BF249" s="61" t="s">
        <v>122</v>
      </c>
      <c r="BG249" s="61">
        <v>6.3739999999999997</v>
      </c>
      <c r="BH249" s="61">
        <v>2.7429999999999999</v>
      </c>
      <c r="BI249" s="61">
        <v>1.6E-2</v>
      </c>
      <c r="BJ249" s="61">
        <v>9.1329999999999991</v>
      </c>
      <c r="BK249" s="66">
        <v>9.5359999999999996</v>
      </c>
      <c r="BL249" s="67">
        <v>7.5090000000000003</v>
      </c>
      <c r="BM249" s="61" t="s">
        <v>121</v>
      </c>
      <c r="BN249" s="61" t="s">
        <v>121</v>
      </c>
      <c r="BO249" s="61" t="s">
        <v>121</v>
      </c>
      <c r="BP249" s="61">
        <v>7.5090000000000003</v>
      </c>
      <c r="BQ249" s="61">
        <v>252.18600000000001</v>
      </c>
      <c r="BR249" s="61">
        <v>14.71</v>
      </c>
      <c r="BS249" s="61">
        <v>0.64300000000000002</v>
      </c>
      <c r="BT249" s="61">
        <v>1.403</v>
      </c>
      <c r="BU249" s="61">
        <v>8.9990000000000006</v>
      </c>
      <c r="BV249" s="61">
        <v>21.751999999999999</v>
      </c>
      <c r="BW249" s="61">
        <v>30.751000000000001</v>
      </c>
      <c r="BX249" s="67">
        <v>299.69299999999998</v>
      </c>
      <c r="BY249" s="68">
        <v>98763</v>
      </c>
      <c r="BZ249" s="68">
        <v>82901</v>
      </c>
      <c r="CA249" s="69">
        <v>4032</v>
      </c>
      <c r="CB249" s="68">
        <v>120695</v>
      </c>
      <c r="CC249" s="68">
        <v>9180</v>
      </c>
      <c r="CD249" s="61"/>
      <c r="CE249" s="64"/>
      <c r="CF249" s="64"/>
      <c r="CG249" s="70">
        <f t="shared" si="16"/>
        <v>5069.1899999999996</v>
      </c>
      <c r="CH249" s="70">
        <f t="shared" si="17"/>
        <v>169.34399999999999</v>
      </c>
      <c r="CI249" s="70">
        <f t="shared" si="18"/>
        <v>385.56</v>
      </c>
      <c r="CJ249" s="70">
        <f t="shared" si="20"/>
        <v>4148.0460000000003</v>
      </c>
      <c r="CK249" s="70">
        <f t="shared" si="20"/>
        <v>3481.8420000000001</v>
      </c>
      <c r="CL249" s="70">
        <f t="shared" si="19"/>
        <v>385.56</v>
      </c>
      <c r="CM249" s="61"/>
      <c r="CN249" s="61"/>
      <c r="CO249" s="61"/>
      <c r="CP249" s="61"/>
      <c r="CQ249" s="61"/>
      <c r="CR249" s="61"/>
      <c r="CS249" s="61"/>
      <c r="CT249" s="61"/>
      <c r="CU249" s="61"/>
      <c r="CV249" s="61"/>
      <c r="CW249" s="61"/>
      <c r="CX249" s="61"/>
      <c r="CY249" s="61"/>
      <c r="CZ249" s="61"/>
      <c r="DA249" s="61"/>
      <c r="DB249" s="61"/>
      <c r="DC249" s="61"/>
      <c r="DD249" s="61"/>
      <c r="DE249" s="61"/>
      <c r="DF249" s="61"/>
      <c r="DG249" s="61"/>
      <c r="DH249" s="61"/>
      <c r="DI249" s="61"/>
      <c r="DJ249" s="61"/>
      <c r="DK249" s="61"/>
      <c r="DL249" s="61"/>
      <c r="DM249" s="61"/>
      <c r="DN249" s="61"/>
      <c r="DO249" s="61"/>
      <c r="DP249" s="61"/>
      <c r="DQ249" s="61"/>
      <c r="DR249" s="61"/>
      <c r="DS249" s="61"/>
      <c r="DT249" s="61"/>
      <c r="DU249" s="61"/>
      <c r="DV249" s="61"/>
      <c r="DW249" s="61"/>
      <c r="DX249" s="61"/>
      <c r="DY249" s="61"/>
      <c r="DZ249" s="61"/>
      <c r="EA249" s="61"/>
      <c r="EB249" s="61"/>
      <c r="EC249" s="61"/>
      <c r="ED249" s="61"/>
      <c r="EE249" s="61"/>
      <c r="EF249" s="61"/>
      <c r="EG249" s="61"/>
      <c r="EH249" s="61"/>
      <c r="EI249" s="61"/>
      <c r="EJ249" s="61"/>
      <c r="EK249" s="61"/>
      <c r="EL249" s="61"/>
      <c r="EM249" s="61"/>
      <c r="EN249" s="61"/>
      <c r="EO249" s="61"/>
      <c r="EP249" s="61"/>
      <c r="EQ249" s="61"/>
      <c r="ER249" s="61"/>
      <c r="ES249" s="61"/>
      <c r="ET249" s="61"/>
      <c r="EU249" s="61"/>
      <c r="EV249" s="61"/>
      <c r="EW249" s="61"/>
    </row>
    <row r="250" spans="1:153">
      <c r="A250" s="56">
        <v>34182</v>
      </c>
      <c r="B250" s="57"/>
      <c r="C250" s="7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71"/>
      <c r="P250" s="60">
        <v>215.249</v>
      </c>
      <c r="Q250" s="61">
        <v>12.087999999999999</v>
      </c>
      <c r="R250" s="61">
        <v>262.322</v>
      </c>
      <c r="S250" s="61">
        <v>502.28699999999998</v>
      </c>
      <c r="T250" s="61">
        <v>216.292</v>
      </c>
      <c r="U250" s="61">
        <v>16.007000000000001</v>
      </c>
      <c r="V250" s="61">
        <v>6.9009999999999998</v>
      </c>
      <c r="W250" s="61">
        <v>0.76500000000000001</v>
      </c>
      <c r="X250" s="61">
        <v>215.249</v>
      </c>
      <c r="Y250" s="61">
        <v>34.984000000000002</v>
      </c>
      <c r="Z250" s="61">
        <v>11.273</v>
      </c>
      <c r="AA250" s="61">
        <v>261.50700000000001</v>
      </c>
      <c r="AB250" s="60">
        <v>501.47199999999998</v>
      </c>
      <c r="AC250" s="62"/>
      <c r="AD250" s="61"/>
      <c r="AE250" s="61"/>
      <c r="AF250" s="61"/>
      <c r="AG250" s="61"/>
      <c r="AH250" s="61"/>
      <c r="AI250" s="61"/>
      <c r="AJ250" s="61"/>
      <c r="AK250" s="62"/>
      <c r="AL250" s="63"/>
      <c r="AM250" s="64"/>
      <c r="AN250" s="65" t="e">
        <v>#N/A</v>
      </c>
      <c r="AO250" s="61" t="e">
        <v>#N/A</v>
      </c>
      <c r="AP250" s="61" t="e">
        <v>#N/A</v>
      </c>
      <c r="AQ250" s="61" t="e">
        <v>#N/A</v>
      </c>
      <c r="AR250" s="61" t="e">
        <v>#N/A</v>
      </c>
      <c r="AS250" s="61" t="e">
        <v>#N/A</v>
      </c>
      <c r="AT250" s="61" t="e">
        <v>#N/A</v>
      </c>
      <c r="AU250" s="61" t="e">
        <v>#N/A</v>
      </c>
      <c r="AV250" s="61" t="e">
        <v>#N/A</v>
      </c>
      <c r="AW250" s="61" t="e">
        <v>#N/A</v>
      </c>
      <c r="AX250" s="65" t="e">
        <v>#N/A</v>
      </c>
      <c r="AY250" s="66">
        <v>0.57799999999999996</v>
      </c>
      <c r="AZ250" s="61">
        <v>6.17</v>
      </c>
      <c r="BA250" s="61">
        <v>46.712000000000003</v>
      </c>
      <c r="BB250" s="61">
        <v>53.46</v>
      </c>
      <c r="BC250" s="61">
        <v>7.6999999999999999E-2</v>
      </c>
      <c r="BD250" s="61">
        <v>0.28899999999999998</v>
      </c>
      <c r="BE250" s="61">
        <v>2.3E-2</v>
      </c>
      <c r="BF250" s="61" t="s">
        <v>122</v>
      </c>
      <c r="BG250" s="61">
        <v>6.4530000000000003</v>
      </c>
      <c r="BH250" s="61">
        <v>2.2799999999999998</v>
      </c>
      <c r="BI250" s="61">
        <v>1.2E-2</v>
      </c>
      <c r="BJ250" s="61">
        <v>8.7460000000000004</v>
      </c>
      <c r="BK250" s="66">
        <v>9.1340000000000003</v>
      </c>
      <c r="BL250" s="67">
        <v>5.9020000000000001</v>
      </c>
      <c r="BM250" s="61" t="s">
        <v>121</v>
      </c>
      <c r="BN250" s="61" t="s">
        <v>121</v>
      </c>
      <c r="BO250" s="61" t="s">
        <v>121</v>
      </c>
      <c r="BP250" s="61">
        <v>5.9020000000000001</v>
      </c>
      <c r="BQ250" s="61">
        <v>214.00200000000001</v>
      </c>
      <c r="BR250" s="61">
        <v>14.936999999999999</v>
      </c>
      <c r="BS250" s="61">
        <v>0.70299999999999996</v>
      </c>
      <c r="BT250" s="61">
        <v>0.76500000000000001</v>
      </c>
      <c r="BU250" s="61">
        <v>15.371</v>
      </c>
      <c r="BV250" s="61">
        <v>18.079000000000001</v>
      </c>
      <c r="BW250" s="61">
        <v>33.450000000000003</v>
      </c>
      <c r="BX250" s="67">
        <v>263.85700000000003</v>
      </c>
      <c r="BY250" s="68">
        <v>96099</v>
      </c>
      <c r="BZ250" s="68">
        <v>87411</v>
      </c>
      <c r="CA250" s="69">
        <v>4915</v>
      </c>
      <c r="CB250" s="68">
        <v>128235</v>
      </c>
      <c r="CC250" s="68">
        <v>6063</v>
      </c>
      <c r="CD250" s="61"/>
      <c r="CE250" s="64"/>
      <c r="CF250" s="64"/>
      <c r="CG250" s="70">
        <f t="shared" si="16"/>
        <v>5385.87</v>
      </c>
      <c r="CH250" s="70">
        <f t="shared" si="17"/>
        <v>206.43</v>
      </c>
      <c r="CI250" s="70">
        <f t="shared" si="18"/>
        <v>254.64599999999999</v>
      </c>
      <c r="CJ250" s="70">
        <f t="shared" si="20"/>
        <v>4036.1579999999999</v>
      </c>
      <c r="CK250" s="70">
        <f t="shared" si="20"/>
        <v>3671.2620000000002</v>
      </c>
      <c r="CL250" s="70">
        <f t="shared" si="19"/>
        <v>254.64599999999999</v>
      </c>
      <c r="CM250" s="61"/>
      <c r="CN250" s="61"/>
      <c r="CO250" s="61"/>
      <c r="CP250" s="61"/>
      <c r="CQ250" s="61"/>
      <c r="CR250" s="61"/>
      <c r="CS250" s="61"/>
      <c r="CT250" s="61"/>
      <c r="CU250" s="61"/>
      <c r="CV250" s="61"/>
      <c r="CW250" s="61"/>
      <c r="CX250" s="61"/>
      <c r="CY250" s="61"/>
      <c r="CZ250" s="61"/>
      <c r="DA250" s="61"/>
      <c r="DB250" s="61"/>
      <c r="DC250" s="61"/>
      <c r="DD250" s="61"/>
      <c r="DE250" s="61"/>
      <c r="DF250" s="61"/>
      <c r="DG250" s="61"/>
      <c r="DH250" s="61"/>
      <c r="DI250" s="61"/>
      <c r="DJ250" s="61"/>
      <c r="DK250" s="61"/>
      <c r="DL250" s="61"/>
      <c r="DM250" s="61"/>
      <c r="DN250" s="61"/>
      <c r="DO250" s="61"/>
      <c r="DP250" s="61"/>
      <c r="DQ250" s="61"/>
      <c r="DR250" s="61"/>
      <c r="DS250" s="61"/>
      <c r="DT250" s="61"/>
      <c r="DU250" s="61"/>
      <c r="DV250" s="61"/>
      <c r="DW250" s="61"/>
      <c r="DX250" s="61"/>
      <c r="DY250" s="61"/>
      <c r="DZ250" s="61"/>
      <c r="EA250" s="61"/>
      <c r="EB250" s="61"/>
      <c r="EC250" s="61"/>
      <c r="ED250" s="61"/>
      <c r="EE250" s="61"/>
      <c r="EF250" s="61"/>
      <c r="EG250" s="61"/>
      <c r="EH250" s="61"/>
      <c r="EI250" s="61"/>
      <c r="EJ250" s="61"/>
      <c r="EK250" s="61"/>
      <c r="EL250" s="61"/>
      <c r="EM250" s="61"/>
      <c r="EN250" s="61"/>
      <c r="EO250" s="61"/>
      <c r="EP250" s="61"/>
      <c r="EQ250" s="61"/>
      <c r="ER250" s="61"/>
      <c r="ES250" s="61"/>
      <c r="ET250" s="61"/>
      <c r="EU250" s="61"/>
      <c r="EV250" s="61"/>
      <c r="EW250" s="61"/>
    </row>
    <row r="251" spans="1:153">
      <c r="A251" s="56">
        <v>34213</v>
      </c>
      <c r="B251" s="57"/>
      <c r="C251" s="7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71"/>
      <c r="P251" s="60">
        <v>197.49</v>
      </c>
      <c r="Q251" s="61">
        <v>13.21</v>
      </c>
      <c r="R251" s="61">
        <v>250.55099999999999</v>
      </c>
      <c r="S251" s="61">
        <v>461.697</v>
      </c>
      <c r="T251" s="61">
        <v>188.06800000000001</v>
      </c>
      <c r="U251" s="61">
        <v>15.439</v>
      </c>
      <c r="V251" s="61">
        <v>6.2359999999999998</v>
      </c>
      <c r="W251" s="61">
        <v>1.403</v>
      </c>
      <c r="X251" s="61">
        <v>197.49</v>
      </c>
      <c r="Y251" s="61">
        <v>39.851999999999997</v>
      </c>
      <c r="Z251" s="61">
        <v>13.744</v>
      </c>
      <c r="AA251" s="61">
        <v>251.08500000000001</v>
      </c>
      <c r="AB251" s="60">
        <v>462.23099999999999</v>
      </c>
      <c r="AC251" s="62"/>
      <c r="AD251" s="61"/>
      <c r="AE251" s="61"/>
      <c r="AF251" s="61"/>
      <c r="AG251" s="61"/>
      <c r="AH251" s="61"/>
      <c r="AI251" s="61"/>
      <c r="AJ251" s="61"/>
      <c r="AK251" s="62"/>
      <c r="AL251" s="63"/>
      <c r="AM251" s="64"/>
      <c r="AN251" s="65" t="e">
        <v>#N/A</v>
      </c>
      <c r="AO251" s="61" t="e">
        <v>#N/A</v>
      </c>
      <c r="AP251" s="61" t="e">
        <v>#N/A</v>
      </c>
      <c r="AQ251" s="61" t="e">
        <v>#N/A</v>
      </c>
      <c r="AR251" s="61" t="e">
        <v>#N/A</v>
      </c>
      <c r="AS251" s="61" t="e">
        <v>#N/A</v>
      </c>
      <c r="AT251" s="61" t="e">
        <v>#N/A</v>
      </c>
      <c r="AU251" s="61" t="e">
        <v>#N/A</v>
      </c>
      <c r="AV251" s="61" t="e">
        <v>#N/A</v>
      </c>
      <c r="AW251" s="61" t="e">
        <v>#N/A</v>
      </c>
      <c r="AX251" s="65" t="e">
        <v>#N/A</v>
      </c>
      <c r="AY251" s="66">
        <v>0.55900000000000005</v>
      </c>
      <c r="AZ251" s="61">
        <v>5.6269999999999998</v>
      </c>
      <c r="BA251" s="61">
        <v>45.204999999999998</v>
      </c>
      <c r="BB251" s="61">
        <v>51.392000000000003</v>
      </c>
      <c r="BC251" s="61">
        <v>6.7000000000000004E-2</v>
      </c>
      <c r="BD251" s="61">
        <v>0.27900000000000003</v>
      </c>
      <c r="BE251" s="61">
        <v>2.1000000000000001E-2</v>
      </c>
      <c r="BF251" s="61" t="s">
        <v>122</v>
      </c>
      <c r="BG251" s="61">
        <v>6.23</v>
      </c>
      <c r="BH251" s="61">
        <v>2.7890000000000001</v>
      </c>
      <c r="BI251" s="61">
        <v>1.6E-2</v>
      </c>
      <c r="BJ251" s="61">
        <v>9.0350000000000001</v>
      </c>
      <c r="BK251" s="66">
        <v>9.4019999999999992</v>
      </c>
      <c r="BL251" s="67">
        <v>7.8540000000000001</v>
      </c>
      <c r="BM251" s="61" t="s">
        <v>121</v>
      </c>
      <c r="BN251" s="61" t="s">
        <v>121</v>
      </c>
      <c r="BO251" s="61" t="s">
        <v>121</v>
      </c>
      <c r="BP251" s="61">
        <v>7.8540000000000001</v>
      </c>
      <c r="BQ251" s="61">
        <v>186.077</v>
      </c>
      <c r="BR251" s="61">
        <v>14.404</v>
      </c>
      <c r="BS251" s="61">
        <v>0.58299999999999996</v>
      </c>
      <c r="BT251" s="61">
        <v>1.403</v>
      </c>
      <c r="BU251" s="61">
        <v>13.648</v>
      </c>
      <c r="BV251" s="61">
        <v>22.113</v>
      </c>
      <c r="BW251" s="61">
        <v>35.762</v>
      </c>
      <c r="BX251" s="67">
        <v>238.22800000000001</v>
      </c>
      <c r="BY251" s="68">
        <v>96139</v>
      </c>
      <c r="BZ251" s="68">
        <v>89185</v>
      </c>
      <c r="CA251" s="69">
        <v>4101</v>
      </c>
      <c r="CB251" s="68">
        <v>131293</v>
      </c>
      <c r="CC251" s="68">
        <v>7997</v>
      </c>
      <c r="CD251" s="61"/>
      <c r="CE251" s="64"/>
      <c r="CF251" s="64"/>
      <c r="CG251" s="70">
        <f t="shared" si="16"/>
        <v>5514.3059999999996</v>
      </c>
      <c r="CH251" s="70">
        <f t="shared" si="17"/>
        <v>172.24199999999999</v>
      </c>
      <c r="CI251" s="70">
        <f t="shared" si="18"/>
        <v>335.87400000000002</v>
      </c>
      <c r="CJ251" s="70">
        <f t="shared" si="20"/>
        <v>4037.8380000000002</v>
      </c>
      <c r="CK251" s="70">
        <f t="shared" si="20"/>
        <v>3745.77</v>
      </c>
      <c r="CL251" s="70">
        <f t="shared" si="19"/>
        <v>335.87400000000002</v>
      </c>
      <c r="CM251" s="61"/>
      <c r="CN251" s="61"/>
      <c r="CO251" s="61"/>
      <c r="CP251" s="61"/>
      <c r="CQ251" s="61"/>
      <c r="CR251" s="61"/>
      <c r="CS251" s="61"/>
      <c r="CT251" s="61"/>
      <c r="CU251" s="61"/>
      <c r="CV251" s="61"/>
      <c r="CW251" s="61"/>
      <c r="CX251" s="61"/>
      <c r="CY251" s="61"/>
      <c r="CZ251" s="61"/>
      <c r="DA251" s="61"/>
      <c r="DB251" s="61"/>
      <c r="DC251" s="61"/>
      <c r="DD251" s="61"/>
      <c r="DE251" s="61"/>
      <c r="DF251" s="61"/>
      <c r="DG251" s="61"/>
      <c r="DH251" s="61"/>
      <c r="DI251" s="61"/>
      <c r="DJ251" s="61"/>
      <c r="DK251" s="61"/>
      <c r="DL251" s="61"/>
      <c r="DM251" s="61"/>
      <c r="DN251" s="61"/>
      <c r="DO251" s="61"/>
      <c r="DP251" s="61"/>
      <c r="DQ251" s="61"/>
      <c r="DR251" s="61"/>
      <c r="DS251" s="61"/>
      <c r="DT251" s="61"/>
      <c r="DU251" s="61"/>
      <c r="DV251" s="61"/>
      <c r="DW251" s="61"/>
      <c r="DX251" s="61"/>
      <c r="DY251" s="61"/>
      <c r="DZ251" s="61"/>
      <c r="EA251" s="61"/>
      <c r="EB251" s="61"/>
      <c r="EC251" s="61"/>
      <c r="ED251" s="61"/>
      <c r="EE251" s="61"/>
      <c r="EF251" s="61"/>
      <c r="EG251" s="61"/>
      <c r="EH251" s="61"/>
      <c r="EI251" s="61"/>
      <c r="EJ251" s="61"/>
      <c r="EK251" s="61"/>
      <c r="EL251" s="61"/>
      <c r="EM251" s="61"/>
      <c r="EN251" s="61"/>
      <c r="EO251" s="61"/>
      <c r="EP251" s="61"/>
      <c r="EQ251" s="61"/>
      <c r="ER251" s="61"/>
      <c r="ES251" s="61"/>
      <c r="ET251" s="61"/>
      <c r="EU251" s="61"/>
      <c r="EV251" s="61"/>
      <c r="EW251" s="61"/>
    </row>
    <row r="252" spans="1:153">
      <c r="A252" s="56">
        <v>34243</v>
      </c>
      <c r="B252" s="57"/>
      <c r="C252" s="7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71"/>
      <c r="P252" s="60">
        <v>203.03</v>
      </c>
      <c r="Q252" s="61">
        <v>14.46</v>
      </c>
      <c r="R252" s="61">
        <v>257.38299999999998</v>
      </c>
      <c r="S252" s="61">
        <v>468.75799999999998</v>
      </c>
      <c r="T252" s="61">
        <v>187.59</v>
      </c>
      <c r="U252" s="61">
        <v>15.349</v>
      </c>
      <c r="V252" s="61">
        <v>5.5019999999999998</v>
      </c>
      <c r="W252" s="61">
        <v>2.9329999999999998</v>
      </c>
      <c r="X252" s="61">
        <v>203.03</v>
      </c>
      <c r="Y252" s="61">
        <v>39.893000000000001</v>
      </c>
      <c r="Z252" s="61">
        <v>14.617000000000001</v>
      </c>
      <c r="AA252" s="61">
        <v>257.54000000000002</v>
      </c>
      <c r="AB252" s="60">
        <v>468.91399999999999</v>
      </c>
      <c r="AC252" s="62"/>
      <c r="AD252" s="61"/>
      <c r="AE252" s="61"/>
      <c r="AF252" s="61"/>
      <c r="AG252" s="61"/>
      <c r="AH252" s="61"/>
      <c r="AI252" s="61"/>
      <c r="AJ252" s="61"/>
      <c r="AK252" s="62"/>
      <c r="AL252" s="63"/>
      <c r="AM252" s="64"/>
      <c r="AN252" s="65" t="e">
        <v>#N/A</v>
      </c>
      <c r="AO252" s="61" t="e">
        <v>#N/A</v>
      </c>
      <c r="AP252" s="61" t="e">
        <v>#N/A</v>
      </c>
      <c r="AQ252" s="61" t="e">
        <v>#N/A</v>
      </c>
      <c r="AR252" s="61" t="e">
        <v>#N/A</v>
      </c>
      <c r="AS252" s="61" t="e">
        <v>#N/A</v>
      </c>
      <c r="AT252" s="61" t="e">
        <v>#N/A</v>
      </c>
      <c r="AU252" s="61" t="e">
        <v>#N/A</v>
      </c>
      <c r="AV252" s="61" t="e">
        <v>#N/A</v>
      </c>
      <c r="AW252" s="61" t="e">
        <v>#N/A</v>
      </c>
      <c r="AX252" s="65" t="e">
        <v>#N/A</v>
      </c>
      <c r="AY252" s="66">
        <v>0.57799999999999996</v>
      </c>
      <c r="AZ252" s="61">
        <v>5.1289999999999996</v>
      </c>
      <c r="BA252" s="61">
        <v>46.712000000000003</v>
      </c>
      <c r="BB252" s="61">
        <v>52.418999999999997</v>
      </c>
      <c r="BC252" s="61">
        <v>6.7000000000000004E-2</v>
      </c>
      <c r="BD252" s="61">
        <v>0.28899999999999998</v>
      </c>
      <c r="BE252" s="61">
        <v>1.9E-2</v>
      </c>
      <c r="BF252" s="61" t="s">
        <v>122</v>
      </c>
      <c r="BG252" s="61">
        <v>6.4359999999999999</v>
      </c>
      <c r="BH252" s="61">
        <v>2.7570000000000001</v>
      </c>
      <c r="BI252" s="61">
        <v>1.7000000000000001E-2</v>
      </c>
      <c r="BJ252" s="61">
        <v>9.2100000000000009</v>
      </c>
      <c r="BK252" s="66">
        <v>9.5850000000000009</v>
      </c>
      <c r="BL252" s="67">
        <v>8.1750000000000007</v>
      </c>
      <c r="BM252" s="61" t="s">
        <v>121</v>
      </c>
      <c r="BN252" s="61" t="s">
        <v>121</v>
      </c>
      <c r="BO252" s="61" t="s">
        <v>121</v>
      </c>
      <c r="BP252" s="61">
        <v>8.1750000000000007</v>
      </c>
      <c r="BQ252" s="61">
        <v>185.60400000000001</v>
      </c>
      <c r="BR252" s="61">
        <v>14.279</v>
      </c>
      <c r="BS252" s="61">
        <v>0.35</v>
      </c>
      <c r="BT252" s="61">
        <v>2.9329999999999998</v>
      </c>
      <c r="BU252" s="61">
        <v>13.984999999999999</v>
      </c>
      <c r="BV252" s="61">
        <v>21.859000000000002</v>
      </c>
      <c r="BW252" s="61">
        <v>35.844000000000001</v>
      </c>
      <c r="BX252" s="67">
        <v>239.01</v>
      </c>
      <c r="BY252" s="68">
        <v>106377</v>
      </c>
      <c r="BZ252" s="68">
        <v>92484</v>
      </c>
      <c r="CA252" s="69">
        <v>7494</v>
      </c>
      <c r="CB252" s="68">
        <v>145344</v>
      </c>
      <c r="CC252" s="68">
        <v>7336</v>
      </c>
      <c r="CD252" s="61"/>
      <c r="CE252" s="64"/>
      <c r="CF252" s="64"/>
      <c r="CG252" s="70">
        <f t="shared" si="16"/>
        <v>6104.4480000000003</v>
      </c>
      <c r="CH252" s="70">
        <f t="shared" si="17"/>
        <v>314.74799999999999</v>
      </c>
      <c r="CI252" s="70">
        <f t="shared" si="18"/>
        <v>308.11200000000002</v>
      </c>
      <c r="CJ252" s="70">
        <f t="shared" si="20"/>
        <v>4467.8339999999998</v>
      </c>
      <c r="CK252" s="70">
        <f t="shared" si="20"/>
        <v>3884.328</v>
      </c>
      <c r="CL252" s="70">
        <f t="shared" si="19"/>
        <v>308.11200000000002</v>
      </c>
      <c r="CM252" s="61"/>
      <c r="CN252" s="61"/>
      <c r="CO252" s="61"/>
      <c r="CP252" s="61"/>
      <c r="CQ252" s="61"/>
      <c r="CR252" s="61"/>
      <c r="CS252" s="61"/>
      <c r="CT252" s="61"/>
      <c r="CU252" s="61"/>
      <c r="CV252" s="61"/>
      <c r="CW252" s="61"/>
      <c r="CX252" s="61"/>
      <c r="CY252" s="61"/>
      <c r="CZ252" s="61"/>
      <c r="DA252" s="61"/>
      <c r="DB252" s="61"/>
      <c r="DC252" s="61"/>
      <c r="DD252" s="61"/>
      <c r="DE252" s="61"/>
      <c r="DF252" s="61"/>
      <c r="DG252" s="61"/>
      <c r="DH252" s="61"/>
      <c r="DI252" s="61"/>
      <c r="DJ252" s="61"/>
      <c r="DK252" s="61"/>
      <c r="DL252" s="61"/>
      <c r="DM252" s="61"/>
      <c r="DN252" s="61"/>
      <c r="DO252" s="61"/>
      <c r="DP252" s="61"/>
      <c r="DQ252" s="61"/>
      <c r="DR252" s="61"/>
      <c r="DS252" s="61"/>
      <c r="DT252" s="61"/>
      <c r="DU252" s="61"/>
      <c r="DV252" s="61"/>
      <c r="DW252" s="61"/>
      <c r="DX252" s="61"/>
      <c r="DY252" s="61"/>
      <c r="DZ252" s="61"/>
      <c r="EA252" s="61"/>
      <c r="EB252" s="61"/>
      <c r="EC252" s="61"/>
      <c r="ED252" s="61"/>
      <c r="EE252" s="61"/>
      <c r="EF252" s="61"/>
      <c r="EG252" s="61"/>
      <c r="EH252" s="61"/>
      <c r="EI252" s="61"/>
      <c r="EJ252" s="61"/>
      <c r="EK252" s="61"/>
      <c r="EL252" s="61"/>
      <c r="EM252" s="61"/>
      <c r="EN252" s="61"/>
      <c r="EO252" s="61"/>
      <c r="EP252" s="61"/>
      <c r="EQ252" s="61"/>
      <c r="ER252" s="61"/>
      <c r="ES252" s="61"/>
      <c r="ET252" s="61"/>
      <c r="EU252" s="61"/>
      <c r="EV252" s="61"/>
      <c r="EW252" s="61"/>
    </row>
    <row r="253" spans="1:153">
      <c r="A253" s="56">
        <v>34274</v>
      </c>
      <c r="B253" s="57"/>
      <c r="C253" s="7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71"/>
      <c r="P253" s="60">
        <v>209.59399999999999</v>
      </c>
      <c r="Q253" s="61">
        <v>14.96</v>
      </c>
      <c r="R253" s="61">
        <v>262.18299999999999</v>
      </c>
      <c r="S253" s="61">
        <v>482.14800000000002</v>
      </c>
      <c r="T253" s="61">
        <v>195.571</v>
      </c>
      <c r="U253" s="61">
        <v>15.173999999999999</v>
      </c>
      <c r="V253" s="61">
        <v>4.5019999999999998</v>
      </c>
      <c r="W253" s="61">
        <v>4.718</v>
      </c>
      <c r="X253" s="61">
        <v>209.59399999999999</v>
      </c>
      <c r="Y253" s="61">
        <v>37.628999999999998</v>
      </c>
      <c r="Z253" s="61">
        <v>16.606999999999999</v>
      </c>
      <c r="AA253" s="61">
        <v>263.83</v>
      </c>
      <c r="AB253" s="60">
        <v>483.79500000000002</v>
      </c>
      <c r="AC253" s="62"/>
      <c r="AD253" s="61"/>
      <c r="AE253" s="61"/>
      <c r="AF253" s="61"/>
      <c r="AG253" s="61"/>
      <c r="AH253" s="61"/>
      <c r="AI253" s="61"/>
      <c r="AJ253" s="61"/>
      <c r="AK253" s="62"/>
      <c r="AL253" s="63"/>
      <c r="AM253" s="64"/>
      <c r="AN253" s="65" t="e">
        <v>#N/A</v>
      </c>
      <c r="AO253" s="61" t="e">
        <v>#N/A</v>
      </c>
      <c r="AP253" s="61" t="e">
        <v>#N/A</v>
      </c>
      <c r="AQ253" s="61" t="e">
        <v>#N/A</v>
      </c>
      <c r="AR253" s="61" t="e">
        <v>#N/A</v>
      </c>
      <c r="AS253" s="61" t="e">
        <v>#N/A</v>
      </c>
      <c r="AT253" s="61" t="e">
        <v>#N/A</v>
      </c>
      <c r="AU253" s="61" t="e">
        <v>#N/A</v>
      </c>
      <c r="AV253" s="61" t="e">
        <v>#N/A</v>
      </c>
      <c r="AW253" s="61" t="e">
        <v>#N/A</v>
      </c>
      <c r="AX253" s="65" t="e">
        <v>#N/A</v>
      </c>
      <c r="AY253" s="66">
        <v>0.55900000000000005</v>
      </c>
      <c r="AZ253" s="61">
        <v>4.2069999999999999</v>
      </c>
      <c r="BA253" s="61">
        <v>45.204999999999998</v>
      </c>
      <c r="BB253" s="61">
        <v>49.970999999999997</v>
      </c>
      <c r="BC253" s="61">
        <v>7.0000000000000007E-2</v>
      </c>
      <c r="BD253" s="61">
        <v>0.27900000000000003</v>
      </c>
      <c r="BE253" s="61">
        <v>1.6E-2</v>
      </c>
      <c r="BF253" s="61" t="s">
        <v>122</v>
      </c>
      <c r="BG253" s="61">
        <v>6.2469999999999999</v>
      </c>
      <c r="BH253" s="61">
        <v>2.573</v>
      </c>
      <c r="BI253" s="61">
        <v>2.1000000000000001E-2</v>
      </c>
      <c r="BJ253" s="61">
        <v>8.8409999999999993</v>
      </c>
      <c r="BK253" s="66">
        <v>9.2050000000000001</v>
      </c>
      <c r="BL253" s="67">
        <v>9.9209999999999994</v>
      </c>
      <c r="BM253" s="61" t="s">
        <v>121</v>
      </c>
      <c r="BN253" s="61" t="s">
        <v>121</v>
      </c>
      <c r="BO253" s="61" t="s">
        <v>121</v>
      </c>
      <c r="BP253" s="61">
        <v>9.9209999999999994</v>
      </c>
      <c r="BQ253" s="61">
        <v>193.5</v>
      </c>
      <c r="BR253" s="61">
        <v>14.138</v>
      </c>
      <c r="BS253" s="61">
        <v>0.27600000000000002</v>
      </c>
      <c r="BT253" s="61">
        <v>4.718</v>
      </c>
      <c r="BU253" s="61">
        <v>15.022</v>
      </c>
      <c r="BV253" s="61">
        <v>20.402000000000001</v>
      </c>
      <c r="BW253" s="61">
        <v>35.423000000000002</v>
      </c>
      <c r="BX253" s="67">
        <v>248.05600000000001</v>
      </c>
      <c r="BY253" s="68">
        <v>104211</v>
      </c>
      <c r="BZ253" s="68">
        <v>96540</v>
      </c>
      <c r="CA253" s="69">
        <v>6409</v>
      </c>
      <c r="CB253" s="68">
        <v>149158</v>
      </c>
      <c r="CC253" s="68">
        <v>10266</v>
      </c>
      <c r="CD253" s="61"/>
      <c r="CE253" s="64"/>
      <c r="CF253" s="64"/>
      <c r="CG253" s="70">
        <f t="shared" si="16"/>
        <v>6264.6360000000004</v>
      </c>
      <c r="CH253" s="70">
        <f t="shared" si="17"/>
        <v>269.178</v>
      </c>
      <c r="CI253" s="70">
        <f t="shared" si="18"/>
        <v>431.17200000000003</v>
      </c>
      <c r="CJ253" s="70">
        <f t="shared" si="20"/>
        <v>4376.8620000000001</v>
      </c>
      <c r="CK253" s="70">
        <f t="shared" si="20"/>
        <v>4054.68</v>
      </c>
      <c r="CL253" s="70">
        <f t="shared" si="19"/>
        <v>431.17200000000003</v>
      </c>
      <c r="CM253" s="61"/>
      <c r="CN253" s="61"/>
      <c r="CO253" s="61"/>
      <c r="CP253" s="61"/>
      <c r="CQ253" s="61"/>
      <c r="CR253" s="61"/>
      <c r="CS253" s="61"/>
      <c r="CT253" s="61"/>
      <c r="CU253" s="61"/>
      <c r="CV253" s="61"/>
      <c r="CW253" s="61"/>
      <c r="CX253" s="61"/>
      <c r="CY253" s="61"/>
      <c r="CZ253" s="61"/>
      <c r="DA253" s="61"/>
      <c r="DB253" s="61"/>
      <c r="DC253" s="61"/>
      <c r="DD253" s="61"/>
      <c r="DE253" s="61"/>
      <c r="DF253" s="61"/>
      <c r="DG253" s="61"/>
      <c r="DH253" s="61"/>
      <c r="DI253" s="61"/>
      <c r="DJ253" s="61"/>
      <c r="DK253" s="61"/>
      <c r="DL253" s="61"/>
      <c r="DM253" s="61"/>
      <c r="DN253" s="61"/>
      <c r="DO253" s="61"/>
      <c r="DP253" s="61"/>
      <c r="DQ253" s="61"/>
      <c r="DR253" s="61"/>
      <c r="DS253" s="61"/>
      <c r="DT253" s="61"/>
      <c r="DU253" s="61"/>
      <c r="DV253" s="61"/>
      <c r="DW253" s="61"/>
      <c r="DX253" s="61"/>
      <c r="DY253" s="61"/>
      <c r="DZ253" s="61"/>
      <c r="EA253" s="61"/>
      <c r="EB253" s="61"/>
      <c r="EC253" s="61"/>
      <c r="ED253" s="61"/>
      <c r="EE253" s="61"/>
      <c r="EF253" s="61"/>
      <c r="EG253" s="61"/>
      <c r="EH253" s="61"/>
      <c r="EI253" s="61"/>
      <c r="EJ253" s="61"/>
      <c r="EK253" s="61"/>
      <c r="EL253" s="61"/>
      <c r="EM253" s="61"/>
      <c r="EN253" s="61"/>
      <c r="EO253" s="61"/>
      <c r="EP253" s="61"/>
      <c r="EQ253" s="61"/>
      <c r="ER253" s="61"/>
      <c r="ES253" s="61"/>
      <c r="ET253" s="61"/>
      <c r="EU253" s="61"/>
      <c r="EV253" s="61"/>
      <c r="EW253" s="61"/>
    </row>
    <row r="254" spans="1:153">
      <c r="A254" s="56">
        <v>34304</v>
      </c>
      <c r="B254" s="57"/>
      <c r="C254" s="7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71"/>
      <c r="P254" s="60">
        <v>208.767</v>
      </c>
      <c r="Q254" s="61">
        <v>15.97</v>
      </c>
      <c r="R254" s="61">
        <v>264.55900000000003</v>
      </c>
      <c r="S254" s="61">
        <v>518.76400000000001</v>
      </c>
      <c r="T254" s="61">
        <v>231.625</v>
      </c>
      <c r="U254" s="61">
        <v>15.621</v>
      </c>
      <c r="V254" s="61">
        <v>4.1539999999999999</v>
      </c>
      <c r="W254" s="61">
        <v>2.8050000000000002</v>
      </c>
      <c r="X254" s="61">
        <v>208.767</v>
      </c>
      <c r="Y254" s="61">
        <v>39.822000000000003</v>
      </c>
      <c r="Z254" s="61">
        <v>16.777999999999999</v>
      </c>
      <c r="AA254" s="61">
        <v>265.36700000000002</v>
      </c>
      <c r="AB254" s="60">
        <v>519.57299999999998</v>
      </c>
      <c r="AC254" s="62"/>
      <c r="AD254" s="61"/>
      <c r="AE254" s="61"/>
      <c r="AF254" s="61"/>
      <c r="AG254" s="61"/>
      <c r="AH254" s="61"/>
      <c r="AI254" s="61"/>
      <c r="AJ254" s="61"/>
      <c r="AK254" s="62"/>
      <c r="AL254" s="63"/>
      <c r="AM254" s="64"/>
      <c r="AN254" s="65" t="e">
        <v>#N/A</v>
      </c>
      <c r="AO254" s="61" t="e">
        <v>#N/A</v>
      </c>
      <c r="AP254" s="61" t="e">
        <v>#N/A</v>
      </c>
      <c r="AQ254" s="61" t="e">
        <v>#N/A</v>
      </c>
      <c r="AR254" s="61" t="e">
        <v>#N/A</v>
      </c>
      <c r="AS254" s="61" t="e">
        <v>#N/A</v>
      </c>
      <c r="AT254" s="61" t="e">
        <v>#N/A</v>
      </c>
      <c r="AU254" s="61" t="e">
        <v>#N/A</v>
      </c>
      <c r="AV254" s="61" t="e">
        <v>#N/A</v>
      </c>
      <c r="AW254" s="61" t="e">
        <v>#N/A</v>
      </c>
      <c r="AX254" s="65" t="e">
        <v>#N/A</v>
      </c>
      <c r="AY254" s="66">
        <v>0.57799999999999996</v>
      </c>
      <c r="AZ254" s="61">
        <v>3.9929999999999999</v>
      </c>
      <c r="BA254" s="61">
        <v>46.712000000000003</v>
      </c>
      <c r="BB254" s="61">
        <v>51.283000000000001</v>
      </c>
      <c r="BC254" s="61">
        <v>8.2000000000000003E-2</v>
      </c>
      <c r="BD254" s="61">
        <v>0.28899999999999998</v>
      </c>
      <c r="BE254" s="61">
        <v>1.4999999999999999E-2</v>
      </c>
      <c r="BF254" s="61" t="s">
        <v>122</v>
      </c>
      <c r="BG254" s="61">
        <v>6.444</v>
      </c>
      <c r="BH254" s="61">
        <v>2.75</v>
      </c>
      <c r="BI254" s="61">
        <v>0.02</v>
      </c>
      <c r="BJ254" s="61">
        <v>9.2140000000000004</v>
      </c>
      <c r="BK254" s="66">
        <v>9.6</v>
      </c>
      <c r="BL254" s="67">
        <v>9.6549999999999994</v>
      </c>
      <c r="BM254" s="61" t="s">
        <v>121</v>
      </c>
      <c r="BN254" s="61" t="s">
        <v>121</v>
      </c>
      <c r="BO254" s="61" t="s">
        <v>121</v>
      </c>
      <c r="BP254" s="61">
        <v>9.6549999999999994</v>
      </c>
      <c r="BQ254" s="61">
        <v>229.172</v>
      </c>
      <c r="BR254" s="61">
        <v>14.551</v>
      </c>
      <c r="BS254" s="61">
        <v>0.14299999999999999</v>
      </c>
      <c r="BT254" s="61">
        <v>2.8050000000000002</v>
      </c>
      <c r="BU254" s="61">
        <v>14.635999999999999</v>
      </c>
      <c r="BV254" s="61">
        <v>21.803999999999998</v>
      </c>
      <c r="BW254" s="61">
        <v>36.44</v>
      </c>
      <c r="BX254" s="67">
        <v>283.11099999999999</v>
      </c>
      <c r="BY254" s="68">
        <v>104857</v>
      </c>
      <c r="BZ254" s="68">
        <v>104059</v>
      </c>
      <c r="CA254" s="69">
        <v>4956</v>
      </c>
      <c r="CB254" s="68">
        <v>140867</v>
      </c>
      <c r="CC254" s="68">
        <v>14045</v>
      </c>
      <c r="CD254" s="61"/>
      <c r="CE254" s="64"/>
      <c r="CF254" s="64"/>
      <c r="CG254" s="70">
        <f t="shared" si="16"/>
        <v>5916.4139999999998</v>
      </c>
      <c r="CH254" s="70">
        <f t="shared" si="17"/>
        <v>208.15199999999999</v>
      </c>
      <c r="CI254" s="70">
        <f t="shared" si="18"/>
        <v>589.89</v>
      </c>
      <c r="CJ254" s="70">
        <f t="shared" si="20"/>
        <v>4403.9939999999997</v>
      </c>
      <c r="CK254" s="70">
        <f t="shared" si="20"/>
        <v>4370.4780000000001</v>
      </c>
      <c r="CL254" s="70">
        <f t="shared" si="19"/>
        <v>589.89</v>
      </c>
      <c r="CM254" s="61"/>
      <c r="CN254" s="61"/>
      <c r="CO254" s="61"/>
      <c r="CP254" s="61"/>
      <c r="CQ254" s="61"/>
      <c r="CR254" s="61"/>
      <c r="CS254" s="61"/>
      <c r="CT254" s="61"/>
      <c r="CU254" s="61"/>
      <c r="CV254" s="61"/>
      <c r="CW254" s="61"/>
      <c r="CX254" s="61"/>
      <c r="CY254" s="61"/>
      <c r="CZ254" s="61"/>
      <c r="DA254" s="61"/>
      <c r="DB254" s="61"/>
      <c r="DC254" s="61"/>
      <c r="DD254" s="61"/>
      <c r="DE254" s="61"/>
      <c r="DF254" s="61"/>
      <c r="DG254" s="61"/>
      <c r="DH254" s="61"/>
      <c r="DI254" s="61"/>
      <c r="DJ254" s="61"/>
      <c r="DK254" s="61"/>
      <c r="DL254" s="61"/>
      <c r="DM254" s="61"/>
      <c r="DN254" s="61"/>
      <c r="DO254" s="61"/>
      <c r="DP254" s="61"/>
      <c r="DQ254" s="61"/>
      <c r="DR254" s="61"/>
      <c r="DS254" s="61"/>
      <c r="DT254" s="61"/>
      <c r="DU254" s="61"/>
      <c r="DV254" s="61"/>
      <c r="DW254" s="61"/>
      <c r="DX254" s="61"/>
      <c r="DY254" s="61"/>
      <c r="DZ254" s="61"/>
      <c r="EA254" s="61"/>
      <c r="EB254" s="61"/>
      <c r="EC254" s="61"/>
      <c r="ED254" s="61"/>
      <c r="EE254" s="61"/>
      <c r="EF254" s="61"/>
      <c r="EG254" s="61"/>
      <c r="EH254" s="61"/>
      <c r="EI254" s="61"/>
      <c r="EJ254" s="61"/>
      <c r="EK254" s="61"/>
      <c r="EL254" s="61"/>
      <c r="EM254" s="61"/>
      <c r="EN254" s="61"/>
      <c r="EO254" s="61"/>
      <c r="EP254" s="61"/>
      <c r="EQ254" s="61"/>
      <c r="ER254" s="61"/>
      <c r="ES254" s="61"/>
      <c r="ET254" s="61"/>
      <c r="EU254" s="61"/>
      <c r="EV254" s="61"/>
      <c r="EW254" s="61"/>
    </row>
    <row r="255" spans="1:153">
      <c r="A255" s="56">
        <v>34335</v>
      </c>
      <c r="B255" s="57"/>
      <c r="C255" s="7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71"/>
      <c r="P255" s="60">
        <v>252.90299999999999</v>
      </c>
      <c r="Q255" s="61">
        <v>16.599</v>
      </c>
      <c r="R255" s="61">
        <v>306.70800000000003</v>
      </c>
      <c r="S255" s="61">
        <v>546.053</v>
      </c>
      <c r="T255" s="61">
        <v>220.02600000000001</v>
      </c>
      <c r="U255" s="61">
        <v>15.695</v>
      </c>
      <c r="V255" s="61">
        <v>3.625</v>
      </c>
      <c r="W255" s="61">
        <v>0</v>
      </c>
      <c r="X255" s="61">
        <v>252.90299999999999</v>
      </c>
      <c r="Y255" s="61">
        <v>37.204999999999998</v>
      </c>
      <c r="Z255" s="61">
        <v>17.536000000000001</v>
      </c>
      <c r="AA255" s="61">
        <v>307.64400000000001</v>
      </c>
      <c r="AB255" s="60">
        <v>546.99</v>
      </c>
      <c r="AC255" s="62"/>
      <c r="AD255" s="61"/>
      <c r="AE255" s="61"/>
      <c r="AF255" s="61"/>
      <c r="AG255" s="61"/>
      <c r="AH255" s="61"/>
      <c r="AI255" s="61"/>
      <c r="AJ255" s="61"/>
      <c r="AK255" s="62"/>
      <c r="AL255" s="63"/>
      <c r="AM255" s="64"/>
      <c r="AN255" s="65" t="e">
        <v>#N/A</v>
      </c>
      <c r="AO255" s="61" t="e">
        <v>#N/A</v>
      </c>
      <c r="AP255" s="61" t="e">
        <v>#N/A</v>
      </c>
      <c r="AQ255" s="61" t="e">
        <v>#N/A</v>
      </c>
      <c r="AR255" s="61" t="e">
        <v>#N/A</v>
      </c>
      <c r="AS255" s="61" t="e">
        <v>#N/A</v>
      </c>
      <c r="AT255" s="61" t="e">
        <v>#N/A</v>
      </c>
      <c r="AU255" s="61" t="e">
        <v>#N/A</v>
      </c>
      <c r="AV255" s="61" t="e">
        <v>#N/A</v>
      </c>
      <c r="AW255" s="61" t="e">
        <v>#N/A</v>
      </c>
      <c r="AX255" s="65" t="e">
        <v>#N/A</v>
      </c>
      <c r="AY255" s="66">
        <v>0.52700000000000002</v>
      </c>
      <c r="AZ255" s="61">
        <v>3.3460000000000001</v>
      </c>
      <c r="BA255" s="61">
        <v>44.164000000000001</v>
      </c>
      <c r="BB255" s="61">
        <v>48.036999999999999</v>
      </c>
      <c r="BC255" s="61">
        <v>7.8E-2</v>
      </c>
      <c r="BD255" s="61">
        <v>0.35699999999999998</v>
      </c>
      <c r="BE255" s="61">
        <v>1.4E-2</v>
      </c>
      <c r="BF255" s="61" t="s">
        <v>122</v>
      </c>
      <c r="BG255" s="61">
        <v>6.1349999999999998</v>
      </c>
      <c r="BH255" s="61">
        <v>2.298</v>
      </c>
      <c r="BI255" s="61">
        <v>1.7999999999999999E-2</v>
      </c>
      <c r="BJ255" s="61">
        <v>8.4510000000000005</v>
      </c>
      <c r="BK255" s="66">
        <v>8.8989999999999991</v>
      </c>
      <c r="BL255" s="67">
        <v>10.16</v>
      </c>
      <c r="BM255" s="61" t="s">
        <v>121</v>
      </c>
      <c r="BN255" s="61" t="s">
        <v>121</v>
      </c>
      <c r="BO255" s="61" t="s">
        <v>121</v>
      </c>
      <c r="BP255" s="61">
        <v>10.16</v>
      </c>
      <c r="BQ255" s="61">
        <v>214.84899999999999</v>
      </c>
      <c r="BR255" s="61">
        <v>14.573</v>
      </c>
      <c r="BS255" s="61">
        <v>0.26200000000000001</v>
      </c>
      <c r="BT255" s="61">
        <v>0</v>
      </c>
      <c r="BU255" s="61">
        <v>18.975999999999999</v>
      </c>
      <c r="BV255" s="61">
        <v>18.742000000000001</v>
      </c>
      <c r="BW255" s="61">
        <v>37.718000000000004</v>
      </c>
      <c r="BX255" s="67">
        <v>267.40199999999999</v>
      </c>
      <c r="BY255" s="68">
        <v>96543</v>
      </c>
      <c r="BZ255" s="68">
        <v>114634</v>
      </c>
      <c r="CA255" s="69">
        <v>4983</v>
      </c>
      <c r="CB255" s="68">
        <v>117478</v>
      </c>
      <c r="CC255" s="68">
        <v>10281</v>
      </c>
      <c r="CD255" s="61"/>
      <c r="CE255" s="64"/>
      <c r="CF255" s="64"/>
      <c r="CG255" s="70">
        <f t="shared" si="16"/>
        <v>4934.076</v>
      </c>
      <c r="CH255" s="70">
        <f t="shared" si="17"/>
        <v>209.286</v>
      </c>
      <c r="CI255" s="70">
        <f t="shared" si="18"/>
        <v>431.80200000000002</v>
      </c>
      <c r="CJ255" s="70">
        <f t="shared" si="20"/>
        <v>4054.806</v>
      </c>
      <c r="CK255" s="70">
        <f t="shared" si="20"/>
        <v>4814.6279999999997</v>
      </c>
      <c r="CL255" s="70">
        <f t="shared" si="19"/>
        <v>431.80200000000002</v>
      </c>
      <c r="CM255" s="61"/>
      <c r="CN255" s="61"/>
      <c r="CO255" s="61"/>
      <c r="CP255" s="61"/>
      <c r="CQ255" s="61"/>
      <c r="CR255" s="61"/>
      <c r="CS255" s="61"/>
      <c r="CT255" s="61"/>
      <c r="CU255" s="61"/>
      <c r="CV255" s="61"/>
      <c r="CW255" s="61"/>
      <c r="CX255" s="61"/>
      <c r="CY255" s="61"/>
      <c r="CZ255" s="61"/>
      <c r="DA255" s="61"/>
      <c r="DB255" s="61"/>
      <c r="DC255" s="61"/>
      <c r="DD255" s="61"/>
      <c r="DE255" s="61"/>
      <c r="DF255" s="61"/>
      <c r="DG255" s="61"/>
      <c r="DH255" s="61"/>
      <c r="DI255" s="61"/>
      <c r="DJ255" s="61"/>
      <c r="DK255" s="61"/>
      <c r="DL255" s="61"/>
      <c r="DM255" s="61"/>
      <c r="DN255" s="61"/>
      <c r="DO255" s="61"/>
      <c r="DP255" s="61"/>
      <c r="DQ255" s="61"/>
      <c r="DR255" s="61"/>
      <c r="DS255" s="61"/>
      <c r="DT255" s="61"/>
      <c r="DU255" s="61"/>
      <c r="DV255" s="61"/>
      <c r="DW255" s="61"/>
      <c r="DX255" s="61"/>
      <c r="DY255" s="61"/>
      <c r="DZ255" s="61"/>
      <c r="EA255" s="61"/>
      <c r="EB255" s="61"/>
      <c r="EC255" s="61"/>
      <c r="ED255" s="61"/>
      <c r="EE255" s="61"/>
      <c r="EF255" s="61"/>
      <c r="EG255" s="61"/>
      <c r="EH255" s="61"/>
      <c r="EI255" s="61"/>
      <c r="EJ255" s="61"/>
      <c r="EK255" s="61"/>
      <c r="EL255" s="61"/>
      <c r="EM255" s="61"/>
      <c r="EN255" s="61"/>
      <c r="EO255" s="61"/>
      <c r="EP255" s="61"/>
      <c r="EQ255" s="61"/>
      <c r="ER255" s="61"/>
      <c r="ES255" s="61"/>
      <c r="ET255" s="61"/>
      <c r="EU255" s="61"/>
      <c r="EV255" s="61"/>
      <c r="EW255" s="61"/>
    </row>
    <row r="256" spans="1:153">
      <c r="A256" s="56">
        <v>34366</v>
      </c>
      <c r="B256" s="57"/>
      <c r="C256" s="7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71"/>
      <c r="P256" s="60">
        <v>194.065</v>
      </c>
      <c r="Q256" s="61">
        <v>13.272</v>
      </c>
      <c r="R256" s="61">
        <v>244.59399999999999</v>
      </c>
      <c r="S256" s="61">
        <v>474.59500000000003</v>
      </c>
      <c r="T256" s="61">
        <v>210.85</v>
      </c>
      <c r="U256" s="61">
        <v>14.266999999999999</v>
      </c>
      <c r="V256" s="61">
        <v>3.8479999999999999</v>
      </c>
      <c r="W256" s="61">
        <v>1.036</v>
      </c>
      <c r="X256" s="61">
        <v>194.065</v>
      </c>
      <c r="Y256" s="61">
        <v>37.256999999999998</v>
      </c>
      <c r="Z256" s="61">
        <v>13.875</v>
      </c>
      <c r="AA256" s="61">
        <v>245.19800000000001</v>
      </c>
      <c r="AB256" s="60">
        <v>475.19900000000001</v>
      </c>
      <c r="AC256" s="62"/>
      <c r="AD256" s="61"/>
      <c r="AE256" s="61"/>
      <c r="AF256" s="61"/>
      <c r="AG256" s="61"/>
      <c r="AH256" s="61"/>
      <c r="AI256" s="61"/>
      <c r="AJ256" s="61"/>
      <c r="AK256" s="62"/>
      <c r="AL256" s="63"/>
      <c r="AM256" s="64"/>
      <c r="AN256" s="65" t="e">
        <v>#N/A</v>
      </c>
      <c r="AO256" s="61" t="e">
        <v>#N/A</v>
      </c>
      <c r="AP256" s="61" t="e">
        <v>#N/A</v>
      </c>
      <c r="AQ256" s="61" t="e">
        <v>#N/A</v>
      </c>
      <c r="AR256" s="61" t="e">
        <v>#N/A</v>
      </c>
      <c r="AS256" s="61" t="e">
        <v>#N/A</v>
      </c>
      <c r="AT256" s="61" t="e">
        <v>#N/A</v>
      </c>
      <c r="AU256" s="61" t="e">
        <v>#N/A</v>
      </c>
      <c r="AV256" s="61" t="e">
        <v>#N/A</v>
      </c>
      <c r="AW256" s="61" t="e">
        <v>#N/A</v>
      </c>
      <c r="AX256" s="65" t="e">
        <v>#N/A</v>
      </c>
      <c r="AY256" s="66">
        <v>0.47599999999999998</v>
      </c>
      <c r="AZ256" s="61">
        <v>3.6070000000000002</v>
      </c>
      <c r="BA256" s="61">
        <v>39.89</v>
      </c>
      <c r="BB256" s="61">
        <v>43.972999999999999</v>
      </c>
      <c r="BC256" s="61">
        <v>7.4999999999999997E-2</v>
      </c>
      <c r="BD256" s="61">
        <v>0.32200000000000001</v>
      </c>
      <c r="BE256" s="61">
        <v>1.4999999999999999E-2</v>
      </c>
      <c r="BF256" s="61" t="s">
        <v>122</v>
      </c>
      <c r="BG256" s="61">
        <v>5.5140000000000002</v>
      </c>
      <c r="BH256" s="61">
        <v>2.4289999999999998</v>
      </c>
      <c r="BI256" s="61">
        <v>1.4E-2</v>
      </c>
      <c r="BJ256" s="61">
        <v>7.9560000000000004</v>
      </c>
      <c r="BK256" s="66">
        <v>8.3689999999999998</v>
      </c>
      <c r="BL256" s="67">
        <v>7.98</v>
      </c>
      <c r="BM256" s="61" t="s">
        <v>121</v>
      </c>
      <c r="BN256" s="61" t="s">
        <v>121</v>
      </c>
      <c r="BO256" s="61" t="s">
        <v>121</v>
      </c>
      <c r="BP256" s="61">
        <v>7.98</v>
      </c>
      <c r="BQ256" s="61">
        <v>205.88900000000001</v>
      </c>
      <c r="BR256" s="61">
        <v>13.255000000000001</v>
      </c>
      <c r="BS256" s="61">
        <v>0.223</v>
      </c>
      <c r="BT256" s="61">
        <v>1.036</v>
      </c>
      <c r="BU256" s="61">
        <v>13.404</v>
      </c>
      <c r="BV256" s="61">
        <v>19.806999999999999</v>
      </c>
      <c r="BW256" s="61">
        <v>33.21</v>
      </c>
      <c r="BX256" s="67">
        <v>253.61199999999999</v>
      </c>
      <c r="BY256" s="68">
        <v>84503</v>
      </c>
      <c r="BZ256" s="68">
        <v>100261</v>
      </c>
      <c r="CA256" s="69">
        <v>7735</v>
      </c>
      <c r="CB256" s="68">
        <v>102887</v>
      </c>
      <c r="CC256" s="68">
        <v>6568</v>
      </c>
      <c r="CD256" s="61"/>
      <c r="CE256" s="64"/>
      <c r="CF256" s="64"/>
      <c r="CG256" s="70">
        <f t="shared" si="16"/>
        <v>4321.2539999999999</v>
      </c>
      <c r="CH256" s="70">
        <f t="shared" si="17"/>
        <v>324.87</v>
      </c>
      <c r="CI256" s="70">
        <f t="shared" si="18"/>
        <v>275.85599999999999</v>
      </c>
      <c r="CJ256" s="70">
        <f t="shared" si="20"/>
        <v>3549.1260000000002</v>
      </c>
      <c r="CK256" s="70">
        <f t="shared" si="20"/>
        <v>4210.9620000000004</v>
      </c>
      <c r="CL256" s="70">
        <f t="shared" si="19"/>
        <v>275.85599999999999</v>
      </c>
      <c r="CM256" s="61"/>
      <c r="CN256" s="61"/>
      <c r="CO256" s="61"/>
      <c r="CP256" s="61"/>
      <c r="CQ256" s="61"/>
      <c r="CR256" s="61"/>
      <c r="CS256" s="61"/>
      <c r="CT256" s="61"/>
      <c r="CU256" s="61"/>
      <c r="CV256" s="61"/>
      <c r="CW256" s="61"/>
      <c r="CX256" s="61"/>
      <c r="CY256" s="61"/>
      <c r="CZ256" s="61"/>
      <c r="DA256" s="61"/>
      <c r="DB256" s="61"/>
      <c r="DC256" s="61"/>
      <c r="DD256" s="61"/>
      <c r="DE256" s="61"/>
      <c r="DF256" s="61"/>
      <c r="DG256" s="61"/>
      <c r="DH256" s="61"/>
      <c r="DI256" s="61"/>
      <c r="DJ256" s="61"/>
      <c r="DK256" s="61"/>
      <c r="DL256" s="61"/>
      <c r="DM256" s="61"/>
      <c r="DN256" s="61"/>
      <c r="DO256" s="61"/>
      <c r="DP256" s="61"/>
      <c r="DQ256" s="61"/>
      <c r="DR256" s="61"/>
      <c r="DS256" s="61"/>
      <c r="DT256" s="61"/>
      <c r="DU256" s="61"/>
      <c r="DV256" s="61"/>
      <c r="DW256" s="61"/>
      <c r="DX256" s="61"/>
      <c r="DY256" s="61"/>
      <c r="DZ256" s="61"/>
      <c r="EA256" s="61"/>
      <c r="EB256" s="61"/>
      <c r="EC256" s="61"/>
      <c r="ED256" s="61"/>
      <c r="EE256" s="61"/>
      <c r="EF256" s="61"/>
      <c r="EG256" s="61"/>
      <c r="EH256" s="61"/>
      <c r="EI256" s="61"/>
      <c r="EJ256" s="61"/>
      <c r="EK256" s="61"/>
      <c r="EL256" s="61"/>
      <c r="EM256" s="61"/>
      <c r="EN256" s="61"/>
      <c r="EO256" s="61"/>
      <c r="EP256" s="61"/>
      <c r="EQ256" s="61"/>
      <c r="ER256" s="61"/>
      <c r="ES256" s="61"/>
      <c r="ET256" s="61"/>
      <c r="EU256" s="61"/>
      <c r="EV256" s="61"/>
      <c r="EW256" s="61"/>
    </row>
    <row r="257" spans="1:153">
      <c r="A257" s="56">
        <v>34394</v>
      </c>
      <c r="B257" s="57"/>
      <c r="C257" s="7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71"/>
      <c r="P257" s="60">
        <v>202.59800000000001</v>
      </c>
      <c r="Q257" s="61">
        <v>15.795</v>
      </c>
      <c r="R257" s="61">
        <v>261.46100000000001</v>
      </c>
      <c r="S257" s="61">
        <v>530.48900000000003</v>
      </c>
      <c r="T257" s="61">
        <v>243.41200000000001</v>
      </c>
      <c r="U257" s="61">
        <v>14.471</v>
      </c>
      <c r="V257" s="61">
        <v>5.5049999999999999</v>
      </c>
      <c r="W257" s="61">
        <v>5.6390000000000002</v>
      </c>
      <c r="X257" s="61">
        <v>202.59800000000001</v>
      </c>
      <c r="Y257" s="61">
        <v>43.069000000000003</v>
      </c>
      <c r="Z257" s="61">
        <v>16.082999999999998</v>
      </c>
      <c r="AA257" s="61">
        <v>261.74900000000002</v>
      </c>
      <c r="AB257" s="60">
        <v>530.77700000000004</v>
      </c>
      <c r="AC257" s="62"/>
      <c r="AD257" s="61"/>
      <c r="AE257" s="61"/>
      <c r="AF257" s="61"/>
      <c r="AG257" s="61"/>
      <c r="AH257" s="61"/>
      <c r="AI257" s="61"/>
      <c r="AJ257" s="61"/>
      <c r="AK257" s="62"/>
      <c r="AL257" s="63"/>
      <c r="AM257" s="64"/>
      <c r="AN257" s="65" t="e">
        <v>#N/A</v>
      </c>
      <c r="AO257" s="61" t="e">
        <v>#N/A</v>
      </c>
      <c r="AP257" s="61" t="e">
        <v>#N/A</v>
      </c>
      <c r="AQ257" s="61" t="e">
        <v>#N/A</v>
      </c>
      <c r="AR257" s="61" t="e">
        <v>#N/A</v>
      </c>
      <c r="AS257" s="61" t="e">
        <v>#N/A</v>
      </c>
      <c r="AT257" s="61" t="e">
        <v>#N/A</v>
      </c>
      <c r="AU257" s="61" t="e">
        <v>#N/A</v>
      </c>
      <c r="AV257" s="61" t="e">
        <v>#N/A</v>
      </c>
      <c r="AW257" s="61" t="e">
        <v>#N/A</v>
      </c>
      <c r="AX257" s="65" t="e">
        <v>#N/A</v>
      </c>
      <c r="AY257" s="66">
        <v>0.52700000000000002</v>
      </c>
      <c r="AZ257" s="61">
        <v>4.97</v>
      </c>
      <c r="BA257" s="61">
        <v>44.164000000000001</v>
      </c>
      <c r="BB257" s="61">
        <v>49.661000000000001</v>
      </c>
      <c r="BC257" s="61">
        <v>8.6999999999999994E-2</v>
      </c>
      <c r="BD257" s="61">
        <v>0.35699999999999998</v>
      </c>
      <c r="BE257" s="61">
        <v>0.02</v>
      </c>
      <c r="BF257" s="61" t="s">
        <v>122</v>
      </c>
      <c r="BG257" s="61">
        <v>6.0949999999999998</v>
      </c>
      <c r="BH257" s="61">
        <v>2.8650000000000002</v>
      </c>
      <c r="BI257" s="61">
        <v>1.6E-2</v>
      </c>
      <c r="BJ257" s="61">
        <v>8.9760000000000009</v>
      </c>
      <c r="BK257" s="66">
        <v>9.4390000000000001</v>
      </c>
      <c r="BL257" s="67">
        <v>9.0730000000000004</v>
      </c>
      <c r="BM257" s="61" t="s">
        <v>121</v>
      </c>
      <c r="BN257" s="61" t="s">
        <v>121</v>
      </c>
      <c r="BO257" s="61" t="s">
        <v>121</v>
      </c>
      <c r="BP257" s="61">
        <v>9.0730000000000004</v>
      </c>
      <c r="BQ257" s="61">
        <v>237.684</v>
      </c>
      <c r="BR257" s="61">
        <v>13.35</v>
      </c>
      <c r="BS257" s="61">
        <v>0.51</v>
      </c>
      <c r="BT257" s="61">
        <v>5.6390000000000002</v>
      </c>
      <c r="BU257" s="61">
        <v>13.507</v>
      </c>
      <c r="BV257" s="61">
        <v>23.361999999999998</v>
      </c>
      <c r="BW257" s="61">
        <v>36.869</v>
      </c>
      <c r="BX257" s="67">
        <v>294.053</v>
      </c>
      <c r="BY257" s="68">
        <v>95970</v>
      </c>
      <c r="BZ257" s="68">
        <v>102505</v>
      </c>
      <c r="CA257" s="69">
        <v>9852</v>
      </c>
      <c r="CB257" s="68">
        <v>99377</v>
      </c>
      <c r="CC257" s="68">
        <v>6827</v>
      </c>
      <c r="CD257" s="61"/>
      <c r="CE257" s="64"/>
      <c r="CF257" s="64"/>
      <c r="CG257" s="70">
        <f t="shared" si="16"/>
        <v>4173.8339999999998</v>
      </c>
      <c r="CH257" s="70">
        <f t="shared" si="17"/>
        <v>413.78399999999999</v>
      </c>
      <c r="CI257" s="70">
        <f t="shared" si="18"/>
        <v>286.73399999999998</v>
      </c>
      <c r="CJ257" s="70">
        <f t="shared" si="20"/>
        <v>4030.74</v>
      </c>
      <c r="CK257" s="70">
        <f t="shared" si="20"/>
        <v>4305.21</v>
      </c>
      <c r="CL257" s="70">
        <f t="shared" si="19"/>
        <v>286.73399999999998</v>
      </c>
      <c r="CM257" s="61"/>
      <c r="CN257" s="61"/>
      <c r="CO257" s="61"/>
      <c r="CP257" s="61"/>
      <c r="CQ257" s="61"/>
      <c r="CR257" s="61"/>
      <c r="CS257" s="61"/>
      <c r="CT257" s="61"/>
      <c r="CU257" s="61"/>
      <c r="CV257" s="61"/>
      <c r="CW257" s="61"/>
      <c r="CX257" s="61"/>
      <c r="CY257" s="61"/>
      <c r="CZ257" s="61"/>
      <c r="DA257" s="61"/>
      <c r="DB257" s="61"/>
      <c r="DC257" s="61"/>
      <c r="DD257" s="61"/>
      <c r="DE257" s="61"/>
      <c r="DF257" s="61"/>
      <c r="DG257" s="61"/>
      <c r="DH257" s="61"/>
      <c r="DI257" s="61"/>
      <c r="DJ257" s="61"/>
      <c r="DK257" s="61"/>
      <c r="DL257" s="61"/>
      <c r="DM257" s="61"/>
      <c r="DN257" s="61"/>
      <c r="DO257" s="61"/>
      <c r="DP257" s="61"/>
      <c r="DQ257" s="61"/>
      <c r="DR257" s="61"/>
      <c r="DS257" s="61"/>
      <c r="DT257" s="61"/>
      <c r="DU257" s="61"/>
      <c r="DV257" s="61"/>
      <c r="DW257" s="61"/>
      <c r="DX257" s="61"/>
      <c r="DY257" s="61"/>
      <c r="DZ257" s="61"/>
      <c r="EA257" s="61"/>
      <c r="EB257" s="61"/>
      <c r="EC257" s="61"/>
      <c r="ED257" s="61"/>
      <c r="EE257" s="61"/>
      <c r="EF257" s="61"/>
      <c r="EG257" s="61"/>
      <c r="EH257" s="61"/>
      <c r="EI257" s="61"/>
      <c r="EJ257" s="61"/>
      <c r="EK257" s="61"/>
      <c r="EL257" s="61"/>
      <c r="EM257" s="61"/>
      <c r="EN257" s="61"/>
      <c r="EO257" s="61"/>
      <c r="EP257" s="61"/>
      <c r="EQ257" s="61"/>
      <c r="ER257" s="61"/>
      <c r="ES257" s="61"/>
      <c r="ET257" s="61"/>
      <c r="EU257" s="61"/>
      <c r="EV257" s="61"/>
      <c r="EW257" s="61"/>
    </row>
    <row r="258" spans="1:153">
      <c r="A258" s="56">
        <v>34425</v>
      </c>
      <c r="B258" s="57"/>
      <c r="C258" s="7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71"/>
      <c r="P258" s="60">
        <v>183.16800000000001</v>
      </c>
      <c r="Q258" s="61">
        <v>13.315</v>
      </c>
      <c r="R258" s="61">
        <v>236.035</v>
      </c>
      <c r="S258" s="61">
        <v>515.822</v>
      </c>
      <c r="T258" s="61">
        <v>254.767</v>
      </c>
      <c r="U258" s="61">
        <v>14.76</v>
      </c>
      <c r="V258" s="61">
        <v>6.0010000000000003</v>
      </c>
      <c r="W258" s="61">
        <v>4.258</v>
      </c>
      <c r="X258" s="61">
        <v>183.16800000000001</v>
      </c>
      <c r="Y258" s="61">
        <v>39.552</v>
      </c>
      <c r="Z258" s="61">
        <v>13.977</v>
      </c>
      <c r="AA258" s="61">
        <v>236.697</v>
      </c>
      <c r="AB258" s="60">
        <v>516.48400000000004</v>
      </c>
      <c r="AC258" s="62"/>
      <c r="AD258" s="61"/>
      <c r="AE258" s="61"/>
      <c r="AF258" s="61"/>
      <c r="AG258" s="61"/>
      <c r="AH258" s="61"/>
      <c r="AI258" s="61"/>
      <c r="AJ258" s="61"/>
      <c r="AK258" s="62"/>
      <c r="AL258" s="63"/>
      <c r="AM258" s="64"/>
      <c r="AN258" s="65" t="e">
        <v>#N/A</v>
      </c>
      <c r="AO258" s="61" t="e">
        <v>#N/A</v>
      </c>
      <c r="AP258" s="61" t="e">
        <v>#N/A</v>
      </c>
      <c r="AQ258" s="61" t="e">
        <v>#N/A</v>
      </c>
      <c r="AR258" s="61" t="e">
        <v>#N/A</v>
      </c>
      <c r="AS258" s="61" t="e">
        <v>#N/A</v>
      </c>
      <c r="AT258" s="61" t="e">
        <v>#N/A</v>
      </c>
      <c r="AU258" s="61" t="e">
        <v>#N/A</v>
      </c>
      <c r="AV258" s="61" t="e">
        <v>#N/A</v>
      </c>
      <c r="AW258" s="61" t="e">
        <v>#N/A</v>
      </c>
      <c r="AX258" s="65" t="e">
        <v>#N/A</v>
      </c>
      <c r="AY258" s="66">
        <v>0.51</v>
      </c>
      <c r="AZ258" s="61">
        <v>5.4779999999999998</v>
      </c>
      <c r="BA258" s="61">
        <v>42.74</v>
      </c>
      <c r="BB258" s="61">
        <v>48.726999999999997</v>
      </c>
      <c r="BC258" s="61">
        <v>9.0999999999999998E-2</v>
      </c>
      <c r="BD258" s="61">
        <v>0.34499999999999997</v>
      </c>
      <c r="BE258" s="61">
        <v>2.1999999999999999E-2</v>
      </c>
      <c r="BF258" s="61" t="s">
        <v>122</v>
      </c>
      <c r="BG258" s="61">
        <v>5.8879999999999999</v>
      </c>
      <c r="BH258" s="61">
        <v>2.5670000000000002</v>
      </c>
      <c r="BI258" s="61">
        <v>1.4E-2</v>
      </c>
      <c r="BJ258" s="61">
        <v>8.4689999999999994</v>
      </c>
      <c r="BK258" s="66">
        <v>8.9269999999999996</v>
      </c>
      <c r="BL258" s="67">
        <v>8.0619999999999994</v>
      </c>
      <c r="BM258" s="61" t="s">
        <v>121</v>
      </c>
      <c r="BN258" s="61" t="s">
        <v>121</v>
      </c>
      <c r="BO258" s="61" t="s">
        <v>121</v>
      </c>
      <c r="BP258" s="61">
        <v>8.0619999999999994</v>
      </c>
      <c r="BQ258" s="61">
        <v>248.77199999999999</v>
      </c>
      <c r="BR258" s="61">
        <v>13.675000000000001</v>
      </c>
      <c r="BS258" s="61">
        <v>0.496</v>
      </c>
      <c r="BT258" s="61">
        <v>4.258</v>
      </c>
      <c r="BU258" s="61">
        <v>11.669</v>
      </c>
      <c r="BV258" s="61">
        <v>20.931999999999999</v>
      </c>
      <c r="BW258" s="61">
        <v>32.601999999999997</v>
      </c>
      <c r="BX258" s="67">
        <v>299.803</v>
      </c>
      <c r="BY258" s="68">
        <v>97457</v>
      </c>
      <c r="BZ258" s="68">
        <v>93469</v>
      </c>
      <c r="CA258" s="69">
        <v>6772</v>
      </c>
      <c r="CB258" s="68">
        <v>102564</v>
      </c>
      <c r="CC258" s="68">
        <v>7573</v>
      </c>
      <c r="CD258" s="61"/>
      <c r="CE258" s="64"/>
      <c r="CF258" s="64"/>
      <c r="CG258" s="70">
        <f t="shared" si="16"/>
        <v>4307.6880000000001</v>
      </c>
      <c r="CH258" s="70">
        <f t="shared" si="17"/>
        <v>284.42399999999998</v>
      </c>
      <c r="CI258" s="70">
        <f t="shared" si="18"/>
        <v>318.06599999999997</v>
      </c>
      <c r="CJ258" s="70">
        <f t="shared" si="20"/>
        <v>4093.194</v>
      </c>
      <c r="CK258" s="70">
        <f t="shared" si="20"/>
        <v>3925.6979999999999</v>
      </c>
      <c r="CL258" s="70">
        <f t="shared" si="19"/>
        <v>318.06599999999997</v>
      </c>
      <c r="CM258" s="61"/>
      <c r="CN258" s="61"/>
      <c r="CO258" s="61"/>
      <c r="CP258" s="61"/>
      <c r="CQ258" s="61"/>
      <c r="CR258" s="61"/>
      <c r="CS258" s="61"/>
      <c r="CT258" s="61"/>
      <c r="CU258" s="61"/>
      <c r="CV258" s="61"/>
      <c r="CW258" s="61"/>
      <c r="CX258" s="61"/>
      <c r="CY258" s="61"/>
      <c r="CZ258" s="61"/>
      <c r="DA258" s="61"/>
      <c r="DB258" s="61"/>
      <c r="DC258" s="61"/>
      <c r="DD258" s="61"/>
      <c r="DE258" s="61"/>
      <c r="DF258" s="61"/>
      <c r="DG258" s="61"/>
      <c r="DH258" s="61"/>
      <c r="DI258" s="61"/>
      <c r="DJ258" s="61"/>
      <c r="DK258" s="61"/>
      <c r="DL258" s="61"/>
      <c r="DM258" s="61"/>
      <c r="DN258" s="61"/>
      <c r="DO258" s="61"/>
      <c r="DP258" s="61"/>
      <c r="DQ258" s="61"/>
      <c r="DR258" s="61"/>
      <c r="DS258" s="61"/>
      <c r="DT258" s="61"/>
      <c r="DU258" s="61"/>
      <c r="DV258" s="61"/>
      <c r="DW258" s="61"/>
      <c r="DX258" s="61"/>
      <c r="DY258" s="61"/>
      <c r="DZ258" s="61"/>
      <c r="EA258" s="61"/>
      <c r="EB258" s="61"/>
      <c r="EC258" s="61"/>
      <c r="ED258" s="61"/>
      <c r="EE258" s="61"/>
      <c r="EF258" s="61"/>
      <c r="EG258" s="61"/>
      <c r="EH258" s="61"/>
      <c r="EI258" s="61"/>
      <c r="EJ258" s="61"/>
      <c r="EK258" s="61"/>
      <c r="EL258" s="61"/>
      <c r="EM258" s="61"/>
      <c r="EN258" s="61"/>
      <c r="EO258" s="61"/>
      <c r="EP258" s="61"/>
      <c r="EQ258" s="61"/>
      <c r="ER258" s="61"/>
      <c r="ES258" s="61"/>
      <c r="ET258" s="61"/>
      <c r="EU258" s="61"/>
      <c r="EV258" s="61"/>
      <c r="EW258" s="61"/>
    </row>
    <row r="259" spans="1:153">
      <c r="A259" s="56">
        <v>34455</v>
      </c>
      <c r="B259" s="57"/>
      <c r="C259" s="7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71"/>
      <c r="P259" s="60">
        <v>141.24700000000001</v>
      </c>
      <c r="Q259" s="61">
        <v>15.12</v>
      </c>
      <c r="R259" s="61">
        <v>202.48</v>
      </c>
      <c r="S259" s="61">
        <v>494.54399999999998</v>
      </c>
      <c r="T259" s="61">
        <v>267.13</v>
      </c>
      <c r="U259" s="61">
        <v>14.542999999999999</v>
      </c>
      <c r="V259" s="61">
        <v>6.593</v>
      </c>
      <c r="W259" s="61">
        <v>3.798</v>
      </c>
      <c r="X259" s="61">
        <v>141.24700000000001</v>
      </c>
      <c r="Y259" s="61">
        <v>46.113</v>
      </c>
      <c r="Z259" s="61">
        <v>14.957000000000001</v>
      </c>
      <c r="AA259" s="61">
        <v>202.31700000000001</v>
      </c>
      <c r="AB259" s="60">
        <v>494.38099999999997</v>
      </c>
      <c r="AC259" s="62"/>
      <c r="AD259" s="61"/>
      <c r="AE259" s="61"/>
      <c r="AF259" s="61"/>
      <c r="AG259" s="61"/>
      <c r="AH259" s="61"/>
      <c r="AI259" s="61"/>
      <c r="AJ259" s="61"/>
      <c r="AK259" s="62"/>
      <c r="AL259" s="63"/>
      <c r="AM259" s="64"/>
      <c r="AN259" s="65" t="e">
        <v>#N/A</v>
      </c>
      <c r="AO259" s="61" t="e">
        <v>#N/A</v>
      </c>
      <c r="AP259" s="61" t="e">
        <v>#N/A</v>
      </c>
      <c r="AQ259" s="61" t="e">
        <v>#N/A</v>
      </c>
      <c r="AR259" s="61" t="e">
        <v>#N/A</v>
      </c>
      <c r="AS259" s="61" t="e">
        <v>#N/A</v>
      </c>
      <c r="AT259" s="61" t="e">
        <v>#N/A</v>
      </c>
      <c r="AU259" s="61" t="e">
        <v>#N/A</v>
      </c>
      <c r="AV259" s="61" t="e">
        <v>#N/A</v>
      </c>
      <c r="AW259" s="61" t="e">
        <v>#N/A</v>
      </c>
      <c r="AX259" s="65" t="e">
        <v>#N/A</v>
      </c>
      <c r="AY259" s="66">
        <v>0.52700000000000002</v>
      </c>
      <c r="AZ259" s="61">
        <v>6.0469999999999997</v>
      </c>
      <c r="BA259" s="61">
        <v>44.164000000000001</v>
      </c>
      <c r="BB259" s="61">
        <v>50.738</v>
      </c>
      <c r="BC259" s="61">
        <v>9.5000000000000001E-2</v>
      </c>
      <c r="BD259" s="61">
        <v>0.35699999999999998</v>
      </c>
      <c r="BE259" s="61">
        <v>2.5000000000000001E-2</v>
      </c>
      <c r="BF259" s="61" t="s">
        <v>122</v>
      </c>
      <c r="BG259" s="61">
        <v>6.0469999999999997</v>
      </c>
      <c r="BH259" s="61">
        <v>3.1589999999999998</v>
      </c>
      <c r="BI259" s="61">
        <v>1.4999999999999999E-2</v>
      </c>
      <c r="BJ259" s="61">
        <v>9.2200000000000006</v>
      </c>
      <c r="BK259" s="66">
        <v>9.6959999999999997</v>
      </c>
      <c r="BL259" s="67">
        <v>8.2539999999999996</v>
      </c>
      <c r="BM259" s="61" t="s">
        <v>121</v>
      </c>
      <c r="BN259" s="61" t="s">
        <v>121</v>
      </c>
      <c r="BO259" s="61" t="s">
        <v>121</v>
      </c>
      <c r="BP259" s="61">
        <v>8.2539999999999996</v>
      </c>
      <c r="BQ259" s="61">
        <v>260.84399999999999</v>
      </c>
      <c r="BR259" s="61">
        <v>13.422000000000001</v>
      </c>
      <c r="BS259" s="61">
        <v>0.51600000000000001</v>
      </c>
      <c r="BT259" s="61">
        <v>3.798</v>
      </c>
      <c r="BU259" s="61">
        <v>6.8369999999999997</v>
      </c>
      <c r="BV259" s="61">
        <v>25.760999999999999</v>
      </c>
      <c r="BW259" s="61">
        <v>32.597999999999999</v>
      </c>
      <c r="BX259" s="67">
        <v>311.178</v>
      </c>
      <c r="BY259" s="68">
        <v>102814</v>
      </c>
      <c r="BZ259" s="68">
        <v>90278</v>
      </c>
      <c r="CA259" s="69">
        <v>6274</v>
      </c>
      <c r="CB259" s="68">
        <v>112407</v>
      </c>
      <c r="CC259" s="68">
        <v>8967</v>
      </c>
      <c r="CD259" s="61"/>
      <c r="CE259" s="64"/>
      <c r="CF259" s="64"/>
      <c r="CG259" s="70">
        <f t="shared" ref="CG259:CG322" si="21">CB259*42/1000</f>
        <v>4721.0940000000001</v>
      </c>
      <c r="CH259" s="70">
        <f t="shared" ref="CH259:CH322" si="22">CA259*42/1000</f>
        <v>263.50799999999998</v>
      </c>
      <c r="CI259" s="70">
        <f t="shared" ref="CI259:CI322" si="23">CC259*42/1000</f>
        <v>376.61399999999998</v>
      </c>
      <c r="CJ259" s="70">
        <f t="shared" si="20"/>
        <v>4318.1880000000001</v>
      </c>
      <c r="CK259" s="70">
        <f t="shared" si="20"/>
        <v>3791.6759999999999</v>
      </c>
      <c r="CL259" s="70">
        <f t="shared" si="19"/>
        <v>376.61399999999998</v>
      </c>
      <c r="CM259" s="61"/>
      <c r="CN259" s="61"/>
      <c r="CO259" s="61"/>
      <c r="CP259" s="61"/>
      <c r="CQ259" s="61"/>
      <c r="CR259" s="61"/>
      <c r="CS259" s="61"/>
      <c r="CT259" s="61"/>
      <c r="CU259" s="61"/>
      <c r="CV259" s="61"/>
      <c r="CW259" s="61"/>
      <c r="CX259" s="61"/>
      <c r="CY259" s="61"/>
      <c r="CZ259" s="61"/>
      <c r="DA259" s="61"/>
      <c r="DB259" s="61"/>
      <c r="DC259" s="61"/>
      <c r="DD259" s="61"/>
      <c r="DE259" s="61"/>
      <c r="DF259" s="61"/>
      <c r="DG259" s="61"/>
      <c r="DH259" s="61"/>
      <c r="DI259" s="61"/>
      <c r="DJ259" s="61"/>
      <c r="DK259" s="61"/>
      <c r="DL259" s="61"/>
      <c r="DM259" s="61"/>
      <c r="DN259" s="61"/>
      <c r="DO259" s="61"/>
      <c r="DP259" s="61"/>
      <c r="DQ259" s="61"/>
      <c r="DR259" s="61"/>
      <c r="DS259" s="61"/>
      <c r="DT259" s="61"/>
      <c r="DU259" s="61"/>
      <c r="DV259" s="61"/>
      <c r="DW259" s="61"/>
      <c r="DX259" s="61"/>
      <c r="DY259" s="61"/>
      <c r="DZ259" s="61"/>
      <c r="EA259" s="61"/>
      <c r="EB259" s="61"/>
      <c r="EC259" s="61"/>
      <c r="ED259" s="61"/>
      <c r="EE259" s="61"/>
      <c r="EF259" s="61"/>
      <c r="EG259" s="61"/>
      <c r="EH259" s="61"/>
      <c r="EI259" s="61"/>
      <c r="EJ259" s="61"/>
      <c r="EK259" s="61"/>
      <c r="EL259" s="61"/>
      <c r="EM259" s="61"/>
      <c r="EN259" s="61"/>
      <c r="EO259" s="61"/>
      <c r="EP259" s="61"/>
      <c r="EQ259" s="61"/>
      <c r="ER259" s="61"/>
      <c r="ES259" s="61"/>
      <c r="ET259" s="61"/>
      <c r="EU259" s="61"/>
      <c r="EV259" s="61"/>
      <c r="EW259" s="61"/>
    </row>
    <row r="260" spans="1:153">
      <c r="A260" s="56">
        <v>34486</v>
      </c>
      <c r="B260" s="57"/>
      <c r="C260" s="7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71"/>
      <c r="P260" s="60">
        <v>156.53299999999999</v>
      </c>
      <c r="Q260" s="61">
        <v>14.26</v>
      </c>
      <c r="R260" s="61">
        <v>215.744</v>
      </c>
      <c r="S260" s="61">
        <v>497.428</v>
      </c>
      <c r="T260" s="61">
        <v>258.029</v>
      </c>
      <c r="U260" s="61">
        <v>13.144</v>
      </c>
      <c r="V260" s="61">
        <v>6.7149999999999999</v>
      </c>
      <c r="W260" s="61">
        <v>3.798</v>
      </c>
      <c r="X260" s="61">
        <v>156.53299999999999</v>
      </c>
      <c r="Y260" s="61">
        <v>44.95</v>
      </c>
      <c r="Z260" s="61">
        <v>13.657</v>
      </c>
      <c r="AA260" s="61">
        <v>215.14</v>
      </c>
      <c r="AB260" s="60">
        <v>496.82499999999999</v>
      </c>
      <c r="AC260" s="62"/>
      <c r="AD260" s="61"/>
      <c r="AE260" s="61"/>
      <c r="AF260" s="61"/>
      <c r="AG260" s="61"/>
      <c r="AH260" s="61"/>
      <c r="AI260" s="61"/>
      <c r="AJ260" s="61"/>
      <c r="AK260" s="62"/>
      <c r="AL260" s="63"/>
      <c r="AM260" s="64"/>
      <c r="AN260" s="65" t="e">
        <v>#N/A</v>
      </c>
      <c r="AO260" s="61" t="e">
        <v>#N/A</v>
      </c>
      <c r="AP260" s="61" t="e">
        <v>#N/A</v>
      </c>
      <c r="AQ260" s="61" t="e">
        <v>#N/A</v>
      </c>
      <c r="AR260" s="61" t="e">
        <v>#N/A</v>
      </c>
      <c r="AS260" s="61" t="e">
        <v>#N/A</v>
      </c>
      <c r="AT260" s="61" t="e">
        <v>#N/A</v>
      </c>
      <c r="AU260" s="61" t="e">
        <v>#N/A</v>
      </c>
      <c r="AV260" s="61" t="e">
        <v>#N/A</v>
      </c>
      <c r="AW260" s="61" t="e">
        <v>#N/A</v>
      </c>
      <c r="AX260" s="65" t="e">
        <v>#N/A</v>
      </c>
      <c r="AY260" s="66">
        <v>0.51</v>
      </c>
      <c r="AZ260" s="61">
        <v>6.1020000000000003</v>
      </c>
      <c r="BA260" s="61">
        <v>42.74</v>
      </c>
      <c r="BB260" s="61">
        <v>49.350999999999999</v>
      </c>
      <c r="BC260" s="61">
        <v>9.1999999999999998E-2</v>
      </c>
      <c r="BD260" s="61">
        <v>0.34499999999999997</v>
      </c>
      <c r="BE260" s="61">
        <v>2.5000000000000001E-2</v>
      </c>
      <c r="BF260" s="61" t="s">
        <v>122</v>
      </c>
      <c r="BG260" s="61">
        <v>5.867</v>
      </c>
      <c r="BH260" s="61">
        <v>3.0880000000000001</v>
      </c>
      <c r="BI260" s="61">
        <v>1.2999999999999999E-2</v>
      </c>
      <c r="BJ260" s="61">
        <v>8.968</v>
      </c>
      <c r="BK260" s="66">
        <v>9.43</v>
      </c>
      <c r="BL260" s="67">
        <v>7.3410000000000002</v>
      </c>
      <c r="BM260" s="61" t="s">
        <v>121</v>
      </c>
      <c r="BN260" s="61" t="s">
        <v>121</v>
      </c>
      <c r="BO260" s="61" t="s">
        <v>121</v>
      </c>
      <c r="BP260" s="61">
        <v>7.3410000000000002</v>
      </c>
      <c r="BQ260" s="61">
        <v>251.95699999999999</v>
      </c>
      <c r="BR260" s="61">
        <v>12.058999999999999</v>
      </c>
      <c r="BS260" s="61">
        <v>0.58299999999999996</v>
      </c>
      <c r="BT260" s="61">
        <v>3.798</v>
      </c>
      <c r="BU260" s="61">
        <v>8.7739999999999991</v>
      </c>
      <c r="BV260" s="61">
        <v>25.186</v>
      </c>
      <c r="BW260" s="61">
        <v>33.959000000000003</v>
      </c>
      <c r="BX260" s="67">
        <v>302.35599999999999</v>
      </c>
      <c r="BY260" s="68">
        <v>98536</v>
      </c>
      <c r="BZ260" s="68">
        <v>91863</v>
      </c>
      <c r="CA260" s="69">
        <v>5470</v>
      </c>
      <c r="CB260" s="68">
        <v>119506</v>
      </c>
      <c r="CC260" s="68">
        <v>5044</v>
      </c>
      <c r="CD260" s="61"/>
      <c r="CE260" s="64"/>
      <c r="CF260" s="64"/>
      <c r="CG260" s="70">
        <f t="shared" si="21"/>
        <v>5019.2520000000004</v>
      </c>
      <c r="CH260" s="70">
        <f t="shared" si="22"/>
        <v>229.74</v>
      </c>
      <c r="CI260" s="70">
        <f t="shared" si="23"/>
        <v>211.84800000000001</v>
      </c>
      <c r="CJ260" s="70">
        <f t="shared" si="20"/>
        <v>4138.5119999999997</v>
      </c>
      <c r="CK260" s="70">
        <f t="shared" si="20"/>
        <v>3858.2460000000001</v>
      </c>
      <c r="CL260" s="70">
        <f t="shared" ref="CL260:CL315" si="24">CC260*42/1000</f>
        <v>211.84800000000001</v>
      </c>
      <c r="CM260" s="61"/>
      <c r="CN260" s="61"/>
      <c r="CO260" s="61"/>
      <c r="CP260" s="61"/>
      <c r="CQ260" s="61"/>
      <c r="CR260" s="61"/>
      <c r="CS260" s="61"/>
      <c r="CT260" s="61"/>
      <c r="CU260" s="61"/>
      <c r="CV260" s="61"/>
      <c r="CW260" s="61"/>
      <c r="CX260" s="61"/>
      <c r="CY260" s="61"/>
      <c r="CZ260" s="61"/>
      <c r="DA260" s="61"/>
      <c r="DB260" s="61"/>
      <c r="DC260" s="61"/>
      <c r="DD260" s="61"/>
      <c r="DE260" s="61"/>
      <c r="DF260" s="61"/>
      <c r="DG260" s="61"/>
      <c r="DH260" s="61"/>
      <c r="DI260" s="61"/>
      <c r="DJ260" s="61"/>
      <c r="DK260" s="61"/>
      <c r="DL260" s="61"/>
      <c r="DM260" s="61"/>
      <c r="DN260" s="61"/>
      <c r="DO260" s="61"/>
      <c r="DP260" s="61"/>
      <c r="DQ260" s="61"/>
      <c r="DR260" s="61"/>
      <c r="DS260" s="61"/>
      <c r="DT260" s="61"/>
      <c r="DU260" s="61"/>
      <c r="DV260" s="61"/>
      <c r="DW260" s="61"/>
      <c r="DX260" s="61"/>
      <c r="DY260" s="61"/>
      <c r="DZ260" s="61"/>
      <c r="EA260" s="61"/>
      <c r="EB260" s="61"/>
      <c r="EC260" s="61"/>
      <c r="ED260" s="61"/>
      <c r="EE260" s="61"/>
      <c r="EF260" s="61"/>
      <c r="EG260" s="61"/>
      <c r="EH260" s="61"/>
      <c r="EI260" s="61"/>
      <c r="EJ260" s="61"/>
      <c r="EK260" s="61"/>
      <c r="EL260" s="61"/>
      <c r="EM260" s="61"/>
      <c r="EN260" s="61"/>
      <c r="EO260" s="61"/>
      <c r="EP260" s="61"/>
      <c r="EQ260" s="61"/>
      <c r="ER260" s="61"/>
      <c r="ES260" s="61"/>
      <c r="ET260" s="61"/>
      <c r="EU260" s="61"/>
      <c r="EV260" s="61"/>
      <c r="EW260" s="61"/>
    </row>
    <row r="261" spans="1:153">
      <c r="A261" s="56">
        <v>34516</v>
      </c>
      <c r="B261" s="57"/>
      <c r="C261" s="7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71"/>
      <c r="P261" s="60">
        <v>216.33</v>
      </c>
      <c r="Q261" s="61">
        <v>14.635</v>
      </c>
      <c r="R261" s="61">
        <v>274.45100000000002</v>
      </c>
      <c r="S261" s="61">
        <v>538.29399999999998</v>
      </c>
      <c r="T261" s="61">
        <v>241.00399999999999</v>
      </c>
      <c r="U261" s="61">
        <v>13.897</v>
      </c>
      <c r="V261" s="61">
        <v>6.9850000000000003</v>
      </c>
      <c r="W261" s="61">
        <v>1.956</v>
      </c>
      <c r="X261" s="61">
        <v>216.33</v>
      </c>
      <c r="Y261" s="61">
        <v>43.487000000000002</v>
      </c>
      <c r="Z261" s="61">
        <v>14.302</v>
      </c>
      <c r="AA261" s="61">
        <v>274.11799999999999</v>
      </c>
      <c r="AB261" s="60">
        <v>537.96100000000001</v>
      </c>
      <c r="AC261" s="62"/>
      <c r="AD261" s="61"/>
      <c r="AE261" s="61"/>
      <c r="AF261" s="61"/>
      <c r="AG261" s="61"/>
      <c r="AH261" s="61"/>
      <c r="AI261" s="61"/>
      <c r="AJ261" s="61"/>
      <c r="AK261" s="62"/>
      <c r="AL261" s="63"/>
      <c r="AM261" s="64"/>
      <c r="AN261" s="65" t="e">
        <v>#N/A</v>
      </c>
      <c r="AO261" s="61" t="e">
        <v>#N/A</v>
      </c>
      <c r="AP261" s="61" t="e">
        <v>#N/A</v>
      </c>
      <c r="AQ261" s="61" t="e">
        <v>#N/A</v>
      </c>
      <c r="AR261" s="61" t="e">
        <v>#N/A</v>
      </c>
      <c r="AS261" s="61" t="e">
        <v>#N/A</v>
      </c>
      <c r="AT261" s="61" t="e">
        <v>#N/A</v>
      </c>
      <c r="AU261" s="61" t="e">
        <v>#N/A</v>
      </c>
      <c r="AV261" s="61" t="e">
        <v>#N/A</v>
      </c>
      <c r="AW261" s="61" t="e">
        <v>#N/A</v>
      </c>
      <c r="AX261" s="65" t="e">
        <v>#N/A</v>
      </c>
      <c r="AY261" s="66">
        <v>0.52700000000000002</v>
      </c>
      <c r="AZ261" s="61">
        <v>6.4050000000000002</v>
      </c>
      <c r="BA261" s="61">
        <v>44.164000000000001</v>
      </c>
      <c r="BB261" s="61">
        <v>51.095999999999997</v>
      </c>
      <c r="BC261" s="61">
        <v>8.5999999999999993E-2</v>
      </c>
      <c r="BD261" s="61">
        <v>0.35699999999999998</v>
      </c>
      <c r="BE261" s="61">
        <v>2.5999999999999999E-2</v>
      </c>
      <c r="BF261" s="61" t="s">
        <v>122</v>
      </c>
      <c r="BG261" s="61">
        <v>6.1059999999999999</v>
      </c>
      <c r="BH261" s="61">
        <v>2.9049999999999998</v>
      </c>
      <c r="BI261" s="61">
        <v>1.4E-2</v>
      </c>
      <c r="BJ261" s="61">
        <v>9.0250000000000004</v>
      </c>
      <c r="BK261" s="66">
        <v>9.4930000000000003</v>
      </c>
      <c r="BL261" s="67">
        <v>7.8159999999999998</v>
      </c>
      <c r="BM261" s="61" t="s">
        <v>121</v>
      </c>
      <c r="BN261" s="61" t="s">
        <v>121</v>
      </c>
      <c r="BO261" s="61" t="s">
        <v>121</v>
      </c>
      <c r="BP261" s="61">
        <v>7.8159999999999998</v>
      </c>
      <c r="BQ261" s="61">
        <v>235.333</v>
      </c>
      <c r="BR261" s="61">
        <v>12.775</v>
      </c>
      <c r="BS261" s="61">
        <v>0.54800000000000004</v>
      </c>
      <c r="BT261" s="61">
        <v>1.956</v>
      </c>
      <c r="BU261" s="61">
        <v>15</v>
      </c>
      <c r="BV261" s="61">
        <v>23.692</v>
      </c>
      <c r="BW261" s="61">
        <v>38.692</v>
      </c>
      <c r="BX261" s="67">
        <v>289.30500000000001</v>
      </c>
      <c r="BY261" s="68">
        <v>98920</v>
      </c>
      <c r="BZ261" s="68">
        <v>82540</v>
      </c>
      <c r="CA261" s="69">
        <v>5092</v>
      </c>
      <c r="CB261" s="68">
        <v>134151</v>
      </c>
      <c r="CC261" s="68">
        <v>6827</v>
      </c>
      <c r="CD261" s="61"/>
      <c r="CE261" s="64"/>
      <c r="CF261" s="64"/>
      <c r="CG261" s="70">
        <f t="shared" si="21"/>
        <v>5634.3419999999996</v>
      </c>
      <c r="CH261" s="70">
        <f t="shared" si="22"/>
        <v>213.864</v>
      </c>
      <c r="CI261" s="70">
        <f t="shared" si="23"/>
        <v>286.73399999999998</v>
      </c>
      <c r="CJ261" s="70">
        <f t="shared" si="20"/>
        <v>4154.6400000000003</v>
      </c>
      <c r="CK261" s="70">
        <f t="shared" si="20"/>
        <v>3466.68</v>
      </c>
      <c r="CL261" s="70">
        <f t="shared" si="24"/>
        <v>286.73399999999998</v>
      </c>
      <c r="CM261" s="61"/>
      <c r="CN261" s="61"/>
      <c r="CO261" s="61"/>
      <c r="CP261" s="61"/>
      <c r="CQ261" s="61"/>
      <c r="CR261" s="61"/>
      <c r="CS261" s="61"/>
      <c r="CT261" s="61"/>
      <c r="CU261" s="61"/>
      <c r="CV261" s="61"/>
      <c r="CW261" s="61"/>
      <c r="CX261" s="61"/>
      <c r="CY261" s="61"/>
      <c r="CZ261" s="61"/>
      <c r="DA261" s="61"/>
      <c r="DB261" s="61"/>
      <c r="DC261" s="61"/>
      <c r="DD261" s="61"/>
      <c r="DE261" s="61"/>
      <c r="DF261" s="61"/>
      <c r="DG261" s="61"/>
      <c r="DH261" s="61"/>
      <c r="DI261" s="61"/>
      <c r="DJ261" s="61"/>
      <c r="DK261" s="61"/>
      <c r="DL261" s="61"/>
      <c r="DM261" s="61"/>
      <c r="DN261" s="61"/>
      <c r="DO261" s="61"/>
      <c r="DP261" s="61"/>
      <c r="DQ261" s="61"/>
      <c r="DR261" s="61"/>
      <c r="DS261" s="61"/>
      <c r="DT261" s="61"/>
      <c r="DU261" s="61"/>
      <c r="DV261" s="61"/>
      <c r="DW261" s="61"/>
      <c r="DX261" s="61"/>
      <c r="DY261" s="61"/>
      <c r="DZ261" s="61"/>
      <c r="EA261" s="61"/>
      <c r="EB261" s="61"/>
      <c r="EC261" s="61"/>
      <c r="ED261" s="61"/>
      <c r="EE261" s="61"/>
      <c r="EF261" s="61"/>
      <c r="EG261" s="61"/>
      <c r="EH261" s="61"/>
      <c r="EI261" s="61"/>
      <c r="EJ261" s="61"/>
      <c r="EK261" s="61"/>
      <c r="EL261" s="61"/>
      <c r="EM261" s="61"/>
      <c r="EN261" s="61"/>
      <c r="EO261" s="61"/>
      <c r="EP261" s="61"/>
      <c r="EQ261" s="61"/>
      <c r="ER261" s="61"/>
      <c r="ES261" s="61"/>
      <c r="ET261" s="61"/>
      <c r="EU261" s="61"/>
      <c r="EV261" s="61"/>
      <c r="EW261" s="61"/>
    </row>
    <row r="262" spans="1:153">
      <c r="A262" s="56">
        <v>34547</v>
      </c>
      <c r="B262" s="57"/>
      <c r="C262" s="7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71"/>
      <c r="P262" s="60">
        <v>193.374</v>
      </c>
      <c r="Q262" s="61">
        <v>15.186999999999999</v>
      </c>
      <c r="R262" s="61">
        <v>251.577</v>
      </c>
      <c r="S262" s="61">
        <v>484.33</v>
      </c>
      <c r="T262" s="61">
        <v>209.39599999999999</v>
      </c>
      <c r="U262" s="61">
        <v>15.199</v>
      </c>
      <c r="V262" s="61">
        <v>6.7770000000000001</v>
      </c>
      <c r="W262" s="61">
        <v>1.381</v>
      </c>
      <c r="X262" s="61">
        <v>193.374</v>
      </c>
      <c r="Y262" s="61">
        <v>43.015999999999998</v>
      </c>
      <c r="Z262" s="61">
        <v>15.43</v>
      </c>
      <c r="AA262" s="61">
        <v>251.82</v>
      </c>
      <c r="AB262" s="60">
        <v>484.57299999999998</v>
      </c>
      <c r="AC262" s="62"/>
      <c r="AD262" s="61"/>
      <c r="AE262" s="61"/>
      <c r="AF262" s="61"/>
      <c r="AG262" s="61"/>
      <c r="AH262" s="61"/>
      <c r="AI262" s="61"/>
      <c r="AJ262" s="61"/>
      <c r="AK262" s="62"/>
      <c r="AL262" s="63"/>
      <c r="AM262" s="64"/>
      <c r="AN262" s="65" t="e">
        <v>#N/A</v>
      </c>
      <c r="AO262" s="61" t="e">
        <v>#N/A</v>
      </c>
      <c r="AP262" s="61" t="e">
        <v>#N/A</v>
      </c>
      <c r="AQ262" s="61" t="e">
        <v>#N/A</v>
      </c>
      <c r="AR262" s="61" t="e">
        <v>#N/A</v>
      </c>
      <c r="AS262" s="61" t="e">
        <v>#N/A</v>
      </c>
      <c r="AT262" s="61" t="e">
        <v>#N/A</v>
      </c>
      <c r="AU262" s="61" t="e">
        <v>#N/A</v>
      </c>
      <c r="AV262" s="61" t="e">
        <v>#N/A</v>
      </c>
      <c r="AW262" s="61" t="e">
        <v>#N/A</v>
      </c>
      <c r="AX262" s="65" t="e">
        <v>#N/A</v>
      </c>
      <c r="AY262" s="66">
        <v>0.52700000000000002</v>
      </c>
      <c r="AZ262" s="61">
        <v>6.3390000000000004</v>
      </c>
      <c r="BA262" s="61">
        <v>44.164000000000001</v>
      </c>
      <c r="BB262" s="61">
        <v>51.03</v>
      </c>
      <c r="BC262" s="61">
        <v>7.4999999999999997E-2</v>
      </c>
      <c r="BD262" s="61">
        <v>0.35699999999999998</v>
      </c>
      <c r="BE262" s="61">
        <v>2.5999999999999999E-2</v>
      </c>
      <c r="BF262" s="61" t="s">
        <v>122</v>
      </c>
      <c r="BG262" s="61">
        <v>6.0880000000000001</v>
      </c>
      <c r="BH262" s="61">
        <v>2.859</v>
      </c>
      <c r="BI262" s="61">
        <v>1.4999999999999999E-2</v>
      </c>
      <c r="BJ262" s="61">
        <v>8.9619999999999997</v>
      </c>
      <c r="BK262" s="66">
        <v>9.42</v>
      </c>
      <c r="BL262" s="67">
        <v>8.6910000000000007</v>
      </c>
      <c r="BM262" s="61" t="s">
        <v>121</v>
      </c>
      <c r="BN262" s="61" t="s">
        <v>121</v>
      </c>
      <c r="BO262" s="61" t="s">
        <v>121</v>
      </c>
      <c r="BP262" s="61">
        <v>8.6910000000000007</v>
      </c>
      <c r="BQ262" s="61">
        <v>204.46899999999999</v>
      </c>
      <c r="BR262" s="61">
        <v>14.077999999999999</v>
      </c>
      <c r="BS262" s="61">
        <v>0.40600000000000003</v>
      </c>
      <c r="BT262" s="61">
        <v>1.381</v>
      </c>
      <c r="BU262" s="61">
        <v>12.504</v>
      </c>
      <c r="BV262" s="61">
        <v>23.321000000000002</v>
      </c>
      <c r="BW262" s="61">
        <v>35.825000000000003</v>
      </c>
      <c r="BX262" s="67">
        <v>256.15899999999999</v>
      </c>
      <c r="BY262" s="68">
        <v>98799</v>
      </c>
      <c r="BZ262" s="68">
        <v>94944</v>
      </c>
      <c r="CA262" s="69">
        <v>6536</v>
      </c>
      <c r="CB262" s="68">
        <v>138565</v>
      </c>
      <c r="CC262" s="68">
        <v>5977</v>
      </c>
      <c r="CD262" s="61"/>
      <c r="CE262" s="64"/>
      <c r="CF262" s="64"/>
      <c r="CG262" s="70">
        <f t="shared" si="21"/>
        <v>5819.73</v>
      </c>
      <c r="CH262" s="70">
        <f t="shared" si="22"/>
        <v>274.512</v>
      </c>
      <c r="CI262" s="70">
        <f t="shared" si="23"/>
        <v>251.03399999999999</v>
      </c>
      <c r="CJ262" s="70">
        <f t="shared" si="20"/>
        <v>4149.558</v>
      </c>
      <c r="CK262" s="70">
        <f t="shared" si="20"/>
        <v>3987.6480000000001</v>
      </c>
      <c r="CL262" s="70">
        <f t="shared" si="24"/>
        <v>251.03399999999999</v>
      </c>
      <c r="CM262" s="61"/>
      <c r="CN262" s="61"/>
      <c r="CO262" s="61"/>
      <c r="CP262" s="61"/>
      <c r="CQ262" s="61"/>
      <c r="CR262" s="61"/>
      <c r="CS262" s="61"/>
      <c r="CT262" s="61"/>
      <c r="CU262" s="61"/>
      <c r="CV262" s="61"/>
      <c r="CW262" s="61"/>
      <c r="CX262" s="61"/>
      <c r="CY262" s="61"/>
      <c r="CZ262" s="61"/>
      <c r="DA262" s="61"/>
      <c r="DB262" s="61"/>
      <c r="DC262" s="61"/>
      <c r="DD262" s="61"/>
      <c r="DE262" s="61"/>
      <c r="DF262" s="61"/>
      <c r="DG262" s="61"/>
      <c r="DH262" s="61"/>
      <c r="DI262" s="61"/>
      <c r="DJ262" s="61"/>
      <c r="DK262" s="61"/>
      <c r="DL262" s="61"/>
      <c r="DM262" s="61"/>
      <c r="DN262" s="61"/>
      <c r="DO262" s="61"/>
      <c r="DP262" s="61"/>
      <c r="DQ262" s="61"/>
      <c r="DR262" s="61"/>
      <c r="DS262" s="61"/>
      <c r="DT262" s="61"/>
      <c r="DU262" s="61"/>
      <c r="DV262" s="61"/>
      <c r="DW262" s="61"/>
      <c r="DX262" s="61"/>
      <c r="DY262" s="61"/>
      <c r="DZ262" s="61"/>
      <c r="EA262" s="61"/>
      <c r="EB262" s="61"/>
      <c r="EC262" s="61"/>
      <c r="ED262" s="61"/>
      <c r="EE262" s="61"/>
      <c r="EF262" s="61"/>
      <c r="EG262" s="61"/>
      <c r="EH262" s="61"/>
      <c r="EI262" s="61"/>
      <c r="EJ262" s="61"/>
      <c r="EK262" s="61"/>
      <c r="EL262" s="61"/>
      <c r="EM262" s="61"/>
      <c r="EN262" s="61"/>
      <c r="EO262" s="61"/>
      <c r="EP262" s="61"/>
      <c r="EQ262" s="61"/>
      <c r="ER262" s="61"/>
      <c r="ES262" s="61"/>
      <c r="ET262" s="61"/>
      <c r="EU262" s="61"/>
      <c r="EV262" s="61"/>
      <c r="EW262" s="61"/>
    </row>
    <row r="263" spans="1:153">
      <c r="A263" s="56">
        <v>34578</v>
      </c>
      <c r="B263" s="57"/>
      <c r="C263" s="7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71"/>
      <c r="P263" s="60">
        <v>180.928</v>
      </c>
      <c r="Q263" s="61">
        <v>17.765000000000001</v>
      </c>
      <c r="R263" s="61">
        <v>238.96700000000001</v>
      </c>
      <c r="S263" s="61">
        <v>433.62200000000001</v>
      </c>
      <c r="T263" s="61">
        <v>171.00800000000001</v>
      </c>
      <c r="U263" s="61">
        <v>14.102</v>
      </c>
      <c r="V263" s="61">
        <v>6.3220000000000001</v>
      </c>
      <c r="W263" s="61">
        <v>3.222</v>
      </c>
      <c r="X263" s="61">
        <v>180.928</v>
      </c>
      <c r="Y263" s="61">
        <v>40.274000000000001</v>
      </c>
      <c r="Z263" s="61">
        <v>14.752000000000001</v>
      </c>
      <c r="AA263" s="61">
        <v>235.95400000000001</v>
      </c>
      <c r="AB263" s="60">
        <v>430.608</v>
      </c>
      <c r="AC263" s="62"/>
      <c r="AD263" s="61"/>
      <c r="AE263" s="61"/>
      <c r="AF263" s="61"/>
      <c r="AG263" s="61"/>
      <c r="AH263" s="61"/>
      <c r="AI263" s="61"/>
      <c r="AJ263" s="61"/>
      <c r="AK263" s="62"/>
      <c r="AL263" s="63"/>
      <c r="AM263" s="64"/>
      <c r="AN263" s="65" t="e">
        <v>#N/A</v>
      </c>
      <c r="AO263" s="61" t="e">
        <v>#N/A</v>
      </c>
      <c r="AP263" s="61" t="e">
        <v>#N/A</v>
      </c>
      <c r="AQ263" s="61" t="e">
        <v>#N/A</v>
      </c>
      <c r="AR263" s="61" t="e">
        <v>#N/A</v>
      </c>
      <c r="AS263" s="61" t="e">
        <v>#N/A</v>
      </c>
      <c r="AT263" s="61" t="e">
        <v>#N/A</v>
      </c>
      <c r="AU263" s="61" t="e">
        <v>#N/A</v>
      </c>
      <c r="AV263" s="61" t="e">
        <v>#N/A</v>
      </c>
      <c r="AW263" s="61" t="e">
        <v>#N/A</v>
      </c>
      <c r="AX263" s="65" t="e">
        <v>#N/A</v>
      </c>
      <c r="AY263" s="66">
        <v>0.51</v>
      </c>
      <c r="AZ263" s="61">
        <v>5.7809999999999997</v>
      </c>
      <c r="BA263" s="61">
        <v>42.74</v>
      </c>
      <c r="BB263" s="61">
        <v>49.030999999999999</v>
      </c>
      <c r="BC263" s="61">
        <v>6.0999999999999999E-2</v>
      </c>
      <c r="BD263" s="61">
        <v>0.34499999999999997</v>
      </c>
      <c r="BE263" s="61">
        <v>2.4E-2</v>
      </c>
      <c r="BF263" s="61" t="s">
        <v>122</v>
      </c>
      <c r="BG263" s="61">
        <v>5.8860000000000001</v>
      </c>
      <c r="BH263" s="61">
        <v>2.6360000000000001</v>
      </c>
      <c r="BI263" s="61">
        <v>1.2E-2</v>
      </c>
      <c r="BJ263" s="61">
        <v>8.5350000000000001</v>
      </c>
      <c r="BK263" s="66">
        <v>8.9649999999999999</v>
      </c>
      <c r="BL263" s="67">
        <v>6.9180000000000001</v>
      </c>
      <c r="BM263" s="61" t="s">
        <v>121</v>
      </c>
      <c r="BN263" s="61" t="s">
        <v>121</v>
      </c>
      <c r="BO263" s="61" t="s">
        <v>121</v>
      </c>
      <c r="BP263" s="61">
        <v>6.9180000000000001</v>
      </c>
      <c r="BQ263" s="61">
        <v>166.98400000000001</v>
      </c>
      <c r="BR263" s="61">
        <v>13.016999999999999</v>
      </c>
      <c r="BS263" s="61">
        <v>0.51200000000000001</v>
      </c>
      <c r="BT263" s="61">
        <v>3.222</v>
      </c>
      <c r="BU263" s="61">
        <v>11.426</v>
      </c>
      <c r="BV263" s="61">
        <v>21.501999999999999</v>
      </c>
      <c r="BW263" s="61">
        <v>32.927</v>
      </c>
      <c r="BX263" s="67">
        <v>216.66300000000001</v>
      </c>
      <c r="BY263" s="68">
        <v>98537</v>
      </c>
      <c r="BZ263" s="68">
        <v>93976</v>
      </c>
      <c r="CA263" s="69">
        <v>5791</v>
      </c>
      <c r="CB263" s="68">
        <v>144728</v>
      </c>
      <c r="CC263" s="68">
        <v>4189</v>
      </c>
      <c r="CD263" s="61"/>
      <c r="CE263" s="64"/>
      <c r="CF263" s="64"/>
      <c r="CG263" s="70">
        <f t="shared" si="21"/>
        <v>6078.576</v>
      </c>
      <c r="CH263" s="70">
        <f t="shared" si="22"/>
        <v>243.22200000000001</v>
      </c>
      <c r="CI263" s="70">
        <f t="shared" si="23"/>
        <v>175.93799999999999</v>
      </c>
      <c r="CJ263" s="70">
        <f t="shared" ref="CJ263:CK326" si="25">BY263*42/1000</f>
        <v>4138.5540000000001</v>
      </c>
      <c r="CK263" s="70">
        <f t="shared" si="25"/>
        <v>3946.9920000000002</v>
      </c>
      <c r="CL263" s="70">
        <f t="shared" si="24"/>
        <v>175.93799999999999</v>
      </c>
      <c r="CM263" s="61"/>
      <c r="CN263" s="61"/>
      <c r="CO263" s="61"/>
      <c r="CP263" s="61"/>
      <c r="CQ263" s="61"/>
      <c r="CR263" s="61"/>
      <c r="CS263" s="61"/>
      <c r="CT263" s="61"/>
      <c r="CU263" s="61"/>
      <c r="CV263" s="61"/>
      <c r="CW263" s="61"/>
      <c r="CX263" s="61"/>
      <c r="CY263" s="61"/>
      <c r="CZ263" s="61"/>
      <c r="DA263" s="61"/>
      <c r="DB263" s="61"/>
      <c r="DC263" s="61"/>
      <c r="DD263" s="61"/>
      <c r="DE263" s="61"/>
      <c r="DF263" s="61"/>
      <c r="DG263" s="61"/>
      <c r="DH263" s="61"/>
      <c r="DI263" s="61"/>
      <c r="DJ263" s="61"/>
      <c r="DK263" s="61"/>
      <c r="DL263" s="61"/>
      <c r="DM263" s="61"/>
      <c r="DN263" s="61"/>
      <c r="DO263" s="61"/>
      <c r="DP263" s="61"/>
      <c r="DQ263" s="61"/>
      <c r="DR263" s="61"/>
      <c r="DS263" s="61"/>
      <c r="DT263" s="61"/>
      <c r="DU263" s="61"/>
      <c r="DV263" s="61"/>
      <c r="DW263" s="61"/>
      <c r="DX263" s="61"/>
      <c r="DY263" s="61"/>
      <c r="DZ263" s="61"/>
      <c r="EA263" s="61"/>
      <c r="EB263" s="61"/>
      <c r="EC263" s="61"/>
      <c r="ED263" s="61"/>
      <c r="EE263" s="61"/>
      <c r="EF263" s="61"/>
      <c r="EG263" s="61"/>
      <c r="EH263" s="61"/>
      <c r="EI263" s="61"/>
      <c r="EJ263" s="61"/>
      <c r="EK263" s="61"/>
      <c r="EL263" s="61"/>
      <c r="EM263" s="61"/>
      <c r="EN263" s="61"/>
      <c r="EO263" s="61"/>
      <c r="EP263" s="61"/>
      <c r="EQ263" s="61"/>
      <c r="ER263" s="61"/>
      <c r="ES263" s="61"/>
      <c r="ET263" s="61"/>
      <c r="EU263" s="61"/>
      <c r="EV263" s="61"/>
      <c r="EW263" s="61"/>
    </row>
    <row r="264" spans="1:153">
      <c r="A264" s="56">
        <v>34608</v>
      </c>
      <c r="B264" s="57"/>
      <c r="C264" s="7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71"/>
      <c r="P264" s="60">
        <v>209.489</v>
      </c>
      <c r="Q264" s="61">
        <v>16.114000000000001</v>
      </c>
      <c r="R264" s="61">
        <v>271.59899999999999</v>
      </c>
      <c r="S264" s="61">
        <v>476.298</v>
      </c>
      <c r="T264" s="61">
        <v>180.67099999999999</v>
      </c>
      <c r="U264" s="61">
        <v>14.475</v>
      </c>
      <c r="V264" s="61">
        <v>5.8710000000000004</v>
      </c>
      <c r="W264" s="61">
        <v>3.6829999999999998</v>
      </c>
      <c r="X264" s="61">
        <v>209.489</v>
      </c>
      <c r="Y264" s="61">
        <v>45.994999999999997</v>
      </c>
      <c r="Z264" s="61">
        <v>17.616</v>
      </c>
      <c r="AA264" s="61">
        <v>273.101</v>
      </c>
      <c r="AB264" s="60">
        <v>477.8</v>
      </c>
      <c r="AC264" s="62"/>
      <c r="AD264" s="61"/>
      <c r="AE264" s="61"/>
      <c r="AF264" s="61"/>
      <c r="AG264" s="61"/>
      <c r="AH264" s="61"/>
      <c r="AI264" s="61"/>
      <c r="AJ264" s="61"/>
      <c r="AK264" s="62"/>
      <c r="AL264" s="63"/>
      <c r="AM264" s="64"/>
      <c r="AN264" s="65" t="e">
        <v>#N/A</v>
      </c>
      <c r="AO264" s="61" t="e">
        <v>#N/A</v>
      </c>
      <c r="AP264" s="61" t="e">
        <v>#N/A</v>
      </c>
      <c r="AQ264" s="61" t="e">
        <v>#N/A</v>
      </c>
      <c r="AR264" s="61" t="e">
        <v>#N/A</v>
      </c>
      <c r="AS264" s="61" t="e">
        <v>#N/A</v>
      </c>
      <c r="AT264" s="61" t="e">
        <v>#N/A</v>
      </c>
      <c r="AU264" s="61" t="e">
        <v>#N/A</v>
      </c>
      <c r="AV264" s="61" t="e">
        <v>#N/A</v>
      </c>
      <c r="AW264" s="61" t="e">
        <v>#N/A</v>
      </c>
      <c r="AX264" s="65" t="e">
        <v>#N/A</v>
      </c>
      <c r="AY264" s="66">
        <v>0.52700000000000002</v>
      </c>
      <c r="AZ264" s="61">
        <v>5.2690000000000001</v>
      </c>
      <c r="BA264" s="61">
        <v>44.164000000000001</v>
      </c>
      <c r="BB264" s="61">
        <v>49.96</v>
      </c>
      <c r="BC264" s="61">
        <v>6.4000000000000001E-2</v>
      </c>
      <c r="BD264" s="61">
        <v>0.35699999999999998</v>
      </c>
      <c r="BE264" s="61">
        <v>2.1000000000000001E-2</v>
      </c>
      <c r="BF264" s="61" t="s">
        <v>122</v>
      </c>
      <c r="BG264" s="61">
        <v>6.1</v>
      </c>
      <c r="BH264" s="61">
        <v>3.1469999999999998</v>
      </c>
      <c r="BI264" s="61">
        <v>1.7999999999999999E-2</v>
      </c>
      <c r="BJ264" s="61">
        <v>9.266</v>
      </c>
      <c r="BK264" s="66">
        <v>9.7089999999999996</v>
      </c>
      <c r="BL264" s="67">
        <v>10.446999999999999</v>
      </c>
      <c r="BM264" s="61" t="s">
        <v>121</v>
      </c>
      <c r="BN264" s="61" t="s">
        <v>121</v>
      </c>
      <c r="BO264" s="61" t="s">
        <v>121</v>
      </c>
      <c r="BP264" s="61">
        <v>10.446999999999999</v>
      </c>
      <c r="BQ264" s="61">
        <v>176.41900000000001</v>
      </c>
      <c r="BR264" s="61">
        <v>13.353999999999999</v>
      </c>
      <c r="BS264" s="61">
        <v>0.57499999999999996</v>
      </c>
      <c r="BT264" s="61">
        <v>3.6829999999999998</v>
      </c>
      <c r="BU264" s="61">
        <v>14.256</v>
      </c>
      <c r="BV264" s="61">
        <v>25.667999999999999</v>
      </c>
      <c r="BW264" s="61">
        <v>39.924999999999997</v>
      </c>
      <c r="BX264" s="67">
        <v>233.95599999999999</v>
      </c>
      <c r="BY264" s="68">
        <v>99292</v>
      </c>
      <c r="BZ264" s="68">
        <v>95052</v>
      </c>
      <c r="CA264" s="69">
        <v>4932</v>
      </c>
      <c r="CB264" s="68">
        <v>145966</v>
      </c>
      <c r="CC264" s="68">
        <v>7934</v>
      </c>
      <c r="CD264" s="61"/>
      <c r="CE264" s="64"/>
      <c r="CF264" s="64"/>
      <c r="CG264" s="70">
        <f t="shared" si="21"/>
        <v>6130.5720000000001</v>
      </c>
      <c r="CH264" s="70">
        <f t="shared" si="22"/>
        <v>207.14400000000001</v>
      </c>
      <c r="CI264" s="70">
        <f t="shared" si="23"/>
        <v>333.22800000000001</v>
      </c>
      <c r="CJ264" s="70">
        <f t="shared" si="25"/>
        <v>4170.2640000000001</v>
      </c>
      <c r="CK264" s="70">
        <f t="shared" si="25"/>
        <v>3992.1840000000002</v>
      </c>
      <c r="CL264" s="70">
        <f t="shared" si="24"/>
        <v>333.22800000000001</v>
      </c>
      <c r="CM264" s="61"/>
      <c r="CN264" s="61"/>
      <c r="CO264" s="61"/>
      <c r="CP264" s="61"/>
      <c r="CQ264" s="61"/>
      <c r="CR264" s="61"/>
      <c r="CS264" s="61"/>
      <c r="CT264" s="61"/>
      <c r="CU264" s="61"/>
      <c r="CV264" s="61"/>
      <c r="CW264" s="61"/>
      <c r="CX264" s="61"/>
      <c r="CY264" s="61"/>
      <c r="CZ264" s="61"/>
      <c r="DA264" s="61"/>
      <c r="DB264" s="61"/>
      <c r="DC264" s="61"/>
      <c r="DD264" s="61"/>
      <c r="DE264" s="61"/>
      <c r="DF264" s="61"/>
      <c r="DG264" s="61"/>
      <c r="DH264" s="61"/>
      <c r="DI264" s="61"/>
      <c r="DJ264" s="61"/>
      <c r="DK264" s="61"/>
      <c r="DL264" s="61"/>
      <c r="DM264" s="61"/>
      <c r="DN264" s="61"/>
      <c r="DO264" s="61"/>
      <c r="DP264" s="61"/>
      <c r="DQ264" s="61"/>
      <c r="DR264" s="61"/>
      <c r="DS264" s="61"/>
      <c r="DT264" s="61"/>
      <c r="DU264" s="61"/>
      <c r="DV264" s="61"/>
      <c r="DW264" s="61"/>
      <c r="DX264" s="61"/>
      <c r="DY264" s="61"/>
      <c r="DZ264" s="61"/>
      <c r="EA264" s="61"/>
      <c r="EB264" s="61"/>
      <c r="EC264" s="61"/>
      <c r="ED264" s="61"/>
      <c r="EE264" s="61"/>
      <c r="EF264" s="61"/>
      <c r="EG264" s="61"/>
      <c r="EH264" s="61"/>
      <c r="EI264" s="61"/>
      <c r="EJ264" s="61"/>
      <c r="EK264" s="61"/>
      <c r="EL264" s="61"/>
      <c r="EM264" s="61"/>
      <c r="EN264" s="61"/>
      <c r="EO264" s="61"/>
      <c r="EP264" s="61"/>
      <c r="EQ264" s="61"/>
      <c r="ER264" s="61"/>
      <c r="ES264" s="61"/>
      <c r="ET264" s="61"/>
      <c r="EU264" s="61"/>
      <c r="EV264" s="61"/>
      <c r="EW264" s="61"/>
    </row>
    <row r="265" spans="1:153">
      <c r="A265" s="56">
        <v>34639</v>
      </c>
      <c r="B265" s="57"/>
      <c r="C265" s="7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71"/>
      <c r="P265" s="60">
        <v>198.71600000000001</v>
      </c>
      <c r="Q265" s="61">
        <v>17.753</v>
      </c>
      <c r="R265" s="61">
        <v>261.43599999999998</v>
      </c>
      <c r="S265" s="61">
        <v>482.928</v>
      </c>
      <c r="T265" s="61">
        <v>197.506</v>
      </c>
      <c r="U265" s="61">
        <v>14.295</v>
      </c>
      <c r="V265" s="61">
        <v>4.6289999999999996</v>
      </c>
      <c r="W265" s="61">
        <v>5.0640000000000001</v>
      </c>
      <c r="X265" s="61">
        <v>198.71600000000001</v>
      </c>
      <c r="Y265" s="61">
        <v>44.966999999999999</v>
      </c>
      <c r="Z265" s="61">
        <v>17.405999999999999</v>
      </c>
      <c r="AA265" s="61">
        <v>261.089</v>
      </c>
      <c r="AB265" s="60">
        <v>482.58199999999999</v>
      </c>
      <c r="AC265" s="62"/>
      <c r="AD265" s="61"/>
      <c r="AE265" s="61"/>
      <c r="AF265" s="61"/>
      <c r="AG265" s="61"/>
      <c r="AH265" s="61"/>
      <c r="AI265" s="61"/>
      <c r="AJ265" s="61"/>
      <c r="AK265" s="62"/>
      <c r="AL265" s="63"/>
      <c r="AM265" s="64"/>
      <c r="AN265" s="65" t="e">
        <v>#N/A</v>
      </c>
      <c r="AO265" s="61" t="e">
        <v>#N/A</v>
      </c>
      <c r="AP265" s="61" t="e">
        <v>#N/A</v>
      </c>
      <c r="AQ265" s="61" t="e">
        <v>#N/A</v>
      </c>
      <c r="AR265" s="61" t="e">
        <v>#N/A</v>
      </c>
      <c r="AS265" s="61" t="e">
        <v>#N/A</v>
      </c>
      <c r="AT265" s="61" t="e">
        <v>#N/A</v>
      </c>
      <c r="AU265" s="61" t="e">
        <v>#N/A</v>
      </c>
      <c r="AV265" s="61" t="e">
        <v>#N/A</v>
      </c>
      <c r="AW265" s="61" t="e">
        <v>#N/A</v>
      </c>
      <c r="AX265" s="65" t="e">
        <v>#N/A</v>
      </c>
      <c r="AY265" s="66">
        <v>0.51</v>
      </c>
      <c r="AZ265" s="61">
        <v>4.3220000000000001</v>
      </c>
      <c r="BA265" s="61">
        <v>42.74</v>
      </c>
      <c r="BB265" s="61">
        <v>47.572000000000003</v>
      </c>
      <c r="BC265" s="61">
        <v>7.0000000000000007E-2</v>
      </c>
      <c r="BD265" s="61">
        <v>0.34499999999999997</v>
      </c>
      <c r="BE265" s="61">
        <v>1.7999999999999999E-2</v>
      </c>
      <c r="BF265" s="61" t="s">
        <v>122</v>
      </c>
      <c r="BG265" s="61">
        <v>5.9</v>
      </c>
      <c r="BH265" s="61">
        <v>3.09</v>
      </c>
      <c r="BI265" s="61">
        <v>1.7000000000000001E-2</v>
      </c>
      <c r="BJ265" s="61">
        <v>9.0069999999999997</v>
      </c>
      <c r="BK265" s="66">
        <v>9.44</v>
      </c>
      <c r="BL265" s="67">
        <v>9.5380000000000003</v>
      </c>
      <c r="BM265" s="61" t="s">
        <v>121</v>
      </c>
      <c r="BN265" s="61" t="s">
        <v>121</v>
      </c>
      <c r="BO265" s="61" t="s">
        <v>121</v>
      </c>
      <c r="BP265" s="61">
        <v>9.5380000000000003</v>
      </c>
      <c r="BQ265" s="61">
        <v>192.858</v>
      </c>
      <c r="BR265" s="61">
        <v>13.21</v>
      </c>
      <c r="BS265" s="61">
        <v>0.28499999999999998</v>
      </c>
      <c r="BT265" s="61">
        <v>5.0640000000000001</v>
      </c>
      <c r="BU265" s="61">
        <v>13.36</v>
      </c>
      <c r="BV265" s="61">
        <v>25.199000000000002</v>
      </c>
      <c r="BW265" s="61">
        <v>38.558999999999997</v>
      </c>
      <c r="BX265" s="67">
        <v>249.97499999999999</v>
      </c>
      <c r="BY265" s="68">
        <v>98112</v>
      </c>
      <c r="BZ265" s="68">
        <v>95407</v>
      </c>
      <c r="CA265" s="69">
        <v>4965</v>
      </c>
      <c r="CB265" s="68">
        <v>147317</v>
      </c>
      <c r="CC265" s="68">
        <v>6319</v>
      </c>
      <c r="CD265" s="61"/>
      <c r="CE265" s="64"/>
      <c r="CF265" s="64"/>
      <c r="CG265" s="70">
        <f t="shared" si="21"/>
        <v>6187.3140000000003</v>
      </c>
      <c r="CH265" s="70">
        <f t="shared" si="22"/>
        <v>208.53</v>
      </c>
      <c r="CI265" s="70">
        <f t="shared" si="23"/>
        <v>265.39800000000002</v>
      </c>
      <c r="CJ265" s="70">
        <f t="shared" si="25"/>
        <v>4120.7039999999997</v>
      </c>
      <c r="CK265" s="70">
        <f t="shared" si="25"/>
        <v>4007.0940000000001</v>
      </c>
      <c r="CL265" s="70">
        <f t="shared" si="24"/>
        <v>265.39800000000002</v>
      </c>
      <c r="CM265" s="61"/>
      <c r="CN265" s="61"/>
      <c r="CO265" s="61"/>
      <c r="CP265" s="61"/>
      <c r="CQ265" s="61"/>
      <c r="CR265" s="61"/>
      <c r="CS265" s="61"/>
      <c r="CT265" s="61"/>
      <c r="CU265" s="61"/>
      <c r="CV265" s="61"/>
      <c r="CW265" s="61"/>
      <c r="CX265" s="61"/>
      <c r="CY265" s="61"/>
      <c r="CZ265" s="61"/>
      <c r="DA265" s="61"/>
      <c r="DB265" s="61"/>
      <c r="DC265" s="61"/>
      <c r="DD265" s="61"/>
      <c r="DE265" s="61"/>
      <c r="DF265" s="61"/>
      <c r="DG265" s="61"/>
      <c r="DH265" s="61"/>
      <c r="DI265" s="61"/>
      <c r="DJ265" s="61"/>
      <c r="DK265" s="61"/>
      <c r="DL265" s="61"/>
      <c r="DM265" s="61"/>
      <c r="DN265" s="61"/>
      <c r="DO265" s="61"/>
      <c r="DP265" s="61"/>
      <c r="DQ265" s="61"/>
      <c r="DR265" s="61"/>
      <c r="DS265" s="61"/>
      <c r="DT265" s="61"/>
      <c r="DU265" s="61"/>
      <c r="DV265" s="61"/>
      <c r="DW265" s="61"/>
      <c r="DX265" s="61"/>
      <c r="DY265" s="61"/>
      <c r="DZ265" s="61"/>
      <c r="EA265" s="61"/>
      <c r="EB265" s="61"/>
      <c r="EC265" s="61"/>
      <c r="ED265" s="61"/>
      <c r="EE265" s="61"/>
      <c r="EF265" s="61"/>
      <c r="EG265" s="61"/>
      <c r="EH265" s="61"/>
      <c r="EI265" s="61"/>
      <c r="EJ265" s="61"/>
      <c r="EK265" s="61"/>
      <c r="EL265" s="61"/>
      <c r="EM265" s="61"/>
      <c r="EN265" s="61"/>
      <c r="EO265" s="61"/>
      <c r="EP265" s="61"/>
      <c r="EQ265" s="61"/>
      <c r="ER265" s="61"/>
      <c r="ES265" s="61"/>
      <c r="ET265" s="61"/>
      <c r="EU265" s="61"/>
      <c r="EV265" s="61"/>
      <c r="EW265" s="61"/>
    </row>
    <row r="266" spans="1:153">
      <c r="A266" s="56">
        <v>34669</v>
      </c>
      <c r="B266" s="57"/>
      <c r="C266" s="7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71"/>
      <c r="P266" s="60">
        <v>194.46799999999999</v>
      </c>
      <c r="Q266" s="61">
        <v>18.576000000000001</v>
      </c>
      <c r="R266" s="61">
        <v>262.48200000000003</v>
      </c>
      <c r="S266" s="61">
        <v>512.70899999999995</v>
      </c>
      <c r="T266" s="61">
        <v>229.65799999999999</v>
      </c>
      <c r="U266" s="61">
        <v>14.616</v>
      </c>
      <c r="V266" s="61">
        <v>4.2270000000000003</v>
      </c>
      <c r="W266" s="61">
        <v>1.726</v>
      </c>
      <c r="X266" s="61">
        <v>194.46799999999999</v>
      </c>
      <c r="Y266" s="61">
        <v>49.439</v>
      </c>
      <c r="Z266" s="61">
        <v>18.800999999999998</v>
      </c>
      <c r="AA266" s="61">
        <v>262.70800000000003</v>
      </c>
      <c r="AB266" s="60">
        <v>512.93499999999995</v>
      </c>
      <c r="AC266" s="62"/>
      <c r="AD266" s="61"/>
      <c r="AE266" s="61"/>
      <c r="AF266" s="61"/>
      <c r="AG266" s="61"/>
      <c r="AH266" s="61"/>
      <c r="AI266" s="61"/>
      <c r="AJ266" s="61"/>
      <c r="AK266" s="62"/>
      <c r="AL266" s="63"/>
      <c r="AM266" s="64"/>
      <c r="AN266" s="65" t="e">
        <v>#N/A</v>
      </c>
      <c r="AO266" s="61" t="e">
        <v>#N/A</v>
      </c>
      <c r="AP266" s="61" t="e">
        <v>#N/A</v>
      </c>
      <c r="AQ266" s="61" t="e">
        <v>#N/A</v>
      </c>
      <c r="AR266" s="61" t="e">
        <v>#N/A</v>
      </c>
      <c r="AS266" s="61" t="e">
        <v>#N/A</v>
      </c>
      <c r="AT266" s="61" t="e">
        <v>#N/A</v>
      </c>
      <c r="AU266" s="61" t="e">
        <v>#N/A</v>
      </c>
      <c r="AV266" s="61" t="e">
        <v>#N/A</v>
      </c>
      <c r="AW266" s="61" t="e">
        <v>#N/A</v>
      </c>
      <c r="AX266" s="65" t="e">
        <v>#N/A</v>
      </c>
      <c r="AY266" s="66">
        <v>0.52700000000000002</v>
      </c>
      <c r="AZ266" s="61">
        <v>4.1029999999999998</v>
      </c>
      <c r="BA266" s="61">
        <v>44.164000000000001</v>
      </c>
      <c r="BB266" s="61">
        <v>48.793999999999997</v>
      </c>
      <c r="BC266" s="61">
        <v>8.2000000000000003E-2</v>
      </c>
      <c r="BD266" s="61">
        <v>0.35699999999999998</v>
      </c>
      <c r="BE266" s="61">
        <v>1.7000000000000001E-2</v>
      </c>
      <c r="BF266" s="61" t="s">
        <v>122</v>
      </c>
      <c r="BG266" s="61">
        <v>6.0890000000000004</v>
      </c>
      <c r="BH266" s="61">
        <v>3.48</v>
      </c>
      <c r="BI266" s="61">
        <v>1.9E-2</v>
      </c>
      <c r="BJ266" s="61">
        <v>9.5869999999999997</v>
      </c>
      <c r="BK266" s="66">
        <v>10.042999999999999</v>
      </c>
      <c r="BL266" s="67">
        <v>10.558999999999999</v>
      </c>
      <c r="BM266" s="61" t="s">
        <v>121</v>
      </c>
      <c r="BN266" s="61" t="s">
        <v>121</v>
      </c>
      <c r="BO266" s="61" t="s">
        <v>121</v>
      </c>
      <c r="BP266" s="61">
        <v>10.558999999999999</v>
      </c>
      <c r="BQ266" s="61">
        <v>224.25399999999999</v>
      </c>
      <c r="BR266" s="61">
        <v>13.494999999999999</v>
      </c>
      <c r="BS266" s="61">
        <v>0.104</v>
      </c>
      <c r="BT266" s="61">
        <v>1.726</v>
      </c>
      <c r="BU266" s="61">
        <v>12.622999999999999</v>
      </c>
      <c r="BV266" s="61">
        <v>28.382000000000001</v>
      </c>
      <c r="BW266" s="61">
        <v>41.005000000000003</v>
      </c>
      <c r="BX266" s="67">
        <v>280.58300000000003</v>
      </c>
      <c r="BY266" s="68">
        <v>100205</v>
      </c>
      <c r="BZ266" s="68">
        <v>99288</v>
      </c>
      <c r="CA266" s="69">
        <v>5791</v>
      </c>
      <c r="CB266" s="68">
        <v>145220</v>
      </c>
      <c r="CC266" s="68">
        <v>8805</v>
      </c>
      <c r="CD266" s="61"/>
      <c r="CE266" s="64"/>
      <c r="CF266" s="64"/>
      <c r="CG266" s="70">
        <f t="shared" si="21"/>
        <v>6099.24</v>
      </c>
      <c r="CH266" s="70">
        <f t="shared" si="22"/>
        <v>243.22200000000001</v>
      </c>
      <c r="CI266" s="70">
        <f t="shared" si="23"/>
        <v>369.81</v>
      </c>
      <c r="CJ266" s="70">
        <f t="shared" si="25"/>
        <v>4208.6099999999997</v>
      </c>
      <c r="CK266" s="70">
        <f t="shared" si="25"/>
        <v>4170.0959999999995</v>
      </c>
      <c r="CL266" s="70">
        <f t="shared" si="24"/>
        <v>369.81</v>
      </c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  <c r="DL266" s="61"/>
      <c r="DM266" s="61"/>
      <c r="DN266" s="61"/>
      <c r="DO266" s="61"/>
      <c r="DP266" s="61"/>
      <c r="DQ266" s="61"/>
      <c r="DR266" s="61"/>
      <c r="DS266" s="61"/>
      <c r="DT266" s="61"/>
      <c r="DU266" s="61"/>
      <c r="DV266" s="61"/>
      <c r="DW266" s="61"/>
      <c r="DX266" s="61"/>
      <c r="DY266" s="61"/>
      <c r="DZ266" s="61"/>
      <c r="EA266" s="61"/>
      <c r="EB266" s="61"/>
      <c r="EC266" s="61"/>
      <c r="ED266" s="61"/>
      <c r="EE266" s="61"/>
      <c r="EF266" s="61"/>
      <c r="EG266" s="61"/>
      <c r="EH266" s="61"/>
      <c r="EI266" s="61"/>
      <c r="EJ266" s="61"/>
      <c r="EK266" s="61"/>
      <c r="EL266" s="61"/>
      <c r="EM266" s="61"/>
      <c r="EN266" s="61"/>
      <c r="EO266" s="61"/>
      <c r="EP266" s="61"/>
      <c r="EQ266" s="61"/>
      <c r="ER266" s="61"/>
      <c r="ES266" s="61"/>
      <c r="ET266" s="61"/>
      <c r="EU266" s="61"/>
      <c r="EV266" s="61"/>
      <c r="EW266" s="61"/>
    </row>
    <row r="267" spans="1:153">
      <c r="A267" s="56">
        <v>34700</v>
      </c>
      <c r="B267" s="57"/>
      <c r="C267" s="7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71"/>
      <c r="P267" s="60">
        <v>181.661</v>
      </c>
      <c r="Q267" s="61">
        <v>18.454999999999998</v>
      </c>
      <c r="R267" s="61">
        <v>243.46199999999999</v>
      </c>
      <c r="S267" s="61">
        <v>516.50300000000004</v>
      </c>
      <c r="T267" s="61">
        <v>256.44499999999999</v>
      </c>
      <c r="U267" s="61">
        <v>13.067</v>
      </c>
      <c r="V267" s="61">
        <v>3.4710000000000001</v>
      </c>
      <c r="W267" s="61">
        <v>5.8999999999999997E-2</v>
      </c>
      <c r="X267" s="61">
        <v>181.661</v>
      </c>
      <c r="Y267" s="61">
        <v>43.344999999999999</v>
      </c>
      <c r="Z267" s="61">
        <v>17.366</v>
      </c>
      <c r="AA267" s="61">
        <v>242.37299999999999</v>
      </c>
      <c r="AB267" s="60">
        <v>515.41399999999999</v>
      </c>
      <c r="AC267" s="62"/>
      <c r="AD267" s="61"/>
      <c r="AE267" s="61"/>
      <c r="AF267" s="61"/>
      <c r="AG267" s="61"/>
      <c r="AH267" s="61"/>
      <c r="AI267" s="61"/>
      <c r="AJ267" s="61"/>
      <c r="AK267" s="62"/>
      <c r="AL267" s="63"/>
      <c r="AM267" s="64"/>
      <c r="AN267" s="65" t="e">
        <v>#N/A</v>
      </c>
      <c r="AO267" s="61" t="e">
        <v>#N/A</v>
      </c>
      <c r="AP267" s="61" t="e">
        <v>#N/A</v>
      </c>
      <c r="AQ267" s="61" t="e">
        <v>#N/A</v>
      </c>
      <c r="AR267" s="61" t="e">
        <v>#N/A</v>
      </c>
      <c r="AS267" s="61" t="e">
        <v>#N/A</v>
      </c>
      <c r="AT267" s="61" t="e">
        <v>#N/A</v>
      </c>
      <c r="AU267" s="61" t="e">
        <v>#N/A</v>
      </c>
      <c r="AV267" s="61" t="e">
        <v>#N/A</v>
      </c>
      <c r="AW267" s="61" t="e">
        <v>#N/A</v>
      </c>
      <c r="AX267" s="65" t="e">
        <v>#N/A</v>
      </c>
      <c r="AY267" s="66">
        <v>0.56100000000000005</v>
      </c>
      <c r="AZ267" s="61">
        <v>3.3980000000000001</v>
      </c>
      <c r="BA267" s="61">
        <v>44.164000000000001</v>
      </c>
      <c r="BB267" s="61">
        <v>48.122999999999998</v>
      </c>
      <c r="BC267" s="61">
        <v>9.8000000000000004E-2</v>
      </c>
      <c r="BD267" s="61">
        <v>0.38200000000000001</v>
      </c>
      <c r="BE267" s="61">
        <v>1.6E-2</v>
      </c>
      <c r="BF267" s="61" t="s">
        <v>122</v>
      </c>
      <c r="BG267" s="61">
        <v>6.1319999999999997</v>
      </c>
      <c r="BH267" s="61">
        <v>3.222</v>
      </c>
      <c r="BI267" s="61">
        <v>1.0999999999999999E-2</v>
      </c>
      <c r="BJ267" s="61">
        <v>9.3650000000000002</v>
      </c>
      <c r="BK267" s="66">
        <v>9.86</v>
      </c>
      <c r="BL267" s="67">
        <v>9.2370000000000001</v>
      </c>
      <c r="BM267" s="61" t="s">
        <v>121</v>
      </c>
      <c r="BN267" s="61" t="s">
        <v>121</v>
      </c>
      <c r="BO267" s="61" t="s">
        <v>121</v>
      </c>
      <c r="BP267" s="61">
        <v>9.2370000000000001</v>
      </c>
      <c r="BQ267" s="61">
        <v>251.971</v>
      </c>
      <c r="BR267" s="61">
        <v>11.87</v>
      </c>
      <c r="BS267" s="61">
        <v>5.3999999999999999E-2</v>
      </c>
      <c r="BT267" s="61">
        <v>5.8999999999999997E-2</v>
      </c>
      <c r="BU267" s="61">
        <v>8.8710000000000004</v>
      </c>
      <c r="BV267" s="61">
        <v>23.742000000000001</v>
      </c>
      <c r="BW267" s="61">
        <v>32.613</v>
      </c>
      <c r="BX267" s="67">
        <v>296.56599999999997</v>
      </c>
      <c r="BY267" s="68">
        <v>94666</v>
      </c>
      <c r="BZ267" s="68">
        <v>105073</v>
      </c>
      <c r="CA267" s="69">
        <v>9705</v>
      </c>
      <c r="CB267" s="68">
        <v>140153</v>
      </c>
      <c r="CC267" s="68">
        <v>4365</v>
      </c>
      <c r="CD267" s="61"/>
      <c r="CE267" s="64"/>
      <c r="CF267" s="64"/>
      <c r="CG267" s="70">
        <f t="shared" si="21"/>
        <v>5886.4260000000004</v>
      </c>
      <c r="CH267" s="70">
        <f t="shared" si="22"/>
        <v>407.61</v>
      </c>
      <c r="CI267" s="70">
        <f t="shared" si="23"/>
        <v>183.33</v>
      </c>
      <c r="CJ267" s="70">
        <f t="shared" si="25"/>
        <v>3975.9720000000002</v>
      </c>
      <c r="CK267" s="70">
        <f t="shared" si="25"/>
        <v>4413.0659999999998</v>
      </c>
      <c r="CL267" s="70">
        <f t="shared" si="24"/>
        <v>183.33</v>
      </c>
      <c r="CM267" s="61"/>
      <c r="CN267" s="61"/>
      <c r="CO267" s="61"/>
      <c r="CP267" s="61"/>
      <c r="CQ267" s="61"/>
      <c r="CR267" s="61"/>
      <c r="CS267" s="61"/>
      <c r="CT267" s="61"/>
      <c r="CU267" s="61"/>
      <c r="CV267" s="61"/>
      <c r="CW267" s="61"/>
      <c r="CX267" s="61"/>
      <c r="CY267" s="61"/>
      <c r="CZ267" s="61"/>
      <c r="DA267" s="61"/>
      <c r="DB267" s="61"/>
      <c r="DC267" s="61"/>
      <c r="DD267" s="61"/>
      <c r="DE267" s="61"/>
      <c r="DF267" s="61"/>
      <c r="DG267" s="61"/>
      <c r="DH267" s="61"/>
      <c r="DI267" s="61"/>
      <c r="DJ267" s="61"/>
      <c r="DK267" s="61"/>
      <c r="DL267" s="61"/>
      <c r="DM267" s="61"/>
      <c r="DN267" s="61"/>
      <c r="DO267" s="61"/>
      <c r="DP267" s="61"/>
      <c r="DQ267" s="61"/>
      <c r="DR267" s="61"/>
      <c r="DS267" s="61"/>
      <c r="DT267" s="61"/>
      <c r="DU267" s="61"/>
      <c r="DV267" s="61"/>
      <c r="DW267" s="61"/>
      <c r="DX267" s="61"/>
      <c r="DY267" s="61"/>
      <c r="DZ267" s="61"/>
      <c r="EA267" s="61"/>
      <c r="EB267" s="61"/>
      <c r="EC267" s="61"/>
      <c r="ED267" s="61"/>
      <c r="EE267" s="61"/>
      <c r="EF267" s="61"/>
      <c r="EG267" s="61"/>
      <c r="EH267" s="61"/>
      <c r="EI267" s="61"/>
      <c r="EJ267" s="61"/>
      <c r="EK267" s="61"/>
      <c r="EL267" s="61"/>
      <c r="EM267" s="61"/>
      <c r="EN267" s="61"/>
      <c r="EO267" s="61"/>
      <c r="EP267" s="61"/>
      <c r="EQ267" s="61"/>
      <c r="ER267" s="61"/>
      <c r="ES267" s="61"/>
      <c r="ET267" s="61"/>
      <c r="EU267" s="61"/>
      <c r="EV267" s="61"/>
      <c r="EW267" s="61"/>
    </row>
    <row r="268" spans="1:153">
      <c r="A268" s="56">
        <v>34731</v>
      </c>
      <c r="B268" s="57"/>
      <c r="C268" s="7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71"/>
      <c r="P268" s="60">
        <v>151.839</v>
      </c>
      <c r="Q268" s="61">
        <v>16.773</v>
      </c>
      <c r="R268" s="61">
        <v>206.65700000000001</v>
      </c>
      <c r="S268" s="61">
        <v>478.62</v>
      </c>
      <c r="T268" s="61">
        <v>258.24400000000003</v>
      </c>
      <c r="U268" s="61">
        <v>9.702</v>
      </c>
      <c r="V268" s="61">
        <v>3.7759999999999998</v>
      </c>
      <c r="W268" s="61">
        <v>0.24099999999999999</v>
      </c>
      <c r="X268" s="61">
        <v>151.839</v>
      </c>
      <c r="Y268" s="61">
        <v>38.045000000000002</v>
      </c>
      <c r="Z268" s="61">
        <v>15.808999999999999</v>
      </c>
      <c r="AA268" s="61">
        <v>205.69300000000001</v>
      </c>
      <c r="AB268" s="60">
        <v>477.65600000000001</v>
      </c>
      <c r="AC268" s="62"/>
      <c r="AD268" s="61"/>
      <c r="AE268" s="61"/>
      <c r="AF268" s="61"/>
      <c r="AG268" s="61"/>
      <c r="AH268" s="61"/>
      <c r="AI268" s="61"/>
      <c r="AJ268" s="61"/>
      <c r="AK268" s="62"/>
      <c r="AL268" s="63"/>
      <c r="AM268" s="64"/>
      <c r="AN268" s="65" t="e">
        <v>#N/A</v>
      </c>
      <c r="AO268" s="61" t="e">
        <v>#N/A</v>
      </c>
      <c r="AP268" s="61" t="e">
        <v>#N/A</v>
      </c>
      <c r="AQ268" s="61" t="e">
        <v>#N/A</v>
      </c>
      <c r="AR268" s="61" t="e">
        <v>#N/A</v>
      </c>
      <c r="AS268" s="61" t="e">
        <v>#N/A</v>
      </c>
      <c r="AT268" s="61" t="e">
        <v>#N/A</v>
      </c>
      <c r="AU268" s="61" t="e">
        <v>#N/A</v>
      </c>
      <c r="AV268" s="61" t="e">
        <v>#N/A</v>
      </c>
      <c r="AW268" s="61" t="e">
        <v>#N/A</v>
      </c>
      <c r="AX268" s="65" t="e">
        <v>#N/A</v>
      </c>
      <c r="AY268" s="66">
        <v>0.50600000000000001</v>
      </c>
      <c r="AZ268" s="61">
        <v>3.6629999999999998</v>
      </c>
      <c r="BA268" s="61">
        <v>39.89</v>
      </c>
      <c r="BB268" s="61">
        <v>44.06</v>
      </c>
      <c r="BC268" s="61">
        <v>9.8000000000000004E-2</v>
      </c>
      <c r="BD268" s="61">
        <v>0.34499999999999997</v>
      </c>
      <c r="BE268" s="61">
        <v>1.7000000000000001E-2</v>
      </c>
      <c r="BF268" s="61" t="s">
        <v>122</v>
      </c>
      <c r="BG268" s="61">
        <v>5.5279999999999996</v>
      </c>
      <c r="BH268" s="61">
        <v>2.7909999999999999</v>
      </c>
      <c r="BI268" s="61">
        <v>0.01</v>
      </c>
      <c r="BJ268" s="61">
        <v>8.33</v>
      </c>
      <c r="BK268" s="66">
        <v>8.7899999999999991</v>
      </c>
      <c r="BL268" s="67">
        <v>8.42</v>
      </c>
      <c r="BM268" s="61" t="s">
        <v>121</v>
      </c>
      <c r="BN268" s="61" t="s">
        <v>121</v>
      </c>
      <c r="BO268" s="61" t="s">
        <v>121</v>
      </c>
      <c r="BP268" s="61">
        <v>8.42</v>
      </c>
      <c r="BQ268" s="61">
        <v>253.739</v>
      </c>
      <c r="BR268" s="61">
        <v>8.6199999999999992</v>
      </c>
      <c r="BS268" s="61">
        <v>9.2999999999999999E-2</v>
      </c>
      <c r="BT268" s="61">
        <v>0.24099999999999999</v>
      </c>
      <c r="BU268" s="61">
        <v>6.9009999999999998</v>
      </c>
      <c r="BV268" s="61">
        <v>20.57</v>
      </c>
      <c r="BW268" s="61">
        <v>27.471</v>
      </c>
      <c r="BX268" s="67">
        <v>290.16399999999999</v>
      </c>
      <c r="BY268" s="68">
        <v>82718</v>
      </c>
      <c r="BZ268" s="68">
        <v>102910</v>
      </c>
      <c r="CA268" s="69">
        <v>8078</v>
      </c>
      <c r="CB268" s="68">
        <v>122092</v>
      </c>
      <c r="CC268" s="68">
        <v>5947</v>
      </c>
      <c r="CD268" s="61"/>
      <c r="CE268" s="64"/>
      <c r="CF268" s="64"/>
      <c r="CG268" s="70">
        <f t="shared" si="21"/>
        <v>5127.8639999999996</v>
      </c>
      <c r="CH268" s="70">
        <f t="shared" si="22"/>
        <v>339.27600000000001</v>
      </c>
      <c r="CI268" s="70">
        <f t="shared" si="23"/>
        <v>249.774</v>
      </c>
      <c r="CJ268" s="70">
        <f t="shared" si="25"/>
        <v>3474.1559999999999</v>
      </c>
      <c r="CK268" s="70">
        <f t="shared" si="25"/>
        <v>4322.22</v>
      </c>
      <c r="CL268" s="70">
        <f t="shared" si="24"/>
        <v>249.774</v>
      </c>
      <c r="CM268" s="61"/>
      <c r="CN268" s="61"/>
      <c r="CO268" s="61"/>
      <c r="CP268" s="61"/>
      <c r="CQ268" s="61"/>
      <c r="CR268" s="61"/>
      <c r="CS268" s="61"/>
      <c r="CT268" s="61"/>
      <c r="CU268" s="61"/>
      <c r="CV268" s="61"/>
      <c r="CW268" s="61"/>
      <c r="CX268" s="61"/>
      <c r="CY268" s="61"/>
      <c r="CZ268" s="61"/>
      <c r="DA268" s="61"/>
      <c r="DB268" s="61"/>
      <c r="DC268" s="61"/>
      <c r="DD268" s="61"/>
      <c r="DE268" s="61"/>
      <c r="DF268" s="61"/>
      <c r="DG268" s="61"/>
      <c r="DH268" s="61"/>
      <c r="DI268" s="61"/>
      <c r="DJ268" s="61"/>
      <c r="DK268" s="61"/>
      <c r="DL268" s="61"/>
      <c r="DM268" s="61"/>
      <c r="DN268" s="61"/>
      <c r="DO268" s="61"/>
      <c r="DP268" s="61"/>
      <c r="DQ268" s="61"/>
      <c r="DR268" s="61"/>
      <c r="DS268" s="61"/>
      <c r="DT268" s="61"/>
      <c r="DU268" s="61"/>
      <c r="DV268" s="61"/>
      <c r="DW268" s="61"/>
      <c r="DX268" s="61"/>
      <c r="DY268" s="61"/>
      <c r="DZ268" s="61"/>
      <c r="EA268" s="61"/>
      <c r="EB268" s="61"/>
      <c r="EC268" s="61"/>
      <c r="ED268" s="61"/>
      <c r="EE268" s="61"/>
      <c r="EF268" s="61"/>
      <c r="EG268" s="61"/>
      <c r="EH268" s="61"/>
      <c r="EI268" s="61"/>
      <c r="EJ268" s="61"/>
      <c r="EK268" s="61"/>
      <c r="EL268" s="61"/>
      <c r="EM268" s="61"/>
      <c r="EN268" s="61"/>
      <c r="EO268" s="61"/>
      <c r="EP268" s="61"/>
      <c r="EQ268" s="61"/>
      <c r="ER268" s="61"/>
      <c r="ES268" s="61"/>
      <c r="ET268" s="61"/>
      <c r="EU268" s="61"/>
      <c r="EV268" s="61"/>
      <c r="EW268" s="61"/>
    </row>
    <row r="269" spans="1:153">
      <c r="A269" s="56">
        <v>34759</v>
      </c>
      <c r="B269" s="57"/>
      <c r="C269" s="7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71"/>
      <c r="P269" s="60">
        <v>181.96600000000001</v>
      </c>
      <c r="Q269" s="61">
        <v>18.161999999999999</v>
      </c>
      <c r="R269" s="61">
        <v>239.82</v>
      </c>
      <c r="S269" s="61">
        <v>550.404</v>
      </c>
      <c r="T269" s="61">
        <v>294.60899999999998</v>
      </c>
      <c r="U269" s="61">
        <v>10.67</v>
      </c>
      <c r="V269" s="61">
        <v>5.2569999999999997</v>
      </c>
      <c r="W269" s="61">
        <v>4.7E-2</v>
      </c>
      <c r="X269" s="61">
        <v>181.96600000000001</v>
      </c>
      <c r="Y269" s="61">
        <v>39.692</v>
      </c>
      <c r="Z269" s="61">
        <v>18.363</v>
      </c>
      <c r="AA269" s="61">
        <v>240.02199999999999</v>
      </c>
      <c r="AB269" s="60">
        <v>550.60500000000002</v>
      </c>
      <c r="AC269" s="62"/>
      <c r="AD269" s="61"/>
      <c r="AE269" s="61"/>
      <c r="AF269" s="61"/>
      <c r="AG269" s="61"/>
      <c r="AH269" s="61"/>
      <c r="AI269" s="61"/>
      <c r="AJ269" s="61"/>
      <c r="AK269" s="62"/>
      <c r="AL269" s="63"/>
      <c r="AM269" s="64"/>
      <c r="AN269" s="65" t="e">
        <v>#N/A</v>
      </c>
      <c r="AO269" s="61" t="e">
        <v>#N/A</v>
      </c>
      <c r="AP269" s="61" t="e">
        <v>#N/A</v>
      </c>
      <c r="AQ269" s="61" t="e">
        <v>#N/A</v>
      </c>
      <c r="AR269" s="61" t="e">
        <v>#N/A</v>
      </c>
      <c r="AS269" s="61" t="e">
        <v>#N/A</v>
      </c>
      <c r="AT269" s="61" t="e">
        <v>#N/A</v>
      </c>
      <c r="AU269" s="61" t="e">
        <v>#N/A</v>
      </c>
      <c r="AV269" s="61" t="e">
        <v>#N/A</v>
      </c>
      <c r="AW269" s="61" t="e">
        <v>#N/A</v>
      </c>
      <c r="AX269" s="65" t="e">
        <v>#N/A</v>
      </c>
      <c r="AY269" s="66">
        <v>0.56100000000000005</v>
      </c>
      <c r="AZ269" s="61">
        <v>5.0469999999999997</v>
      </c>
      <c r="BA269" s="61">
        <v>44.164000000000001</v>
      </c>
      <c r="BB269" s="61">
        <v>49.771999999999998</v>
      </c>
      <c r="BC269" s="61">
        <v>0.112</v>
      </c>
      <c r="BD269" s="61">
        <v>0.38200000000000001</v>
      </c>
      <c r="BE269" s="61">
        <v>2.3E-2</v>
      </c>
      <c r="BF269" s="61" t="s">
        <v>122</v>
      </c>
      <c r="BG269" s="61">
        <v>6.1319999999999997</v>
      </c>
      <c r="BH269" s="61">
        <v>2.8290000000000002</v>
      </c>
      <c r="BI269" s="61">
        <v>1.2999999999999999E-2</v>
      </c>
      <c r="BJ269" s="61">
        <v>8.9740000000000002</v>
      </c>
      <c r="BK269" s="66">
        <v>9.4909999999999997</v>
      </c>
      <c r="BL269" s="67">
        <v>10.343999999999999</v>
      </c>
      <c r="BM269" s="61" t="s">
        <v>121</v>
      </c>
      <c r="BN269" s="61" t="s">
        <v>121</v>
      </c>
      <c r="BO269" s="61" t="s">
        <v>121</v>
      </c>
      <c r="BP269" s="61">
        <v>10.343999999999999</v>
      </c>
      <c r="BQ269" s="61">
        <v>289.47000000000003</v>
      </c>
      <c r="BR269" s="61">
        <v>9.4730000000000008</v>
      </c>
      <c r="BS269" s="61">
        <v>0.182</v>
      </c>
      <c r="BT269" s="61">
        <v>4.7E-2</v>
      </c>
      <c r="BU269" s="61">
        <v>8.8989999999999991</v>
      </c>
      <c r="BV269" s="61">
        <v>20.852</v>
      </c>
      <c r="BW269" s="61">
        <v>29.75</v>
      </c>
      <c r="BX269" s="67">
        <v>328.92200000000003</v>
      </c>
      <c r="BY269" s="68">
        <v>97867</v>
      </c>
      <c r="BZ269" s="68">
        <v>103663</v>
      </c>
      <c r="CA269" s="69">
        <v>5817</v>
      </c>
      <c r="CB269" s="68">
        <v>115407</v>
      </c>
      <c r="CC269" s="68">
        <v>6706</v>
      </c>
      <c r="CD269" s="61"/>
      <c r="CE269" s="64"/>
      <c r="CF269" s="64"/>
      <c r="CG269" s="70">
        <f t="shared" si="21"/>
        <v>4847.0940000000001</v>
      </c>
      <c r="CH269" s="70">
        <f t="shared" si="22"/>
        <v>244.31399999999999</v>
      </c>
      <c r="CI269" s="70">
        <f t="shared" si="23"/>
        <v>281.65199999999999</v>
      </c>
      <c r="CJ269" s="70">
        <f t="shared" si="25"/>
        <v>4110.4139999999998</v>
      </c>
      <c r="CK269" s="70">
        <f t="shared" si="25"/>
        <v>4353.8459999999995</v>
      </c>
      <c r="CL269" s="70">
        <f t="shared" si="24"/>
        <v>281.65199999999999</v>
      </c>
      <c r="CM269" s="61"/>
      <c r="CN269" s="61"/>
      <c r="CO269" s="61"/>
      <c r="CP269" s="61"/>
      <c r="CQ269" s="61"/>
      <c r="CR269" s="61"/>
      <c r="CS269" s="61"/>
      <c r="CT269" s="61"/>
      <c r="CU269" s="61"/>
      <c r="CV269" s="61"/>
      <c r="CW269" s="61"/>
      <c r="CX269" s="61"/>
      <c r="CY269" s="61"/>
      <c r="CZ269" s="61"/>
      <c r="DA269" s="61"/>
      <c r="DB269" s="61"/>
      <c r="DC269" s="61"/>
      <c r="DD269" s="61"/>
      <c r="DE269" s="61"/>
      <c r="DF269" s="61"/>
      <c r="DG269" s="61"/>
      <c r="DH269" s="61"/>
      <c r="DI269" s="61"/>
      <c r="DJ269" s="61"/>
      <c r="DK269" s="61"/>
      <c r="DL269" s="61"/>
      <c r="DM269" s="61"/>
      <c r="DN269" s="61"/>
      <c r="DO269" s="61"/>
      <c r="DP269" s="61"/>
      <c r="DQ269" s="61"/>
      <c r="DR269" s="61"/>
      <c r="DS269" s="61"/>
      <c r="DT269" s="61"/>
      <c r="DU269" s="61"/>
      <c r="DV269" s="61"/>
      <c r="DW269" s="61"/>
      <c r="DX269" s="61"/>
      <c r="DY269" s="61"/>
      <c r="DZ269" s="61"/>
      <c r="EA269" s="61"/>
      <c r="EB269" s="61"/>
      <c r="EC269" s="61"/>
      <c r="ED269" s="61"/>
      <c r="EE269" s="61"/>
      <c r="EF269" s="61"/>
      <c r="EG269" s="61"/>
      <c r="EH269" s="61"/>
      <c r="EI269" s="61"/>
      <c r="EJ269" s="61"/>
      <c r="EK269" s="61"/>
      <c r="EL269" s="61"/>
      <c r="EM269" s="61"/>
      <c r="EN269" s="61"/>
      <c r="EO269" s="61"/>
      <c r="EP269" s="61"/>
      <c r="EQ269" s="61"/>
      <c r="ER269" s="61"/>
      <c r="ES269" s="61"/>
      <c r="ET269" s="61"/>
      <c r="EU269" s="61"/>
      <c r="EV269" s="61"/>
      <c r="EW269" s="61"/>
    </row>
    <row r="270" spans="1:153">
      <c r="A270" s="56">
        <v>34790</v>
      </c>
      <c r="B270" s="57"/>
      <c r="C270" s="7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71"/>
      <c r="P270" s="60">
        <v>202.143</v>
      </c>
      <c r="Q270" s="61">
        <v>17.599</v>
      </c>
      <c r="R270" s="61">
        <v>267.57100000000003</v>
      </c>
      <c r="S270" s="61">
        <v>536.52300000000002</v>
      </c>
      <c r="T270" s="61">
        <v>253.40799999999999</v>
      </c>
      <c r="U270" s="61">
        <v>9.3520000000000003</v>
      </c>
      <c r="V270" s="61">
        <v>6.1219999999999999</v>
      </c>
      <c r="W270" s="61">
        <v>7.0999999999999994E-2</v>
      </c>
      <c r="X270" s="61">
        <v>202.143</v>
      </c>
      <c r="Y270" s="61">
        <v>47.829000000000001</v>
      </c>
      <c r="Z270" s="61">
        <v>17.318000000000001</v>
      </c>
      <c r="AA270" s="61">
        <v>267.29000000000002</v>
      </c>
      <c r="AB270" s="60">
        <v>536.24199999999996</v>
      </c>
      <c r="AC270" s="62"/>
      <c r="AD270" s="61"/>
      <c r="AE270" s="61"/>
      <c r="AF270" s="61"/>
      <c r="AG270" s="61"/>
      <c r="AH270" s="61"/>
      <c r="AI270" s="61"/>
      <c r="AJ270" s="61"/>
      <c r="AK270" s="62"/>
      <c r="AL270" s="63"/>
      <c r="AM270" s="64"/>
      <c r="AN270" s="65" t="e">
        <v>#N/A</v>
      </c>
      <c r="AO270" s="61" t="e">
        <v>#N/A</v>
      </c>
      <c r="AP270" s="61" t="e">
        <v>#N/A</v>
      </c>
      <c r="AQ270" s="61" t="e">
        <v>#N/A</v>
      </c>
      <c r="AR270" s="61" t="e">
        <v>#N/A</v>
      </c>
      <c r="AS270" s="61" t="e">
        <v>#N/A</v>
      </c>
      <c r="AT270" s="61" t="e">
        <v>#N/A</v>
      </c>
      <c r="AU270" s="61" t="e">
        <v>#N/A</v>
      </c>
      <c r="AV270" s="61" t="e">
        <v>#N/A</v>
      </c>
      <c r="AW270" s="61" t="e">
        <v>#N/A</v>
      </c>
      <c r="AX270" s="65" t="e">
        <v>#N/A</v>
      </c>
      <c r="AY270" s="66">
        <v>0.54200000000000004</v>
      </c>
      <c r="AZ270" s="61">
        <v>5.5620000000000003</v>
      </c>
      <c r="BA270" s="61">
        <v>42.74</v>
      </c>
      <c r="BB270" s="61">
        <v>48.844999999999999</v>
      </c>
      <c r="BC270" s="61">
        <v>9.6000000000000002E-2</v>
      </c>
      <c r="BD270" s="61">
        <v>0.37</v>
      </c>
      <c r="BE270" s="61">
        <v>2.5000000000000001E-2</v>
      </c>
      <c r="BF270" s="61" t="s">
        <v>122</v>
      </c>
      <c r="BG270" s="61">
        <v>5.9550000000000001</v>
      </c>
      <c r="BH270" s="61">
        <v>3.7490000000000001</v>
      </c>
      <c r="BI270" s="61">
        <v>1.2E-2</v>
      </c>
      <c r="BJ270" s="61">
        <v>9.7159999999999993</v>
      </c>
      <c r="BK270" s="66">
        <v>10.208</v>
      </c>
      <c r="BL270" s="67">
        <v>9.5540000000000003</v>
      </c>
      <c r="BM270" s="61" t="s">
        <v>121</v>
      </c>
      <c r="BN270" s="61" t="s">
        <v>121</v>
      </c>
      <c r="BO270" s="61" t="s">
        <v>121</v>
      </c>
      <c r="BP270" s="61">
        <v>9.5540000000000003</v>
      </c>
      <c r="BQ270" s="61">
        <v>248.98699999999999</v>
      </c>
      <c r="BR270" s="61">
        <v>8.1929999999999996</v>
      </c>
      <c r="BS270" s="61">
        <v>0.52800000000000002</v>
      </c>
      <c r="BT270" s="61">
        <v>7.0999999999999994E-2</v>
      </c>
      <c r="BU270" s="61">
        <v>10.976000000000001</v>
      </c>
      <c r="BV270" s="61">
        <v>27.63</v>
      </c>
      <c r="BW270" s="61">
        <v>38.606000000000002</v>
      </c>
      <c r="BX270" s="67">
        <v>296.38499999999999</v>
      </c>
      <c r="BY270" s="68">
        <v>93777</v>
      </c>
      <c r="BZ270" s="68">
        <v>93190</v>
      </c>
      <c r="CA270" s="69">
        <v>3754</v>
      </c>
      <c r="CB270" s="68">
        <v>114590</v>
      </c>
      <c r="CC270" s="68">
        <v>5158</v>
      </c>
      <c r="CD270" s="61"/>
      <c r="CE270" s="64"/>
      <c r="CF270" s="64"/>
      <c r="CG270" s="70">
        <f t="shared" si="21"/>
        <v>4812.78</v>
      </c>
      <c r="CH270" s="70">
        <f t="shared" si="22"/>
        <v>157.66800000000001</v>
      </c>
      <c r="CI270" s="70">
        <f t="shared" si="23"/>
        <v>216.636</v>
      </c>
      <c r="CJ270" s="70">
        <f t="shared" si="25"/>
        <v>3938.634</v>
      </c>
      <c r="CK270" s="70">
        <f t="shared" si="25"/>
        <v>3913.98</v>
      </c>
      <c r="CL270" s="70">
        <f t="shared" si="24"/>
        <v>216.636</v>
      </c>
      <c r="CM270" s="61"/>
      <c r="CN270" s="61"/>
      <c r="CO270" s="61"/>
      <c r="CP270" s="61"/>
      <c r="CQ270" s="61"/>
      <c r="CR270" s="61"/>
      <c r="CS270" s="61"/>
      <c r="CT270" s="61"/>
      <c r="CU270" s="61"/>
      <c r="CV270" s="61"/>
      <c r="CW270" s="61"/>
      <c r="CX270" s="61"/>
      <c r="CY270" s="61"/>
      <c r="CZ270" s="61"/>
      <c r="DA270" s="61"/>
      <c r="DB270" s="61"/>
      <c r="DC270" s="61"/>
      <c r="DD270" s="61"/>
      <c r="DE270" s="61"/>
      <c r="DF270" s="61"/>
      <c r="DG270" s="61"/>
      <c r="DH270" s="61"/>
      <c r="DI270" s="61"/>
      <c r="DJ270" s="61"/>
      <c r="DK270" s="61"/>
      <c r="DL270" s="61"/>
      <c r="DM270" s="61"/>
      <c r="DN270" s="61"/>
      <c r="DO270" s="61"/>
      <c r="DP270" s="61"/>
      <c r="DQ270" s="61"/>
      <c r="DR270" s="61"/>
      <c r="DS270" s="61"/>
      <c r="DT270" s="61"/>
      <c r="DU270" s="61"/>
      <c r="DV270" s="61"/>
      <c r="DW270" s="61"/>
      <c r="DX270" s="61"/>
      <c r="DY270" s="61"/>
      <c r="DZ270" s="61"/>
      <c r="EA270" s="61"/>
      <c r="EB270" s="61"/>
      <c r="EC270" s="61"/>
      <c r="ED270" s="61"/>
      <c r="EE270" s="61"/>
      <c r="EF270" s="61"/>
      <c r="EG270" s="61"/>
      <c r="EH270" s="61"/>
      <c r="EI270" s="61"/>
      <c r="EJ270" s="61"/>
      <c r="EK270" s="61"/>
      <c r="EL270" s="61"/>
      <c r="EM270" s="61"/>
      <c r="EN270" s="61"/>
      <c r="EO270" s="61"/>
      <c r="EP270" s="61"/>
      <c r="EQ270" s="61"/>
      <c r="ER270" s="61"/>
      <c r="ES270" s="61"/>
      <c r="ET270" s="61"/>
      <c r="EU270" s="61"/>
      <c r="EV270" s="61"/>
      <c r="EW270" s="61"/>
    </row>
    <row r="271" spans="1:153">
      <c r="A271" s="56">
        <v>34820</v>
      </c>
      <c r="B271" s="57"/>
      <c r="C271" s="7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71"/>
      <c r="P271" s="60">
        <v>174.71799999999999</v>
      </c>
      <c r="Q271" s="61">
        <v>17.170999999999999</v>
      </c>
      <c r="R271" s="61">
        <v>227.43899999999999</v>
      </c>
      <c r="S271" s="61">
        <v>533.61800000000005</v>
      </c>
      <c r="T271" s="61">
        <v>286.483</v>
      </c>
      <c r="U271" s="61">
        <v>8.6059999999999999</v>
      </c>
      <c r="V271" s="61">
        <v>6.8760000000000003</v>
      </c>
      <c r="W271" s="61">
        <v>4.2140000000000004</v>
      </c>
      <c r="X271" s="61">
        <v>174.71799999999999</v>
      </c>
      <c r="Y271" s="61">
        <v>35.551000000000002</v>
      </c>
      <c r="Z271" s="61">
        <v>15.558</v>
      </c>
      <c r="AA271" s="61">
        <v>225.827</v>
      </c>
      <c r="AB271" s="60">
        <v>532.005</v>
      </c>
      <c r="AC271" s="62"/>
      <c r="AD271" s="61"/>
      <c r="AE271" s="61"/>
      <c r="AF271" s="61"/>
      <c r="AG271" s="61"/>
      <c r="AH271" s="61"/>
      <c r="AI271" s="61"/>
      <c r="AJ271" s="61"/>
      <c r="AK271" s="62"/>
      <c r="AL271" s="63"/>
      <c r="AM271" s="64"/>
      <c r="AN271" s="65" t="e">
        <v>#N/A</v>
      </c>
      <c r="AO271" s="61" t="e">
        <v>#N/A</v>
      </c>
      <c r="AP271" s="61" t="e">
        <v>#N/A</v>
      </c>
      <c r="AQ271" s="61" t="e">
        <v>#N/A</v>
      </c>
      <c r="AR271" s="61" t="e">
        <v>#N/A</v>
      </c>
      <c r="AS271" s="61" t="e">
        <v>#N/A</v>
      </c>
      <c r="AT271" s="61" t="e">
        <v>#N/A</v>
      </c>
      <c r="AU271" s="61" t="e">
        <v>#N/A</v>
      </c>
      <c r="AV271" s="61" t="e">
        <v>#N/A</v>
      </c>
      <c r="AW271" s="61" t="e">
        <v>#N/A</v>
      </c>
      <c r="AX271" s="65" t="e">
        <v>#N/A</v>
      </c>
      <c r="AY271" s="66">
        <v>0.56100000000000005</v>
      </c>
      <c r="AZ271" s="61">
        <v>6.141</v>
      </c>
      <c r="BA271" s="61">
        <v>44.164000000000001</v>
      </c>
      <c r="BB271" s="61">
        <v>50.866</v>
      </c>
      <c r="BC271" s="61">
        <v>0.109</v>
      </c>
      <c r="BD271" s="61">
        <v>0.38200000000000001</v>
      </c>
      <c r="BE271" s="61">
        <v>2.8000000000000001E-2</v>
      </c>
      <c r="BF271" s="61" t="s">
        <v>122</v>
      </c>
      <c r="BG271" s="61">
        <v>6.1260000000000003</v>
      </c>
      <c r="BH271" s="61">
        <v>2.3849999999999998</v>
      </c>
      <c r="BI271" s="61">
        <v>0.01</v>
      </c>
      <c r="BJ271" s="61">
        <v>8.5210000000000008</v>
      </c>
      <c r="BK271" s="66">
        <v>9.0399999999999991</v>
      </c>
      <c r="BL271" s="67">
        <v>8.0030000000000001</v>
      </c>
      <c r="BM271" s="61" t="s">
        <v>121</v>
      </c>
      <c r="BN271" s="61" t="s">
        <v>121</v>
      </c>
      <c r="BO271" s="61" t="s">
        <v>121</v>
      </c>
      <c r="BP271" s="61">
        <v>8.0030000000000001</v>
      </c>
      <c r="BQ271" s="61">
        <v>281.48599999999999</v>
      </c>
      <c r="BR271" s="61">
        <v>7.4080000000000004</v>
      </c>
      <c r="BS271" s="61">
        <v>0.70099999999999996</v>
      </c>
      <c r="BT271" s="61">
        <v>4.2140000000000004</v>
      </c>
      <c r="BU271" s="61">
        <v>8.2409999999999997</v>
      </c>
      <c r="BV271" s="61">
        <v>17.574999999999999</v>
      </c>
      <c r="BW271" s="61">
        <v>25.815000000000001</v>
      </c>
      <c r="BX271" s="67">
        <v>319.62400000000002</v>
      </c>
      <c r="BY271" s="68">
        <v>96437</v>
      </c>
      <c r="BZ271" s="68">
        <v>89875</v>
      </c>
      <c r="CA271" s="69">
        <v>3384</v>
      </c>
      <c r="CB271" s="68">
        <v>118284</v>
      </c>
      <c r="CC271" s="68">
        <v>6252</v>
      </c>
      <c r="CD271" s="61"/>
      <c r="CE271" s="64"/>
      <c r="CF271" s="64"/>
      <c r="CG271" s="70">
        <f t="shared" si="21"/>
        <v>4967.9279999999999</v>
      </c>
      <c r="CH271" s="70">
        <f t="shared" si="22"/>
        <v>142.12799999999999</v>
      </c>
      <c r="CI271" s="70">
        <f t="shared" si="23"/>
        <v>262.584</v>
      </c>
      <c r="CJ271" s="70">
        <f t="shared" si="25"/>
        <v>4050.3539999999998</v>
      </c>
      <c r="CK271" s="70">
        <f t="shared" si="25"/>
        <v>3774.75</v>
      </c>
      <c r="CL271" s="70">
        <f t="shared" si="24"/>
        <v>262.584</v>
      </c>
      <c r="CM271" s="61"/>
      <c r="CN271" s="61"/>
      <c r="CO271" s="61"/>
      <c r="CP271" s="61"/>
      <c r="CQ271" s="61"/>
      <c r="CR271" s="61"/>
      <c r="CS271" s="61"/>
      <c r="CT271" s="61"/>
      <c r="CU271" s="61"/>
      <c r="CV271" s="61"/>
      <c r="CW271" s="61"/>
      <c r="CX271" s="61"/>
      <c r="CY271" s="61"/>
      <c r="CZ271" s="61"/>
      <c r="DA271" s="61"/>
      <c r="DB271" s="61"/>
      <c r="DC271" s="61"/>
      <c r="DD271" s="61"/>
      <c r="DE271" s="61"/>
      <c r="DF271" s="61"/>
      <c r="DG271" s="61"/>
      <c r="DH271" s="61"/>
      <c r="DI271" s="61"/>
      <c r="DJ271" s="61"/>
      <c r="DK271" s="61"/>
      <c r="DL271" s="61"/>
      <c r="DM271" s="61"/>
      <c r="DN271" s="61"/>
      <c r="DO271" s="61"/>
      <c r="DP271" s="61"/>
      <c r="DQ271" s="61"/>
      <c r="DR271" s="61"/>
      <c r="DS271" s="61"/>
      <c r="DT271" s="61"/>
      <c r="DU271" s="61"/>
      <c r="DV271" s="61"/>
      <c r="DW271" s="61"/>
      <c r="DX271" s="61"/>
      <c r="DY271" s="61"/>
      <c r="DZ271" s="61"/>
      <c r="EA271" s="61"/>
      <c r="EB271" s="61"/>
      <c r="EC271" s="61"/>
      <c r="ED271" s="61"/>
      <c r="EE271" s="61"/>
      <c r="EF271" s="61"/>
      <c r="EG271" s="61"/>
      <c r="EH271" s="61"/>
      <c r="EI271" s="61"/>
      <c r="EJ271" s="61"/>
      <c r="EK271" s="61"/>
      <c r="EL271" s="61"/>
      <c r="EM271" s="61"/>
      <c r="EN271" s="61"/>
      <c r="EO271" s="61"/>
      <c r="EP271" s="61"/>
      <c r="EQ271" s="61"/>
      <c r="ER271" s="61"/>
      <c r="ES271" s="61"/>
      <c r="ET271" s="61"/>
      <c r="EU271" s="61"/>
      <c r="EV271" s="61"/>
      <c r="EW271" s="61"/>
    </row>
    <row r="272" spans="1:153">
      <c r="A272" s="56">
        <v>34851</v>
      </c>
      <c r="B272" s="57"/>
      <c r="C272" s="7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71"/>
      <c r="P272" s="60">
        <v>164.965</v>
      </c>
      <c r="Q272" s="61">
        <v>16.388000000000002</v>
      </c>
      <c r="R272" s="61">
        <v>226.934</v>
      </c>
      <c r="S272" s="61">
        <v>560.14300000000003</v>
      </c>
      <c r="T272" s="61">
        <v>311.68299999999999</v>
      </c>
      <c r="U272" s="61">
        <v>9.3170000000000002</v>
      </c>
      <c r="V272" s="61">
        <v>7.069</v>
      </c>
      <c r="W272" s="61">
        <v>5.14</v>
      </c>
      <c r="X272" s="61">
        <v>164.965</v>
      </c>
      <c r="Y272" s="61">
        <v>45.581000000000003</v>
      </c>
      <c r="Z272" s="61">
        <v>17.411000000000001</v>
      </c>
      <c r="AA272" s="61">
        <v>227.95699999999999</v>
      </c>
      <c r="AB272" s="60">
        <v>561.16600000000005</v>
      </c>
      <c r="AC272" s="62"/>
      <c r="AD272" s="61"/>
      <c r="AE272" s="61"/>
      <c r="AF272" s="61"/>
      <c r="AG272" s="61"/>
      <c r="AH272" s="61"/>
      <c r="AI272" s="61"/>
      <c r="AJ272" s="61"/>
      <c r="AK272" s="62"/>
      <c r="AL272" s="63"/>
      <c r="AM272" s="64"/>
      <c r="AN272" s="65" t="e">
        <v>#N/A</v>
      </c>
      <c r="AO272" s="61" t="e">
        <v>#N/A</v>
      </c>
      <c r="AP272" s="61" t="e">
        <v>#N/A</v>
      </c>
      <c r="AQ272" s="61" t="e">
        <v>#N/A</v>
      </c>
      <c r="AR272" s="61" t="e">
        <v>#N/A</v>
      </c>
      <c r="AS272" s="61" t="e">
        <v>#N/A</v>
      </c>
      <c r="AT272" s="61" t="e">
        <v>#N/A</v>
      </c>
      <c r="AU272" s="61" t="e">
        <v>#N/A</v>
      </c>
      <c r="AV272" s="61" t="e">
        <v>#N/A</v>
      </c>
      <c r="AW272" s="61" t="e">
        <v>#N/A</v>
      </c>
      <c r="AX272" s="65" t="e">
        <v>#N/A</v>
      </c>
      <c r="AY272" s="66">
        <v>0.54200000000000004</v>
      </c>
      <c r="AZ272" s="61">
        <v>6.1959999999999997</v>
      </c>
      <c r="BA272" s="61">
        <v>42.74</v>
      </c>
      <c r="BB272" s="61">
        <v>49.478000000000002</v>
      </c>
      <c r="BC272" s="61">
        <v>0.11899999999999999</v>
      </c>
      <c r="BD272" s="61">
        <v>0.37</v>
      </c>
      <c r="BE272" s="61">
        <v>2.8000000000000001E-2</v>
      </c>
      <c r="BF272" s="61" t="s">
        <v>122</v>
      </c>
      <c r="BG272" s="61">
        <v>5.9249999999999998</v>
      </c>
      <c r="BH272" s="61">
        <v>3.508</v>
      </c>
      <c r="BI272" s="61">
        <v>1.2999999999999999E-2</v>
      </c>
      <c r="BJ272" s="61">
        <v>9.4450000000000003</v>
      </c>
      <c r="BK272" s="66">
        <v>9.9619999999999997</v>
      </c>
      <c r="BL272" s="67">
        <v>10.163</v>
      </c>
      <c r="BM272" s="61" t="s">
        <v>121</v>
      </c>
      <c r="BN272" s="61" t="s">
        <v>121</v>
      </c>
      <c r="BO272" s="61" t="s">
        <v>121</v>
      </c>
      <c r="BP272" s="61">
        <v>10.163</v>
      </c>
      <c r="BQ272" s="61">
        <v>306.245</v>
      </c>
      <c r="BR272" s="61">
        <v>8.1579999999999995</v>
      </c>
      <c r="BS272" s="61">
        <v>0.83899999999999997</v>
      </c>
      <c r="BT272" s="61">
        <v>5.14</v>
      </c>
      <c r="BU272" s="61">
        <v>7.601</v>
      </c>
      <c r="BV272" s="61">
        <v>25.850999999999999</v>
      </c>
      <c r="BW272" s="61">
        <v>33.451999999999998</v>
      </c>
      <c r="BX272" s="67">
        <v>353.83499999999998</v>
      </c>
      <c r="BY272" s="68">
        <v>93281</v>
      </c>
      <c r="BZ272" s="68">
        <v>98014</v>
      </c>
      <c r="CA272" s="69">
        <v>5281</v>
      </c>
      <c r="CB272" s="68">
        <v>114715</v>
      </c>
      <c r="CC272" s="68">
        <v>4117</v>
      </c>
      <c r="CD272" s="61"/>
      <c r="CE272" s="64"/>
      <c r="CF272" s="64"/>
      <c r="CG272" s="70">
        <f t="shared" si="21"/>
        <v>4818.03</v>
      </c>
      <c r="CH272" s="70">
        <f t="shared" si="22"/>
        <v>221.80199999999999</v>
      </c>
      <c r="CI272" s="70">
        <f t="shared" si="23"/>
        <v>172.91399999999999</v>
      </c>
      <c r="CJ272" s="70">
        <f t="shared" si="25"/>
        <v>3917.8020000000001</v>
      </c>
      <c r="CK272" s="70">
        <f t="shared" si="25"/>
        <v>4116.5879999999997</v>
      </c>
      <c r="CL272" s="70">
        <f t="shared" si="24"/>
        <v>172.91399999999999</v>
      </c>
      <c r="CM272" s="61"/>
      <c r="CN272" s="61"/>
      <c r="CO272" s="61"/>
      <c r="CP272" s="61"/>
      <c r="CQ272" s="61"/>
      <c r="CR272" s="61"/>
      <c r="CS272" s="61"/>
      <c r="CT272" s="61"/>
      <c r="CU272" s="61"/>
      <c r="CV272" s="61"/>
      <c r="CW272" s="61"/>
      <c r="CX272" s="61"/>
      <c r="CY272" s="61"/>
      <c r="CZ272" s="61"/>
      <c r="DA272" s="61"/>
      <c r="DB272" s="61"/>
      <c r="DC272" s="61"/>
      <c r="DD272" s="61"/>
      <c r="DE272" s="61"/>
      <c r="DF272" s="61"/>
      <c r="DG272" s="61"/>
      <c r="DH272" s="61"/>
      <c r="DI272" s="61"/>
      <c r="DJ272" s="61"/>
      <c r="DK272" s="61"/>
      <c r="DL272" s="61"/>
      <c r="DM272" s="61"/>
      <c r="DN272" s="61"/>
      <c r="DO272" s="61"/>
      <c r="DP272" s="61"/>
      <c r="DQ272" s="61"/>
      <c r="DR272" s="61"/>
      <c r="DS272" s="61"/>
      <c r="DT272" s="61"/>
      <c r="DU272" s="61"/>
      <c r="DV272" s="61"/>
      <c r="DW272" s="61"/>
      <c r="DX272" s="61"/>
      <c r="DY272" s="61"/>
      <c r="DZ272" s="61"/>
      <c r="EA272" s="61"/>
      <c r="EB272" s="61"/>
      <c r="EC272" s="61"/>
      <c r="ED272" s="61"/>
      <c r="EE272" s="61"/>
      <c r="EF272" s="61"/>
      <c r="EG272" s="61"/>
      <c r="EH272" s="61"/>
      <c r="EI272" s="61"/>
      <c r="EJ272" s="61"/>
      <c r="EK272" s="61"/>
      <c r="EL272" s="61"/>
      <c r="EM272" s="61"/>
      <c r="EN272" s="61"/>
      <c r="EO272" s="61"/>
      <c r="EP272" s="61"/>
      <c r="EQ272" s="61"/>
      <c r="ER272" s="61"/>
      <c r="ES272" s="61"/>
      <c r="ET272" s="61"/>
      <c r="EU272" s="61"/>
      <c r="EV272" s="61"/>
      <c r="EW272" s="61"/>
    </row>
    <row r="273" spans="1:153">
      <c r="A273" s="56">
        <v>34881</v>
      </c>
      <c r="B273" s="57"/>
      <c r="C273" s="7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71"/>
      <c r="P273" s="60">
        <v>234.03800000000001</v>
      </c>
      <c r="Q273" s="61">
        <v>15.353999999999999</v>
      </c>
      <c r="R273" s="61">
        <v>294.25099999999998</v>
      </c>
      <c r="S273" s="61">
        <v>601.274</v>
      </c>
      <c r="T273" s="61">
        <v>283.27499999999998</v>
      </c>
      <c r="U273" s="61">
        <v>10.066000000000001</v>
      </c>
      <c r="V273" s="61">
        <v>7.2889999999999997</v>
      </c>
      <c r="W273" s="61">
        <v>6.3920000000000003</v>
      </c>
      <c r="X273" s="61">
        <v>234.03800000000001</v>
      </c>
      <c r="Y273" s="61">
        <v>44.859000000000002</v>
      </c>
      <c r="Z273" s="61">
        <v>14.340999999999999</v>
      </c>
      <c r="AA273" s="61">
        <v>293.238</v>
      </c>
      <c r="AB273" s="60">
        <v>600.26099999999997</v>
      </c>
      <c r="AC273" s="62"/>
      <c r="AD273" s="61"/>
      <c r="AE273" s="61"/>
      <c r="AF273" s="61"/>
      <c r="AG273" s="61"/>
      <c r="AH273" s="61"/>
      <c r="AI273" s="61"/>
      <c r="AJ273" s="61"/>
      <c r="AK273" s="62"/>
      <c r="AL273" s="63"/>
      <c r="AM273" s="64"/>
      <c r="AN273" s="65" t="e">
        <v>#N/A</v>
      </c>
      <c r="AO273" s="61" t="e">
        <v>#N/A</v>
      </c>
      <c r="AP273" s="61" t="e">
        <v>#N/A</v>
      </c>
      <c r="AQ273" s="61" t="e">
        <v>#N/A</v>
      </c>
      <c r="AR273" s="61" t="e">
        <v>#N/A</v>
      </c>
      <c r="AS273" s="61" t="e">
        <v>#N/A</v>
      </c>
      <c r="AT273" s="61" t="e">
        <v>#N/A</v>
      </c>
      <c r="AU273" s="61" t="e">
        <v>#N/A</v>
      </c>
      <c r="AV273" s="61" t="e">
        <v>#N/A</v>
      </c>
      <c r="AW273" s="61" t="e">
        <v>#N/A</v>
      </c>
      <c r="AX273" s="65" t="e">
        <v>#N/A</v>
      </c>
      <c r="AY273" s="66">
        <v>0.56100000000000005</v>
      </c>
      <c r="AZ273" s="61">
        <v>6.5039999999999996</v>
      </c>
      <c r="BA273" s="61">
        <v>44.164000000000001</v>
      </c>
      <c r="BB273" s="61">
        <v>51.228999999999999</v>
      </c>
      <c r="BC273" s="61">
        <v>0.108</v>
      </c>
      <c r="BD273" s="61">
        <v>0.38200000000000001</v>
      </c>
      <c r="BE273" s="61">
        <v>0.03</v>
      </c>
      <c r="BF273" s="61" t="s">
        <v>122</v>
      </c>
      <c r="BG273" s="61">
        <v>6.173</v>
      </c>
      <c r="BH273" s="61">
        <v>3.3839999999999999</v>
      </c>
      <c r="BI273" s="61">
        <v>8.9999999999999993E-3</v>
      </c>
      <c r="BJ273" s="61">
        <v>9.5670000000000002</v>
      </c>
      <c r="BK273" s="66">
        <v>10.087</v>
      </c>
      <c r="BL273" s="67">
        <v>7.5789999999999997</v>
      </c>
      <c r="BM273" s="61" t="s">
        <v>121</v>
      </c>
      <c r="BN273" s="61" t="s">
        <v>121</v>
      </c>
      <c r="BO273" s="61" t="s">
        <v>121</v>
      </c>
      <c r="BP273" s="61">
        <v>7.5789999999999997</v>
      </c>
      <c r="BQ273" s="61">
        <v>278.334</v>
      </c>
      <c r="BR273" s="61">
        <v>8.8680000000000003</v>
      </c>
      <c r="BS273" s="61">
        <v>0.748</v>
      </c>
      <c r="BT273" s="61">
        <v>6.3920000000000003</v>
      </c>
      <c r="BU273" s="61">
        <v>13.625</v>
      </c>
      <c r="BV273" s="61">
        <v>24.94</v>
      </c>
      <c r="BW273" s="61">
        <v>38.564999999999998</v>
      </c>
      <c r="BX273" s="67">
        <v>332.90800000000002</v>
      </c>
      <c r="BY273" s="68">
        <v>94729</v>
      </c>
      <c r="BZ273" s="68">
        <v>84690</v>
      </c>
      <c r="CA273" s="69">
        <v>4865</v>
      </c>
      <c r="CB273" s="68">
        <v>125031</v>
      </c>
      <c r="CC273" s="68">
        <v>4588</v>
      </c>
      <c r="CD273" s="61"/>
      <c r="CE273" s="64"/>
      <c r="CF273" s="64"/>
      <c r="CG273" s="70">
        <f t="shared" si="21"/>
        <v>5251.3019999999997</v>
      </c>
      <c r="CH273" s="70">
        <f t="shared" si="22"/>
        <v>204.33</v>
      </c>
      <c r="CI273" s="70">
        <f t="shared" si="23"/>
        <v>192.696</v>
      </c>
      <c r="CJ273" s="70">
        <f t="shared" si="25"/>
        <v>3978.6179999999999</v>
      </c>
      <c r="CK273" s="70">
        <f t="shared" si="25"/>
        <v>3556.98</v>
      </c>
      <c r="CL273" s="70">
        <f t="shared" si="24"/>
        <v>192.696</v>
      </c>
      <c r="CM273" s="61"/>
      <c r="CN273" s="61"/>
      <c r="CO273" s="61"/>
      <c r="CP273" s="61"/>
      <c r="CQ273" s="61"/>
      <c r="CR273" s="61"/>
      <c r="CS273" s="61"/>
      <c r="CT273" s="61"/>
      <c r="CU273" s="61"/>
      <c r="CV273" s="61"/>
      <c r="CW273" s="61"/>
      <c r="CX273" s="61"/>
      <c r="CY273" s="61"/>
      <c r="CZ273" s="61"/>
      <c r="DA273" s="61"/>
      <c r="DB273" s="61"/>
      <c r="DC273" s="61"/>
      <c r="DD273" s="61"/>
      <c r="DE273" s="61"/>
      <c r="DF273" s="61"/>
      <c r="DG273" s="61"/>
      <c r="DH273" s="61"/>
      <c r="DI273" s="61"/>
      <c r="DJ273" s="61"/>
      <c r="DK273" s="61"/>
      <c r="DL273" s="61"/>
      <c r="DM273" s="61"/>
      <c r="DN273" s="61"/>
      <c r="DO273" s="61"/>
      <c r="DP273" s="61"/>
      <c r="DQ273" s="61"/>
      <c r="DR273" s="61"/>
      <c r="DS273" s="61"/>
      <c r="DT273" s="61"/>
      <c r="DU273" s="61"/>
      <c r="DV273" s="61"/>
      <c r="DW273" s="61"/>
      <c r="DX273" s="61"/>
      <c r="DY273" s="61"/>
      <c r="DZ273" s="61"/>
      <c r="EA273" s="61"/>
      <c r="EB273" s="61"/>
      <c r="EC273" s="61"/>
      <c r="ED273" s="61"/>
      <c r="EE273" s="61"/>
      <c r="EF273" s="61"/>
      <c r="EG273" s="61"/>
      <c r="EH273" s="61"/>
      <c r="EI273" s="61"/>
      <c r="EJ273" s="61"/>
      <c r="EK273" s="61"/>
      <c r="EL273" s="61"/>
      <c r="EM273" s="61"/>
      <c r="EN273" s="61"/>
      <c r="EO273" s="61"/>
      <c r="EP273" s="61"/>
      <c r="EQ273" s="61"/>
      <c r="ER273" s="61"/>
      <c r="ES273" s="61"/>
      <c r="ET273" s="61"/>
      <c r="EU273" s="61"/>
      <c r="EV273" s="61"/>
      <c r="EW273" s="61"/>
    </row>
    <row r="274" spans="1:153">
      <c r="A274" s="56">
        <v>34912</v>
      </c>
      <c r="B274" s="57"/>
      <c r="C274" s="7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71"/>
      <c r="P274" s="60">
        <v>240.23699999999999</v>
      </c>
      <c r="Q274" s="61">
        <v>14.663</v>
      </c>
      <c r="R274" s="61">
        <v>301.62799999999999</v>
      </c>
      <c r="S274" s="61">
        <v>582.279</v>
      </c>
      <c r="T274" s="61">
        <v>251.37799999999999</v>
      </c>
      <c r="U274" s="61">
        <v>16.446999999999999</v>
      </c>
      <c r="V274" s="61">
        <v>7.1980000000000004</v>
      </c>
      <c r="W274" s="61">
        <v>5.6280000000000001</v>
      </c>
      <c r="X274" s="61">
        <v>240.23699999999999</v>
      </c>
      <c r="Y274" s="61">
        <v>46.728999999999999</v>
      </c>
      <c r="Z274" s="61">
        <v>12.71</v>
      </c>
      <c r="AA274" s="61">
        <v>299.67599999999999</v>
      </c>
      <c r="AB274" s="60">
        <v>580.32600000000002</v>
      </c>
      <c r="AC274" s="62"/>
      <c r="AD274" s="61"/>
      <c r="AE274" s="61"/>
      <c r="AF274" s="61"/>
      <c r="AG274" s="61"/>
      <c r="AH274" s="61"/>
      <c r="AI274" s="61"/>
      <c r="AJ274" s="61"/>
      <c r="AK274" s="62"/>
      <c r="AL274" s="63"/>
      <c r="AM274" s="64"/>
      <c r="AN274" s="65" t="e">
        <v>#N/A</v>
      </c>
      <c r="AO274" s="61" t="e">
        <v>#N/A</v>
      </c>
      <c r="AP274" s="61" t="e">
        <v>#N/A</v>
      </c>
      <c r="AQ274" s="61" t="e">
        <v>#N/A</v>
      </c>
      <c r="AR274" s="61" t="e">
        <v>#N/A</v>
      </c>
      <c r="AS274" s="61" t="e">
        <v>#N/A</v>
      </c>
      <c r="AT274" s="61" t="e">
        <v>#N/A</v>
      </c>
      <c r="AU274" s="61" t="e">
        <v>#N/A</v>
      </c>
      <c r="AV274" s="61" t="e">
        <v>#N/A</v>
      </c>
      <c r="AW274" s="61" t="e">
        <v>#N/A</v>
      </c>
      <c r="AX274" s="65" t="e">
        <v>#N/A</v>
      </c>
      <c r="AY274" s="66">
        <v>0.56100000000000005</v>
      </c>
      <c r="AZ274" s="61">
        <v>6.4370000000000003</v>
      </c>
      <c r="BA274" s="61">
        <v>44.164000000000001</v>
      </c>
      <c r="BB274" s="61">
        <v>51.161999999999999</v>
      </c>
      <c r="BC274" s="61">
        <v>9.6000000000000002E-2</v>
      </c>
      <c r="BD274" s="61">
        <v>0.38200000000000001</v>
      </c>
      <c r="BE274" s="61">
        <v>2.9000000000000001E-2</v>
      </c>
      <c r="BF274" s="61" t="s">
        <v>122</v>
      </c>
      <c r="BG274" s="61">
        <v>6.1779999999999999</v>
      </c>
      <c r="BH274" s="61">
        <v>3.585</v>
      </c>
      <c r="BI274" s="61">
        <v>8.0000000000000002E-3</v>
      </c>
      <c r="BJ274" s="61">
        <v>9.7710000000000008</v>
      </c>
      <c r="BK274" s="66">
        <v>10.278</v>
      </c>
      <c r="BL274" s="67">
        <v>6.2670000000000003</v>
      </c>
      <c r="BM274" s="61" t="s">
        <v>121</v>
      </c>
      <c r="BN274" s="61" t="s">
        <v>121</v>
      </c>
      <c r="BO274" s="61" t="s">
        <v>121</v>
      </c>
      <c r="BP274" s="61">
        <v>6.2670000000000003</v>
      </c>
      <c r="BQ274" s="61">
        <v>246.99299999999999</v>
      </c>
      <c r="BR274" s="61">
        <v>15.249000000000001</v>
      </c>
      <c r="BS274" s="61">
        <v>0.72499999999999998</v>
      </c>
      <c r="BT274" s="61">
        <v>5.6280000000000001</v>
      </c>
      <c r="BU274" s="61">
        <v>14.188000000000001</v>
      </c>
      <c r="BV274" s="61">
        <v>26.419</v>
      </c>
      <c r="BW274" s="61">
        <v>40.606999999999999</v>
      </c>
      <c r="BX274" s="67">
        <v>309.202</v>
      </c>
      <c r="BY274" s="68">
        <v>97490</v>
      </c>
      <c r="BZ274" s="68">
        <v>94350</v>
      </c>
      <c r="CA274" s="69">
        <v>5316</v>
      </c>
      <c r="CB274" s="68">
        <v>130876</v>
      </c>
      <c r="CC274" s="68">
        <v>2611</v>
      </c>
      <c r="CD274" s="61"/>
      <c r="CE274" s="64"/>
      <c r="CF274" s="64"/>
      <c r="CG274" s="70">
        <f t="shared" si="21"/>
        <v>5496.7920000000004</v>
      </c>
      <c r="CH274" s="70">
        <f t="shared" si="22"/>
        <v>223.27199999999999</v>
      </c>
      <c r="CI274" s="70">
        <f t="shared" si="23"/>
        <v>109.66200000000001</v>
      </c>
      <c r="CJ274" s="70">
        <f t="shared" si="25"/>
        <v>4094.58</v>
      </c>
      <c r="CK274" s="70">
        <f t="shared" si="25"/>
        <v>3962.7</v>
      </c>
      <c r="CL274" s="70">
        <f t="shared" si="24"/>
        <v>109.66200000000001</v>
      </c>
      <c r="CM274" s="61"/>
      <c r="CN274" s="61"/>
      <c r="CO274" s="61"/>
      <c r="CP274" s="61"/>
      <c r="CQ274" s="61"/>
      <c r="CR274" s="61"/>
      <c r="CS274" s="61"/>
      <c r="CT274" s="61"/>
      <c r="CU274" s="61"/>
      <c r="CV274" s="61"/>
      <c r="CW274" s="61"/>
      <c r="CX274" s="61"/>
      <c r="CY274" s="61"/>
      <c r="CZ274" s="61"/>
      <c r="DA274" s="61"/>
      <c r="DB274" s="61"/>
      <c r="DC274" s="61"/>
      <c r="DD274" s="61"/>
      <c r="DE274" s="61"/>
      <c r="DF274" s="61"/>
      <c r="DG274" s="61"/>
      <c r="DH274" s="61"/>
      <c r="DI274" s="61"/>
      <c r="DJ274" s="61"/>
      <c r="DK274" s="61"/>
      <c r="DL274" s="61"/>
      <c r="DM274" s="61"/>
      <c r="DN274" s="61"/>
      <c r="DO274" s="61"/>
      <c r="DP274" s="61"/>
      <c r="DQ274" s="61"/>
      <c r="DR274" s="61"/>
      <c r="DS274" s="61"/>
      <c r="DT274" s="61"/>
      <c r="DU274" s="61"/>
      <c r="DV274" s="61"/>
      <c r="DW274" s="61"/>
      <c r="DX274" s="61"/>
      <c r="DY274" s="61"/>
      <c r="DZ274" s="61"/>
      <c r="EA274" s="61"/>
      <c r="EB274" s="61"/>
      <c r="EC274" s="61"/>
      <c r="ED274" s="61"/>
      <c r="EE274" s="61"/>
      <c r="EF274" s="61"/>
      <c r="EG274" s="61"/>
      <c r="EH274" s="61"/>
      <c r="EI274" s="61"/>
      <c r="EJ274" s="61"/>
      <c r="EK274" s="61"/>
      <c r="EL274" s="61"/>
      <c r="EM274" s="61"/>
      <c r="EN274" s="61"/>
      <c r="EO274" s="61"/>
      <c r="EP274" s="61"/>
      <c r="EQ274" s="61"/>
      <c r="ER274" s="61"/>
      <c r="ES274" s="61"/>
      <c r="ET274" s="61"/>
      <c r="EU274" s="61"/>
      <c r="EV274" s="61"/>
      <c r="EW274" s="61"/>
    </row>
    <row r="275" spans="1:153">
      <c r="A275" s="56">
        <v>34943</v>
      </c>
      <c r="B275" s="57"/>
      <c r="C275" s="7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71"/>
      <c r="P275" s="60">
        <v>208.21700000000001</v>
      </c>
      <c r="Q275" s="61">
        <v>15.073</v>
      </c>
      <c r="R275" s="61">
        <v>268.791</v>
      </c>
      <c r="S275" s="61">
        <v>499.49</v>
      </c>
      <c r="T275" s="61">
        <v>206.52</v>
      </c>
      <c r="U275" s="61">
        <v>11.83</v>
      </c>
      <c r="V275" s="61">
        <v>6.4420000000000002</v>
      </c>
      <c r="W275" s="61">
        <v>5.907</v>
      </c>
      <c r="X275" s="61">
        <v>208.21700000000001</v>
      </c>
      <c r="Y275" s="61">
        <v>45.502000000000002</v>
      </c>
      <c r="Z275" s="61">
        <v>15.114000000000001</v>
      </c>
      <c r="AA275" s="61">
        <v>268.83300000000003</v>
      </c>
      <c r="AB275" s="60">
        <v>499.53199999999998</v>
      </c>
      <c r="AC275" s="62"/>
      <c r="AD275" s="61"/>
      <c r="AE275" s="61"/>
      <c r="AF275" s="61"/>
      <c r="AG275" s="61"/>
      <c r="AH275" s="61"/>
      <c r="AI275" s="61"/>
      <c r="AJ275" s="61"/>
      <c r="AK275" s="62"/>
      <c r="AL275" s="63"/>
      <c r="AM275" s="64"/>
      <c r="AN275" s="65" t="e">
        <v>#N/A</v>
      </c>
      <c r="AO275" s="61" t="e">
        <v>#N/A</v>
      </c>
      <c r="AP275" s="61" t="e">
        <v>#N/A</v>
      </c>
      <c r="AQ275" s="61" t="e">
        <v>#N/A</v>
      </c>
      <c r="AR275" s="61" t="e">
        <v>#N/A</v>
      </c>
      <c r="AS275" s="61" t="e">
        <v>#N/A</v>
      </c>
      <c r="AT275" s="61" t="e">
        <v>#N/A</v>
      </c>
      <c r="AU275" s="61" t="e">
        <v>#N/A</v>
      </c>
      <c r="AV275" s="61" t="e">
        <v>#N/A</v>
      </c>
      <c r="AW275" s="61" t="e">
        <v>#N/A</v>
      </c>
      <c r="AX275" s="65" t="e">
        <v>#N/A</v>
      </c>
      <c r="AY275" s="66">
        <v>0.54200000000000004</v>
      </c>
      <c r="AZ275" s="61">
        <v>5.8710000000000004</v>
      </c>
      <c r="BA275" s="61">
        <v>42.74</v>
      </c>
      <c r="BB275" s="61">
        <v>49.152999999999999</v>
      </c>
      <c r="BC275" s="61">
        <v>7.9000000000000001E-2</v>
      </c>
      <c r="BD275" s="61">
        <v>0.37</v>
      </c>
      <c r="BE275" s="61">
        <v>2.7E-2</v>
      </c>
      <c r="BF275" s="61" t="s">
        <v>122</v>
      </c>
      <c r="BG275" s="61">
        <v>5.96</v>
      </c>
      <c r="BH275" s="61">
        <v>3.4990000000000001</v>
      </c>
      <c r="BI275" s="61">
        <v>0.01</v>
      </c>
      <c r="BJ275" s="61">
        <v>9.4689999999999994</v>
      </c>
      <c r="BK275" s="66">
        <v>9.9450000000000003</v>
      </c>
      <c r="BL275" s="67">
        <v>8.4610000000000003</v>
      </c>
      <c r="BM275" s="61" t="s">
        <v>121</v>
      </c>
      <c r="BN275" s="61" t="s">
        <v>121</v>
      </c>
      <c r="BO275" s="61" t="s">
        <v>121</v>
      </c>
      <c r="BP275" s="61">
        <v>8.4610000000000003</v>
      </c>
      <c r="BQ275" s="61">
        <v>202.917</v>
      </c>
      <c r="BR275" s="61">
        <v>10.670999999999999</v>
      </c>
      <c r="BS275" s="61">
        <v>0.53900000000000003</v>
      </c>
      <c r="BT275" s="61">
        <v>5.907</v>
      </c>
      <c r="BU275" s="61">
        <v>11.526999999999999</v>
      </c>
      <c r="BV275" s="61">
        <v>25.788</v>
      </c>
      <c r="BW275" s="61">
        <v>37.316000000000003</v>
      </c>
      <c r="BX275" s="67">
        <v>257.34899999999999</v>
      </c>
      <c r="BY275" s="68">
        <v>98604</v>
      </c>
      <c r="BZ275" s="68">
        <v>98540</v>
      </c>
      <c r="CA275" s="69">
        <v>4258</v>
      </c>
      <c r="CB275" s="68">
        <v>131714</v>
      </c>
      <c r="CC275" s="68">
        <v>3484</v>
      </c>
      <c r="CD275" s="61"/>
      <c r="CE275" s="64"/>
      <c r="CF275" s="64"/>
      <c r="CG275" s="70">
        <f t="shared" si="21"/>
        <v>5531.9880000000003</v>
      </c>
      <c r="CH275" s="70">
        <f t="shared" si="22"/>
        <v>178.83600000000001</v>
      </c>
      <c r="CI275" s="70">
        <f t="shared" si="23"/>
        <v>146.328</v>
      </c>
      <c r="CJ275" s="70">
        <f t="shared" si="25"/>
        <v>4141.3680000000004</v>
      </c>
      <c r="CK275" s="70">
        <f t="shared" si="25"/>
        <v>4138.68</v>
      </c>
      <c r="CL275" s="70">
        <f t="shared" si="24"/>
        <v>146.328</v>
      </c>
      <c r="CM275" s="61"/>
      <c r="CN275" s="61"/>
      <c r="CO275" s="61"/>
      <c r="CP275" s="61"/>
      <c r="CQ275" s="61"/>
      <c r="CR275" s="61"/>
      <c r="CS275" s="61"/>
      <c r="CT275" s="61"/>
      <c r="CU275" s="61"/>
      <c r="CV275" s="61"/>
      <c r="CW275" s="61"/>
      <c r="CX275" s="61"/>
      <c r="CY275" s="61"/>
      <c r="CZ275" s="61"/>
      <c r="DA275" s="61"/>
      <c r="DB275" s="61"/>
      <c r="DC275" s="61"/>
      <c r="DD275" s="61"/>
      <c r="DE275" s="61"/>
      <c r="DF275" s="61"/>
      <c r="DG275" s="61"/>
      <c r="DH275" s="61"/>
      <c r="DI275" s="61"/>
      <c r="DJ275" s="61"/>
      <c r="DK275" s="61"/>
      <c r="DL275" s="61"/>
      <c r="DM275" s="61"/>
      <c r="DN275" s="61"/>
      <c r="DO275" s="61"/>
      <c r="DP275" s="61"/>
      <c r="DQ275" s="61"/>
      <c r="DR275" s="61"/>
      <c r="DS275" s="61"/>
      <c r="DT275" s="61"/>
      <c r="DU275" s="61"/>
      <c r="DV275" s="61"/>
      <c r="DW275" s="61"/>
      <c r="DX275" s="61"/>
      <c r="DY275" s="61"/>
      <c r="DZ275" s="61"/>
      <c r="EA275" s="61"/>
      <c r="EB275" s="61"/>
      <c r="EC275" s="61"/>
      <c r="ED275" s="61"/>
      <c r="EE275" s="61"/>
      <c r="EF275" s="61"/>
      <c r="EG275" s="61"/>
      <c r="EH275" s="61"/>
      <c r="EI275" s="61"/>
      <c r="EJ275" s="61"/>
      <c r="EK275" s="61"/>
      <c r="EL275" s="61"/>
      <c r="EM275" s="61"/>
      <c r="EN275" s="61"/>
      <c r="EO275" s="61"/>
      <c r="EP275" s="61"/>
      <c r="EQ275" s="61"/>
      <c r="ER275" s="61"/>
      <c r="ES275" s="61"/>
      <c r="ET275" s="61"/>
      <c r="EU275" s="61"/>
      <c r="EV275" s="61"/>
      <c r="EW275" s="61"/>
    </row>
    <row r="276" spans="1:153">
      <c r="A276" s="56">
        <v>34973</v>
      </c>
      <c r="B276" s="57"/>
      <c r="C276" s="7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71"/>
      <c r="P276" s="60">
        <v>227.43799999999999</v>
      </c>
      <c r="Q276" s="61">
        <v>15.904999999999999</v>
      </c>
      <c r="R276" s="61">
        <v>292.17500000000001</v>
      </c>
      <c r="S276" s="61">
        <v>558.49400000000003</v>
      </c>
      <c r="T276" s="61">
        <v>238.738</v>
      </c>
      <c r="U276" s="61">
        <v>19.181999999999999</v>
      </c>
      <c r="V276" s="61">
        <v>5.7519999999999998</v>
      </c>
      <c r="W276" s="61">
        <v>2.6459999999999999</v>
      </c>
      <c r="X276" s="61">
        <v>227.43799999999999</v>
      </c>
      <c r="Y276" s="61">
        <v>48.832999999999998</v>
      </c>
      <c r="Z276" s="61">
        <v>18.294</v>
      </c>
      <c r="AA276" s="61">
        <v>294.565</v>
      </c>
      <c r="AB276" s="60">
        <v>560.88300000000004</v>
      </c>
      <c r="AC276" s="62"/>
      <c r="AD276" s="61"/>
      <c r="AE276" s="61"/>
      <c r="AF276" s="61"/>
      <c r="AG276" s="61"/>
      <c r="AH276" s="61"/>
      <c r="AI276" s="61"/>
      <c r="AJ276" s="61"/>
      <c r="AK276" s="62"/>
      <c r="AL276" s="63"/>
      <c r="AM276" s="64"/>
      <c r="AN276" s="65" t="e">
        <v>#N/A</v>
      </c>
      <c r="AO276" s="61" t="e">
        <v>#N/A</v>
      </c>
      <c r="AP276" s="61" t="e">
        <v>#N/A</v>
      </c>
      <c r="AQ276" s="61" t="e">
        <v>#N/A</v>
      </c>
      <c r="AR276" s="61" t="e">
        <v>#N/A</v>
      </c>
      <c r="AS276" s="61" t="e">
        <v>#N/A</v>
      </c>
      <c r="AT276" s="61" t="e">
        <v>#N/A</v>
      </c>
      <c r="AU276" s="61" t="e">
        <v>#N/A</v>
      </c>
      <c r="AV276" s="61" t="e">
        <v>#N/A</v>
      </c>
      <c r="AW276" s="61" t="e">
        <v>#N/A</v>
      </c>
      <c r="AX276" s="65" t="e">
        <v>#N/A</v>
      </c>
      <c r="AY276" s="66">
        <v>0.56100000000000005</v>
      </c>
      <c r="AZ276" s="61">
        <v>5.351</v>
      </c>
      <c r="BA276" s="61">
        <v>44.164000000000001</v>
      </c>
      <c r="BB276" s="61">
        <v>50.076000000000001</v>
      </c>
      <c r="BC276" s="61">
        <v>9.0999999999999998E-2</v>
      </c>
      <c r="BD276" s="61">
        <v>0.38200000000000001</v>
      </c>
      <c r="BE276" s="61">
        <v>2.5000000000000001E-2</v>
      </c>
      <c r="BF276" s="61" t="s">
        <v>122</v>
      </c>
      <c r="BG276" s="61">
        <v>6.1680000000000001</v>
      </c>
      <c r="BH276" s="61">
        <v>3.8109999999999999</v>
      </c>
      <c r="BI276" s="61">
        <v>1.4E-2</v>
      </c>
      <c r="BJ276" s="61">
        <v>9.9930000000000003</v>
      </c>
      <c r="BK276" s="66">
        <v>10.49</v>
      </c>
      <c r="BL276" s="67">
        <v>11.239000000000001</v>
      </c>
      <c r="BM276" s="61" t="s">
        <v>121</v>
      </c>
      <c r="BN276" s="61" t="s">
        <v>121</v>
      </c>
      <c r="BO276" s="61" t="s">
        <v>121</v>
      </c>
      <c r="BP276" s="61">
        <v>11.239000000000001</v>
      </c>
      <c r="BQ276" s="61">
        <v>234.57300000000001</v>
      </c>
      <c r="BR276" s="61">
        <v>17.984999999999999</v>
      </c>
      <c r="BS276" s="61">
        <v>0.371</v>
      </c>
      <c r="BT276" s="61">
        <v>2.6459999999999999</v>
      </c>
      <c r="BU276" s="61">
        <v>13.026</v>
      </c>
      <c r="BV276" s="61">
        <v>28.084</v>
      </c>
      <c r="BW276" s="61">
        <v>41.11</v>
      </c>
      <c r="BX276" s="67">
        <v>296.68599999999998</v>
      </c>
      <c r="BY276" s="68">
        <v>98248</v>
      </c>
      <c r="BZ276" s="68">
        <v>96210</v>
      </c>
      <c r="CA276" s="69">
        <v>5015</v>
      </c>
      <c r="CB276" s="68">
        <v>131385</v>
      </c>
      <c r="CC276" s="68">
        <v>7382</v>
      </c>
      <c r="CD276" s="61"/>
      <c r="CE276" s="64"/>
      <c r="CF276" s="64"/>
      <c r="CG276" s="70">
        <f t="shared" si="21"/>
        <v>5518.17</v>
      </c>
      <c r="CH276" s="70">
        <f t="shared" si="22"/>
        <v>210.63</v>
      </c>
      <c r="CI276" s="70">
        <f t="shared" si="23"/>
        <v>310.04399999999998</v>
      </c>
      <c r="CJ276" s="70">
        <f t="shared" si="25"/>
        <v>4126.4160000000002</v>
      </c>
      <c r="CK276" s="70">
        <f t="shared" si="25"/>
        <v>4040.82</v>
      </c>
      <c r="CL276" s="70">
        <f t="shared" si="24"/>
        <v>310.04399999999998</v>
      </c>
      <c r="CM276" s="61"/>
      <c r="CN276" s="61"/>
      <c r="CO276" s="61"/>
      <c r="CP276" s="61"/>
      <c r="CQ276" s="61"/>
      <c r="CR276" s="61"/>
      <c r="CS276" s="61"/>
      <c r="CT276" s="61"/>
      <c r="CU276" s="61"/>
      <c r="CV276" s="61"/>
      <c r="CW276" s="61"/>
      <c r="CX276" s="61"/>
      <c r="CY276" s="61"/>
      <c r="CZ276" s="61"/>
      <c r="DA276" s="61"/>
      <c r="DB276" s="61"/>
      <c r="DC276" s="61"/>
      <c r="DD276" s="61"/>
      <c r="DE276" s="61"/>
      <c r="DF276" s="61"/>
      <c r="DG276" s="61"/>
      <c r="DH276" s="61"/>
      <c r="DI276" s="61"/>
      <c r="DJ276" s="61"/>
      <c r="DK276" s="61"/>
      <c r="DL276" s="61"/>
      <c r="DM276" s="61"/>
      <c r="DN276" s="61"/>
      <c r="DO276" s="61"/>
      <c r="DP276" s="61"/>
      <c r="DQ276" s="61"/>
      <c r="DR276" s="61"/>
      <c r="DS276" s="61"/>
      <c r="DT276" s="61"/>
      <c r="DU276" s="61"/>
      <c r="DV276" s="61"/>
      <c r="DW276" s="61"/>
      <c r="DX276" s="61"/>
      <c r="DY276" s="61"/>
      <c r="DZ276" s="61"/>
      <c r="EA276" s="61"/>
      <c r="EB276" s="61"/>
      <c r="EC276" s="61"/>
      <c r="ED276" s="61"/>
      <c r="EE276" s="61"/>
      <c r="EF276" s="61"/>
      <c r="EG276" s="61"/>
      <c r="EH276" s="61"/>
      <c r="EI276" s="61"/>
      <c r="EJ276" s="61"/>
      <c r="EK276" s="61"/>
      <c r="EL276" s="61"/>
      <c r="EM276" s="61"/>
      <c r="EN276" s="61"/>
      <c r="EO276" s="61"/>
      <c r="EP276" s="61"/>
      <c r="EQ276" s="61"/>
      <c r="ER276" s="61"/>
      <c r="ES276" s="61"/>
      <c r="ET276" s="61"/>
      <c r="EU276" s="61"/>
      <c r="EV276" s="61"/>
      <c r="EW276" s="61"/>
    </row>
    <row r="277" spans="1:153">
      <c r="A277" s="56">
        <v>35004</v>
      </c>
      <c r="B277" s="57"/>
      <c r="C277" s="7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71"/>
      <c r="P277" s="60">
        <v>203.6</v>
      </c>
      <c r="Q277" s="61">
        <v>14.993</v>
      </c>
      <c r="R277" s="61">
        <v>267.65899999999999</v>
      </c>
      <c r="S277" s="61">
        <v>554.28499999999997</v>
      </c>
      <c r="T277" s="61">
        <v>263.38600000000002</v>
      </c>
      <c r="U277" s="61">
        <v>17.276</v>
      </c>
      <c r="V277" s="61">
        <v>4.673</v>
      </c>
      <c r="W277" s="61">
        <v>1.2909999999999999</v>
      </c>
      <c r="X277" s="61">
        <v>203.6</v>
      </c>
      <c r="Y277" s="61">
        <v>49.066000000000003</v>
      </c>
      <c r="Z277" s="61">
        <v>19.827999999999999</v>
      </c>
      <c r="AA277" s="61">
        <v>272.49400000000003</v>
      </c>
      <c r="AB277" s="60">
        <v>559.12</v>
      </c>
      <c r="AC277" s="62"/>
      <c r="AD277" s="61"/>
      <c r="AE277" s="61"/>
      <c r="AF277" s="61"/>
      <c r="AG277" s="61"/>
      <c r="AH277" s="61"/>
      <c r="AI277" s="61"/>
      <c r="AJ277" s="61"/>
      <c r="AK277" s="62"/>
      <c r="AL277" s="63"/>
      <c r="AM277" s="64"/>
      <c r="AN277" s="65" t="e">
        <v>#N/A</v>
      </c>
      <c r="AO277" s="61" t="e">
        <v>#N/A</v>
      </c>
      <c r="AP277" s="61" t="e">
        <v>#N/A</v>
      </c>
      <c r="AQ277" s="61" t="e">
        <v>#N/A</v>
      </c>
      <c r="AR277" s="61" t="e">
        <v>#N/A</v>
      </c>
      <c r="AS277" s="61" t="e">
        <v>#N/A</v>
      </c>
      <c r="AT277" s="61" t="e">
        <v>#N/A</v>
      </c>
      <c r="AU277" s="61" t="e">
        <v>#N/A</v>
      </c>
      <c r="AV277" s="61" t="e">
        <v>#N/A</v>
      </c>
      <c r="AW277" s="61" t="e">
        <v>#N/A</v>
      </c>
      <c r="AX277" s="65" t="e">
        <v>#N/A</v>
      </c>
      <c r="AY277" s="66">
        <v>0.54200000000000004</v>
      </c>
      <c r="AZ277" s="61">
        <v>4.3890000000000002</v>
      </c>
      <c r="BA277" s="61">
        <v>42.74</v>
      </c>
      <c r="BB277" s="61">
        <v>47.670999999999999</v>
      </c>
      <c r="BC277" s="61">
        <v>0.1</v>
      </c>
      <c r="BD277" s="61">
        <v>0.37</v>
      </c>
      <c r="BE277" s="61">
        <v>0.02</v>
      </c>
      <c r="BF277" s="61" t="s">
        <v>122</v>
      </c>
      <c r="BG277" s="61">
        <v>5.9560000000000004</v>
      </c>
      <c r="BH277" s="61">
        <v>3.8820000000000001</v>
      </c>
      <c r="BI277" s="61">
        <v>1.6E-2</v>
      </c>
      <c r="BJ277" s="61">
        <v>9.8539999999999992</v>
      </c>
      <c r="BK277" s="66">
        <v>10.343999999999999</v>
      </c>
      <c r="BL277" s="67">
        <v>13.138999999999999</v>
      </c>
      <c r="BM277" s="61" t="s">
        <v>121</v>
      </c>
      <c r="BN277" s="61" t="s">
        <v>121</v>
      </c>
      <c r="BO277" s="61" t="s">
        <v>121</v>
      </c>
      <c r="BP277" s="61">
        <v>13.138999999999999</v>
      </c>
      <c r="BQ277" s="61">
        <v>258.791</v>
      </c>
      <c r="BR277" s="61">
        <v>16.117000000000001</v>
      </c>
      <c r="BS277" s="61">
        <v>0.26</v>
      </c>
      <c r="BT277" s="61">
        <v>1.2909999999999999</v>
      </c>
      <c r="BU277" s="61">
        <v>11.108000000000001</v>
      </c>
      <c r="BV277" s="61">
        <v>28.609000000000002</v>
      </c>
      <c r="BW277" s="61">
        <v>39.716999999999999</v>
      </c>
      <c r="BX277" s="67">
        <v>316.17500000000001</v>
      </c>
      <c r="BY277" s="68">
        <v>100239</v>
      </c>
      <c r="BZ277" s="68">
        <v>96981</v>
      </c>
      <c r="CA277" s="69">
        <v>7852</v>
      </c>
      <c r="CB277" s="68">
        <v>135426</v>
      </c>
      <c r="CC277" s="68">
        <v>7069</v>
      </c>
      <c r="CD277" s="61"/>
      <c r="CE277" s="64"/>
      <c r="CF277" s="64"/>
      <c r="CG277" s="70">
        <f t="shared" si="21"/>
        <v>5687.8919999999998</v>
      </c>
      <c r="CH277" s="70">
        <f t="shared" si="22"/>
        <v>329.78399999999999</v>
      </c>
      <c r="CI277" s="70">
        <f t="shared" si="23"/>
        <v>296.89800000000002</v>
      </c>
      <c r="CJ277" s="70">
        <f t="shared" si="25"/>
        <v>4210.0379999999996</v>
      </c>
      <c r="CK277" s="70">
        <f t="shared" si="25"/>
        <v>4073.2020000000002</v>
      </c>
      <c r="CL277" s="70">
        <f t="shared" si="24"/>
        <v>296.89800000000002</v>
      </c>
      <c r="CM277" s="61"/>
      <c r="CN277" s="61"/>
      <c r="CO277" s="61"/>
      <c r="CP277" s="61"/>
      <c r="CQ277" s="61"/>
      <c r="CR277" s="61"/>
      <c r="CS277" s="61"/>
      <c r="CT277" s="61"/>
      <c r="CU277" s="61"/>
      <c r="CV277" s="61"/>
      <c r="CW277" s="61"/>
      <c r="CX277" s="61"/>
      <c r="CY277" s="61"/>
      <c r="CZ277" s="61"/>
      <c r="DA277" s="61"/>
      <c r="DB277" s="61"/>
      <c r="DC277" s="61"/>
      <c r="DD277" s="61"/>
      <c r="DE277" s="61"/>
      <c r="DF277" s="61"/>
      <c r="DG277" s="61"/>
      <c r="DH277" s="61"/>
      <c r="DI277" s="61"/>
      <c r="DJ277" s="61"/>
      <c r="DK277" s="61"/>
      <c r="DL277" s="61"/>
      <c r="DM277" s="61"/>
      <c r="DN277" s="61"/>
      <c r="DO277" s="61"/>
      <c r="DP277" s="61"/>
      <c r="DQ277" s="61"/>
      <c r="DR277" s="61"/>
      <c r="DS277" s="61"/>
      <c r="DT277" s="61"/>
      <c r="DU277" s="61"/>
      <c r="DV277" s="61"/>
      <c r="DW277" s="61"/>
      <c r="DX277" s="61"/>
      <c r="DY277" s="61"/>
      <c r="DZ277" s="61"/>
      <c r="EA277" s="61"/>
      <c r="EB277" s="61"/>
      <c r="EC277" s="61"/>
      <c r="ED277" s="61"/>
      <c r="EE277" s="61"/>
      <c r="EF277" s="61"/>
      <c r="EG277" s="61"/>
      <c r="EH277" s="61"/>
      <c r="EI277" s="61"/>
      <c r="EJ277" s="61"/>
      <c r="EK277" s="61"/>
      <c r="EL277" s="61"/>
      <c r="EM277" s="61"/>
      <c r="EN277" s="61"/>
      <c r="EO277" s="61"/>
      <c r="EP277" s="61"/>
      <c r="EQ277" s="61"/>
      <c r="ER277" s="61"/>
      <c r="ES277" s="61"/>
      <c r="ET277" s="61"/>
      <c r="EU277" s="61"/>
      <c r="EV277" s="61"/>
      <c r="EW277" s="61"/>
    </row>
    <row r="278" spans="1:153">
      <c r="A278" s="56">
        <v>35034</v>
      </c>
      <c r="B278" s="57"/>
      <c r="C278" s="7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71"/>
      <c r="P278" s="60">
        <v>199.04900000000001</v>
      </c>
      <c r="Q278" s="61">
        <v>17.201000000000001</v>
      </c>
      <c r="R278" s="61">
        <v>262.69400000000002</v>
      </c>
      <c r="S278" s="61">
        <v>585.64200000000005</v>
      </c>
      <c r="T278" s="61">
        <v>301.13900000000001</v>
      </c>
      <c r="U278" s="61">
        <v>16.542000000000002</v>
      </c>
      <c r="V278" s="61">
        <v>4.2729999999999997</v>
      </c>
      <c r="W278" s="61">
        <v>0.99399999999999999</v>
      </c>
      <c r="X278" s="61">
        <v>199.04900000000001</v>
      </c>
      <c r="Y278" s="61">
        <v>46.444000000000003</v>
      </c>
      <c r="Z278" s="61">
        <v>17.684000000000001</v>
      </c>
      <c r="AA278" s="61">
        <v>263.17599999999999</v>
      </c>
      <c r="AB278" s="60">
        <v>586.12400000000002</v>
      </c>
      <c r="AC278" s="62"/>
      <c r="AD278" s="61"/>
      <c r="AE278" s="61"/>
      <c r="AF278" s="61"/>
      <c r="AG278" s="61"/>
      <c r="AH278" s="61"/>
      <c r="AI278" s="61"/>
      <c r="AJ278" s="61"/>
      <c r="AK278" s="62"/>
      <c r="AL278" s="63"/>
      <c r="AM278" s="64"/>
      <c r="AN278" s="65" t="e">
        <v>#N/A</v>
      </c>
      <c r="AO278" s="61" t="e">
        <v>#N/A</v>
      </c>
      <c r="AP278" s="61" t="e">
        <v>#N/A</v>
      </c>
      <c r="AQ278" s="61" t="e">
        <v>#N/A</v>
      </c>
      <c r="AR278" s="61" t="e">
        <v>#N/A</v>
      </c>
      <c r="AS278" s="61" t="e">
        <v>#N/A</v>
      </c>
      <c r="AT278" s="61" t="e">
        <v>#N/A</v>
      </c>
      <c r="AU278" s="61" t="e">
        <v>#N/A</v>
      </c>
      <c r="AV278" s="61" t="e">
        <v>#N/A</v>
      </c>
      <c r="AW278" s="61" t="e">
        <v>#N/A</v>
      </c>
      <c r="AX278" s="65" t="e">
        <v>#N/A</v>
      </c>
      <c r="AY278" s="66">
        <v>0.56100000000000005</v>
      </c>
      <c r="AZ278" s="61">
        <v>4.1660000000000004</v>
      </c>
      <c r="BA278" s="61">
        <v>44.164000000000001</v>
      </c>
      <c r="BB278" s="61">
        <v>48.890999999999998</v>
      </c>
      <c r="BC278" s="61">
        <v>0.115</v>
      </c>
      <c r="BD278" s="61">
        <v>0.38200000000000001</v>
      </c>
      <c r="BE278" s="61">
        <v>1.9E-2</v>
      </c>
      <c r="BF278" s="61" t="s">
        <v>122</v>
      </c>
      <c r="BG278" s="61">
        <v>6.1449999999999996</v>
      </c>
      <c r="BH278" s="61">
        <v>3.5539999999999998</v>
      </c>
      <c r="BI278" s="61">
        <v>1.2999999999999999E-2</v>
      </c>
      <c r="BJ278" s="61">
        <v>9.7119999999999997</v>
      </c>
      <c r="BK278" s="66">
        <v>10.228</v>
      </c>
      <c r="BL278" s="67">
        <v>10.084</v>
      </c>
      <c r="BM278" s="61" t="s">
        <v>121</v>
      </c>
      <c r="BN278" s="61" t="s">
        <v>121</v>
      </c>
      <c r="BO278" s="61" t="s">
        <v>121</v>
      </c>
      <c r="BP278" s="61">
        <v>10.084</v>
      </c>
      <c r="BQ278" s="61">
        <v>295.88600000000002</v>
      </c>
      <c r="BR278" s="61">
        <v>15.343999999999999</v>
      </c>
      <c r="BS278" s="61">
        <v>8.4000000000000005E-2</v>
      </c>
      <c r="BT278" s="61">
        <v>0.99399999999999999</v>
      </c>
      <c r="BU278" s="61">
        <v>10.449</v>
      </c>
      <c r="BV278" s="61">
        <v>26.193000000000001</v>
      </c>
      <c r="BW278" s="61">
        <v>36.643000000000001</v>
      </c>
      <c r="BX278" s="67">
        <v>348.95</v>
      </c>
      <c r="BY278" s="68">
        <v>103679</v>
      </c>
      <c r="BZ278" s="68">
        <v>106923</v>
      </c>
      <c r="CA278" s="69">
        <v>7276</v>
      </c>
      <c r="CB278" s="68">
        <v>130214</v>
      </c>
      <c r="CC278" s="68">
        <v>9244</v>
      </c>
      <c r="CD278" s="61"/>
      <c r="CE278" s="64"/>
      <c r="CF278" s="64"/>
      <c r="CG278" s="70">
        <f t="shared" si="21"/>
        <v>5468.9880000000003</v>
      </c>
      <c r="CH278" s="70">
        <f t="shared" si="22"/>
        <v>305.59199999999998</v>
      </c>
      <c r="CI278" s="70">
        <f t="shared" si="23"/>
        <v>388.24799999999999</v>
      </c>
      <c r="CJ278" s="70">
        <f t="shared" si="25"/>
        <v>4354.518</v>
      </c>
      <c r="CK278" s="70">
        <f t="shared" si="25"/>
        <v>4490.7659999999996</v>
      </c>
      <c r="CL278" s="70">
        <f t="shared" si="24"/>
        <v>388.24799999999999</v>
      </c>
      <c r="CM278" s="61"/>
      <c r="CN278" s="61"/>
      <c r="CO278" s="61"/>
      <c r="CP278" s="61"/>
      <c r="CQ278" s="61"/>
      <c r="CR278" s="61"/>
      <c r="CS278" s="61"/>
      <c r="CT278" s="61"/>
      <c r="CU278" s="61"/>
      <c r="CV278" s="61"/>
      <c r="CW278" s="61"/>
      <c r="CX278" s="61"/>
      <c r="CY278" s="61"/>
      <c r="CZ278" s="61"/>
      <c r="DA278" s="61"/>
      <c r="DB278" s="61"/>
      <c r="DC278" s="61"/>
      <c r="DD278" s="61"/>
      <c r="DE278" s="61"/>
      <c r="DF278" s="61"/>
      <c r="DG278" s="61"/>
      <c r="DH278" s="61"/>
      <c r="DI278" s="61"/>
      <c r="DJ278" s="61"/>
      <c r="DK278" s="61"/>
      <c r="DL278" s="61"/>
      <c r="DM278" s="61"/>
      <c r="DN278" s="61"/>
      <c r="DO278" s="61"/>
      <c r="DP278" s="61"/>
      <c r="DQ278" s="61"/>
      <c r="DR278" s="61"/>
      <c r="DS278" s="61"/>
      <c r="DT278" s="61"/>
      <c r="DU278" s="61"/>
      <c r="DV278" s="61"/>
      <c r="DW278" s="61"/>
      <c r="DX278" s="61"/>
      <c r="DY278" s="61"/>
      <c r="DZ278" s="61"/>
      <c r="EA278" s="61"/>
      <c r="EB278" s="61"/>
      <c r="EC278" s="61"/>
      <c r="ED278" s="61"/>
      <c r="EE278" s="61"/>
      <c r="EF278" s="61"/>
      <c r="EG278" s="61"/>
      <c r="EH278" s="61"/>
      <c r="EI278" s="61"/>
      <c r="EJ278" s="61"/>
      <c r="EK278" s="61"/>
      <c r="EL278" s="61"/>
      <c r="EM278" s="61"/>
      <c r="EN278" s="61"/>
      <c r="EO278" s="61"/>
      <c r="EP278" s="61"/>
      <c r="EQ278" s="61"/>
      <c r="ER278" s="61"/>
      <c r="ES278" s="61"/>
      <c r="ET278" s="61"/>
      <c r="EU278" s="61"/>
      <c r="EV278" s="61"/>
      <c r="EW278" s="61"/>
    </row>
    <row r="279" spans="1:153">
      <c r="A279" s="56">
        <v>35065</v>
      </c>
      <c r="B279" s="57"/>
      <c r="C279" s="7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71"/>
      <c r="P279" s="60">
        <v>215.33699999999999</v>
      </c>
      <c r="Q279" s="61">
        <v>16.091999999999999</v>
      </c>
      <c r="R279" s="61">
        <v>272.584</v>
      </c>
      <c r="S279" s="61">
        <v>606.65</v>
      </c>
      <c r="T279" s="61">
        <v>317.65800000000002</v>
      </c>
      <c r="U279" s="61">
        <v>11.3</v>
      </c>
      <c r="V279" s="61">
        <v>3.5859999999999999</v>
      </c>
      <c r="W279" s="61">
        <v>1.5229999999999999</v>
      </c>
      <c r="X279" s="61">
        <v>215.33699999999999</v>
      </c>
      <c r="Y279" s="61">
        <v>41.154000000000003</v>
      </c>
      <c r="Z279" s="61">
        <v>17.094999999999999</v>
      </c>
      <c r="AA279" s="61">
        <v>273.58600000000001</v>
      </c>
      <c r="AB279" s="60">
        <v>607.65200000000004</v>
      </c>
      <c r="AC279" s="62"/>
      <c r="AD279" s="61"/>
      <c r="AE279" s="61"/>
      <c r="AF279" s="61"/>
      <c r="AG279" s="61"/>
      <c r="AH279" s="61"/>
      <c r="AI279" s="61"/>
      <c r="AJ279" s="61"/>
      <c r="AK279" s="62"/>
      <c r="AL279" s="63"/>
      <c r="AM279" s="64"/>
      <c r="AN279" s="65" t="e">
        <v>#N/A</v>
      </c>
      <c r="AO279" s="61" t="e">
        <v>#N/A</v>
      </c>
      <c r="AP279" s="61" t="e">
        <v>#N/A</v>
      </c>
      <c r="AQ279" s="61" t="e">
        <v>#N/A</v>
      </c>
      <c r="AR279" s="61" t="e">
        <v>#N/A</v>
      </c>
      <c r="AS279" s="61" t="e">
        <v>#N/A</v>
      </c>
      <c r="AT279" s="61" t="e">
        <v>#N/A</v>
      </c>
      <c r="AU279" s="61" t="e">
        <v>#N/A</v>
      </c>
      <c r="AV279" s="61" t="e">
        <v>#N/A</v>
      </c>
      <c r="AW279" s="61" t="e">
        <v>#N/A</v>
      </c>
      <c r="AX279" s="65" t="e">
        <v>#N/A</v>
      </c>
      <c r="AY279" s="66">
        <v>0.59299999999999997</v>
      </c>
      <c r="AZ279" s="61">
        <v>3.4289999999999998</v>
      </c>
      <c r="BA279" s="61">
        <v>45.738</v>
      </c>
      <c r="BB279" s="61">
        <v>49.76</v>
      </c>
      <c r="BC279" s="61">
        <v>0.115</v>
      </c>
      <c r="BD279" s="61">
        <v>0.44900000000000001</v>
      </c>
      <c r="BE279" s="61">
        <v>1.7999999999999999E-2</v>
      </c>
      <c r="BF279" s="61" t="s">
        <v>122</v>
      </c>
      <c r="BG279" s="61">
        <v>6.42</v>
      </c>
      <c r="BH279" s="61">
        <v>3.4489999999999998</v>
      </c>
      <c r="BI279" s="61">
        <v>1.7999999999999999E-2</v>
      </c>
      <c r="BJ279" s="61">
        <v>9.8859999999999992</v>
      </c>
      <c r="BK279" s="66">
        <v>10.468</v>
      </c>
      <c r="BL279" s="67">
        <v>10.006</v>
      </c>
      <c r="BM279" s="61" t="s">
        <v>121</v>
      </c>
      <c r="BN279" s="61" t="s">
        <v>121</v>
      </c>
      <c r="BO279" s="61" t="s">
        <v>121</v>
      </c>
      <c r="BP279" s="61">
        <v>10.006</v>
      </c>
      <c r="BQ279" s="61">
        <v>312.16500000000002</v>
      </c>
      <c r="BR279" s="61">
        <v>10.012</v>
      </c>
      <c r="BS279" s="61">
        <v>0.13400000000000001</v>
      </c>
      <c r="BT279" s="61">
        <v>1.5229999999999999</v>
      </c>
      <c r="BU279" s="61">
        <v>12.561999999999999</v>
      </c>
      <c r="BV279" s="61">
        <v>19.536999999999999</v>
      </c>
      <c r="BW279" s="61">
        <v>32.098999999999997</v>
      </c>
      <c r="BX279" s="67">
        <v>355.93400000000003</v>
      </c>
      <c r="BY279" s="68">
        <v>96260</v>
      </c>
      <c r="BZ279" s="68">
        <v>114215</v>
      </c>
      <c r="CA279" s="69">
        <v>8290</v>
      </c>
      <c r="CB279" s="68">
        <v>113842</v>
      </c>
      <c r="CC279" s="68">
        <v>6707</v>
      </c>
      <c r="CD279" s="61"/>
      <c r="CE279" s="64"/>
      <c r="CF279" s="64"/>
      <c r="CG279" s="70">
        <f t="shared" si="21"/>
        <v>4781.3639999999996</v>
      </c>
      <c r="CH279" s="70">
        <f t="shared" si="22"/>
        <v>348.18</v>
      </c>
      <c r="CI279" s="70">
        <f t="shared" si="23"/>
        <v>281.69400000000002</v>
      </c>
      <c r="CJ279" s="70">
        <f t="shared" si="25"/>
        <v>4042.92</v>
      </c>
      <c r="CK279" s="70">
        <f t="shared" si="25"/>
        <v>4797.03</v>
      </c>
      <c r="CL279" s="70">
        <f t="shared" si="24"/>
        <v>281.69400000000002</v>
      </c>
      <c r="CM279" s="61"/>
      <c r="CN279" s="61"/>
      <c r="CO279" s="61"/>
      <c r="CP279" s="61"/>
      <c r="CQ279" s="61"/>
      <c r="CR279" s="61"/>
      <c r="CS279" s="61"/>
      <c r="CT279" s="61"/>
      <c r="CU279" s="61"/>
      <c r="CV279" s="61"/>
      <c r="CW279" s="61"/>
      <c r="CX279" s="61"/>
      <c r="CY279" s="61"/>
      <c r="CZ279" s="61"/>
      <c r="DA279" s="61"/>
      <c r="DB279" s="61"/>
      <c r="DC279" s="61"/>
      <c r="DD279" s="61"/>
      <c r="DE279" s="61"/>
      <c r="DF279" s="61"/>
      <c r="DG279" s="61"/>
      <c r="DH279" s="61"/>
      <c r="DI279" s="61"/>
      <c r="DJ279" s="61"/>
      <c r="DK279" s="61"/>
      <c r="DL279" s="61"/>
      <c r="DM279" s="61"/>
      <c r="DN279" s="61"/>
      <c r="DO279" s="61"/>
      <c r="DP279" s="61"/>
      <c r="DQ279" s="61"/>
      <c r="DR279" s="61"/>
      <c r="DS279" s="61"/>
      <c r="DT279" s="61"/>
      <c r="DU279" s="61"/>
      <c r="DV279" s="61"/>
      <c r="DW279" s="61"/>
      <c r="DX279" s="61"/>
      <c r="DY279" s="61"/>
      <c r="DZ279" s="61"/>
      <c r="EA279" s="61"/>
      <c r="EB279" s="61"/>
      <c r="EC279" s="61"/>
      <c r="ED279" s="61"/>
      <c r="EE279" s="61"/>
      <c r="EF279" s="61"/>
      <c r="EG279" s="61"/>
      <c r="EH279" s="61"/>
      <c r="EI279" s="61"/>
      <c r="EJ279" s="61"/>
      <c r="EK279" s="61"/>
      <c r="EL279" s="61"/>
      <c r="EM279" s="61"/>
      <c r="EN279" s="61"/>
      <c r="EO279" s="61"/>
      <c r="EP279" s="61"/>
      <c r="EQ279" s="61"/>
      <c r="ER279" s="61"/>
      <c r="ES279" s="61"/>
      <c r="ET279" s="61"/>
      <c r="EU279" s="61"/>
      <c r="EV279" s="61"/>
      <c r="EW279" s="61"/>
    </row>
    <row r="280" spans="1:153">
      <c r="A280" s="56">
        <v>35096</v>
      </c>
      <c r="B280" s="57"/>
      <c r="C280" s="7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71"/>
      <c r="P280" s="60">
        <v>169.48500000000001</v>
      </c>
      <c r="Q280" s="61">
        <v>12.824999999999999</v>
      </c>
      <c r="R280" s="61">
        <v>226.03800000000001</v>
      </c>
      <c r="S280" s="61">
        <v>571.30200000000002</v>
      </c>
      <c r="T280" s="61">
        <v>328.77199999999999</v>
      </c>
      <c r="U280" s="61">
        <v>11.417999999999999</v>
      </c>
      <c r="V280" s="61">
        <v>3.9169999999999998</v>
      </c>
      <c r="W280" s="61">
        <v>1.1559999999999999</v>
      </c>
      <c r="X280" s="61">
        <v>169.48500000000001</v>
      </c>
      <c r="Y280" s="61">
        <v>43.728999999999999</v>
      </c>
      <c r="Z280" s="61">
        <v>14.423999999999999</v>
      </c>
      <c r="AA280" s="61">
        <v>227.637</v>
      </c>
      <c r="AB280" s="60">
        <v>572.90099999999995</v>
      </c>
      <c r="AC280" s="62"/>
      <c r="AD280" s="61"/>
      <c r="AE280" s="61"/>
      <c r="AF280" s="61"/>
      <c r="AG280" s="61"/>
      <c r="AH280" s="61"/>
      <c r="AI280" s="61"/>
      <c r="AJ280" s="61"/>
      <c r="AK280" s="62"/>
      <c r="AL280" s="63"/>
      <c r="AM280" s="64"/>
      <c r="AN280" s="65" t="e">
        <v>#N/A</v>
      </c>
      <c r="AO280" s="61" t="e">
        <v>#N/A</v>
      </c>
      <c r="AP280" s="61" t="e">
        <v>#N/A</v>
      </c>
      <c r="AQ280" s="61" t="e">
        <v>#N/A</v>
      </c>
      <c r="AR280" s="61" t="e">
        <v>#N/A</v>
      </c>
      <c r="AS280" s="61" t="e">
        <v>#N/A</v>
      </c>
      <c r="AT280" s="61" t="e">
        <v>#N/A</v>
      </c>
      <c r="AU280" s="61" t="e">
        <v>#N/A</v>
      </c>
      <c r="AV280" s="61" t="e">
        <v>#N/A</v>
      </c>
      <c r="AW280" s="61" t="e">
        <v>#N/A</v>
      </c>
      <c r="AX280" s="65" t="e">
        <v>#N/A</v>
      </c>
      <c r="AY280" s="66">
        <v>0.55500000000000005</v>
      </c>
      <c r="AZ280" s="61">
        <v>3.6970000000000001</v>
      </c>
      <c r="BA280" s="61">
        <v>42.786999999999999</v>
      </c>
      <c r="BB280" s="61">
        <v>47.037999999999997</v>
      </c>
      <c r="BC280" s="61">
        <v>0.11899999999999999</v>
      </c>
      <c r="BD280" s="61">
        <v>0.42</v>
      </c>
      <c r="BE280" s="61">
        <v>1.9E-2</v>
      </c>
      <c r="BF280" s="61" t="s">
        <v>122</v>
      </c>
      <c r="BG280" s="61">
        <v>5.968</v>
      </c>
      <c r="BH280" s="61">
        <v>3.9329999999999998</v>
      </c>
      <c r="BI280" s="61">
        <v>1.6E-2</v>
      </c>
      <c r="BJ280" s="61">
        <v>9.9160000000000004</v>
      </c>
      <c r="BK280" s="66">
        <v>10.475</v>
      </c>
      <c r="BL280" s="67">
        <v>8.7620000000000005</v>
      </c>
      <c r="BM280" s="61" t="s">
        <v>121</v>
      </c>
      <c r="BN280" s="61" t="s">
        <v>121</v>
      </c>
      <c r="BO280" s="61" t="s">
        <v>121</v>
      </c>
      <c r="BP280" s="61">
        <v>8.7620000000000005</v>
      </c>
      <c r="BQ280" s="61">
        <v>323.08699999999999</v>
      </c>
      <c r="BR280" s="61">
        <v>10.214</v>
      </c>
      <c r="BS280" s="61">
        <v>0.19700000000000001</v>
      </c>
      <c r="BT280" s="61">
        <v>1.1559999999999999</v>
      </c>
      <c r="BU280" s="61">
        <v>8.58</v>
      </c>
      <c r="BV280" s="61">
        <v>22.28</v>
      </c>
      <c r="BW280" s="61">
        <v>30.86</v>
      </c>
      <c r="BX280" s="67">
        <v>365.51400000000001</v>
      </c>
      <c r="BY280" s="68">
        <v>90869</v>
      </c>
      <c r="BZ280" s="68">
        <v>108074</v>
      </c>
      <c r="CA280" s="69">
        <v>8100</v>
      </c>
      <c r="CB280" s="68">
        <v>97323</v>
      </c>
      <c r="CC280" s="68">
        <v>7414</v>
      </c>
      <c r="CD280" s="61"/>
      <c r="CE280" s="64"/>
      <c r="CF280" s="64"/>
      <c r="CG280" s="70">
        <f t="shared" si="21"/>
        <v>4087.5659999999998</v>
      </c>
      <c r="CH280" s="70">
        <f t="shared" si="22"/>
        <v>340.2</v>
      </c>
      <c r="CI280" s="70">
        <f t="shared" si="23"/>
        <v>311.38799999999998</v>
      </c>
      <c r="CJ280" s="70">
        <f t="shared" si="25"/>
        <v>3816.498</v>
      </c>
      <c r="CK280" s="70">
        <f t="shared" si="25"/>
        <v>4539.1080000000002</v>
      </c>
      <c r="CL280" s="70">
        <f t="shared" si="24"/>
        <v>311.38799999999998</v>
      </c>
      <c r="CM280" s="61"/>
      <c r="CN280" s="61"/>
      <c r="CO280" s="61"/>
      <c r="CP280" s="61"/>
      <c r="CQ280" s="61"/>
      <c r="CR280" s="61"/>
      <c r="CS280" s="61"/>
      <c r="CT280" s="61"/>
      <c r="CU280" s="61"/>
      <c r="CV280" s="61"/>
      <c r="CW280" s="61"/>
      <c r="CX280" s="61"/>
      <c r="CY280" s="61"/>
      <c r="CZ280" s="61"/>
      <c r="DA280" s="61"/>
      <c r="DB280" s="61"/>
      <c r="DC280" s="61"/>
      <c r="DD280" s="61"/>
      <c r="DE280" s="61"/>
      <c r="DF280" s="61"/>
      <c r="DG280" s="61"/>
      <c r="DH280" s="61"/>
      <c r="DI280" s="61"/>
      <c r="DJ280" s="61"/>
      <c r="DK280" s="61"/>
      <c r="DL280" s="61"/>
      <c r="DM280" s="61"/>
      <c r="DN280" s="61"/>
      <c r="DO280" s="61"/>
      <c r="DP280" s="61"/>
      <c r="DQ280" s="61"/>
      <c r="DR280" s="61"/>
      <c r="DS280" s="61"/>
      <c r="DT280" s="61"/>
      <c r="DU280" s="61"/>
      <c r="DV280" s="61"/>
      <c r="DW280" s="61"/>
      <c r="DX280" s="61"/>
      <c r="DY280" s="61"/>
      <c r="DZ280" s="61"/>
      <c r="EA280" s="61"/>
      <c r="EB280" s="61"/>
      <c r="EC280" s="61"/>
      <c r="ED280" s="61"/>
      <c r="EE280" s="61"/>
      <c r="EF280" s="61"/>
      <c r="EG280" s="61"/>
      <c r="EH280" s="61"/>
      <c r="EI280" s="61"/>
      <c r="EJ280" s="61"/>
      <c r="EK280" s="61"/>
      <c r="EL280" s="61"/>
      <c r="EM280" s="61"/>
      <c r="EN280" s="61"/>
      <c r="EO280" s="61"/>
      <c r="EP280" s="61"/>
      <c r="EQ280" s="61"/>
      <c r="ER280" s="61"/>
      <c r="ES280" s="61"/>
      <c r="ET280" s="61"/>
      <c r="EU280" s="61"/>
      <c r="EV280" s="61"/>
      <c r="EW280" s="61"/>
    </row>
    <row r="281" spans="1:153">
      <c r="A281" s="56">
        <v>35125</v>
      </c>
      <c r="B281" s="57"/>
      <c r="C281" s="7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71"/>
      <c r="P281" s="60">
        <v>196.55799999999999</v>
      </c>
      <c r="Q281" s="61">
        <v>14.13</v>
      </c>
      <c r="R281" s="61">
        <v>259.03899999999999</v>
      </c>
      <c r="S281" s="61">
        <v>627.92200000000003</v>
      </c>
      <c r="T281" s="61">
        <v>350.334</v>
      </c>
      <c r="U281" s="61">
        <v>10.872</v>
      </c>
      <c r="V281" s="61">
        <v>5.7380000000000004</v>
      </c>
      <c r="W281" s="61">
        <v>1.9390000000000001</v>
      </c>
      <c r="X281" s="61">
        <v>196.55799999999999</v>
      </c>
      <c r="Y281" s="61">
        <v>48.351999999999997</v>
      </c>
      <c r="Z281" s="61">
        <v>14.816000000000001</v>
      </c>
      <c r="AA281" s="61">
        <v>259.726</v>
      </c>
      <c r="AB281" s="60">
        <v>628.60900000000004</v>
      </c>
      <c r="AC281" s="62"/>
      <c r="AD281" s="61"/>
      <c r="AE281" s="61"/>
      <c r="AF281" s="61"/>
      <c r="AG281" s="61"/>
      <c r="AH281" s="61"/>
      <c r="AI281" s="61"/>
      <c r="AJ281" s="61"/>
      <c r="AK281" s="62"/>
      <c r="AL281" s="63"/>
      <c r="AM281" s="64"/>
      <c r="AN281" s="65" t="e">
        <v>#N/A</v>
      </c>
      <c r="AO281" s="61" t="e">
        <v>#N/A</v>
      </c>
      <c r="AP281" s="61" t="e">
        <v>#N/A</v>
      </c>
      <c r="AQ281" s="61" t="e">
        <v>#N/A</v>
      </c>
      <c r="AR281" s="61" t="e">
        <v>#N/A</v>
      </c>
      <c r="AS281" s="61" t="e">
        <v>#N/A</v>
      </c>
      <c r="AT281" s="61" t="e">
        <v>#N/A</v>
      </c>
      <c r="AU281" s="61" t="e">
        <v>#N/A</v>
      </c>
      <c r="AV281" s="61" t="e">
        <v>#N/A</v>
      </c>
      <c r="AW281" s="61" t="e">
        <v>#N/A</v>
      </c>
      <c r="AX281" s="65" t="e">
        <v>#N/A</v>
      </c>
      <c r="AY281" s="66">
        <v>0.59299999999999997</v>
      </c>
      <c r="AZ281" s="61">
        <v>5.093</v>
      </c>
      <c r="BA281" s="61">
        <v>45.738</v>
      </c>
      <c r="BB281" s="61">
        <v>51.423999999999999</v>
      </c>
      <c r="BC281" s="61">
        <v>0.127</v>
      </c>
      <c r="BD281" s="61">
        <v>0.44900000000000001</v>
      </c>
      <c r="BE281" s="61">
        <v>2.7E-2</v>
      </c>
      <c r="BF281" s="61" t="s">
        <v>122</v>
      </c>
      <c r="BG281" s="61">
        <v>6.3970000000000002</v>
      </c>
      <c r="BH281" s="61">
        <v>4.4210000000000003</v>
      </c>
      <c r="BI281" s="61">
        <v>1.4999999999999999E-2</v>
      </c>
      <c r="BJ281" s="61">
        <v>10.834</v>
      </c>
      <c r="BK281" s="66">
        <v>11.436999999999999</v>
      </c>
      <c r="BL281" s="67">
        <v>8.5950000000000006</v>
      </c>
      <c r="BM281" s="61" t="s">
        <v>121</v>
      </c>
      <c r="BN281" s="61" t="s">
        <v>121</v>
      </c>
      <c r="BO281" s="61" t="s">
        <v>121</v>
      </c>
      <c r="BP281" s="61">
        <v>8.5950000000000006</v>
      </c>
      <c r="BQ281" s="61">
        <v>344.27600000000001</v>
      </c>
      <c r="BR281" s="61">
        <v>9.5839999999999996</v>
      </c>
      <c r="BS281" s="61">
        <v>0.61199999999999999</v>
      </c>
      <c r="BT281" s="61">
        <v>1.9390000000000001</v>
      </c>
      <c r="BU281" s="61">
        <v>10.698</v>
      </c>
      <c r="BV281" s="61">
        <v>25.047000000000001</v>
      </c>
      <c r="BW281" s="61">
        <v>35.746000000000002</v>
      </c>
      <c r="BX281" s="67">
        <v>392.15699999999998</v>
      </c>
      <c r="BY281" s="68">
        <v>96322</v>
      </c>
      <c r="BZ281" s="68">
        <v>107597</v>
      </c>
      <c r="CA281" s="69">
        <v>7939</v>
      </c>
      <c r="CB281" s="68">
        <v>89673</v>
      </c>
      <c r="CC281" s="68">
        <v>4314</v>
      </c>
      <c r="CD281" s="61"/>
      <c r="CE281" s="64"/>
      <c r="CF281" s="64"/>
      <c r="CG281" s="70">
        <f t="shared" si="21"/>
        <v>3766.2660000000001</v>
      </c>
      <c r="CH281" s="70">
        <f t="shared" si="22"/>
        <v>333.43799999999999</v>
      </c>
      <c r="CI281" s="70">
        <f t="shared" si="23"/>
        <v>181.18799999999999</v>
      </c>
      <c r="CJ281" s="70">
        <f t="shared" si="25"/>
        <v>4045.5239999999999</v>
      </c>
      <c r="CK281" s="70">
        <f t="shared" si="25"/>
        <v>4519.0739999999996</v>
      </c>
      <c r="CL281" s="70">
        <f t="shared" si="24"/>
        <v>181.18799999999999</v>
      </c>
      <c r="CM281" s="61"/>
      <c r="CN281" s="61"/>
      <c r="CO281" s="61"/>
      <c r="CP281" s="61"/>
      <c r="CQ281" s="61"/>
      <c r="CR281" s="61"/>
      <c r="CS281" s="61"/>
      <c r="CT281" s="61"/>
      <c r="CU281" s="61"/>
      <c r="CV281" s="61"/>
      <c r="CW281" s="61"/>
      <c r="CX281" s="61"/>
      <c r="CY281" s="61"/>
      <c r="CZ281" s="61"/>
      <c r="DA281" s="61"/>
      <c r="DB281" s="61"/>
      <c r="DC281" s="61"/>
      <c r="DD281" s="61"/>
      <c r="DE281" s="61"/>
      <c r="DF281" s="61"/>
      <c r="DG281" s="61"/>
      <c r="DH281" s="61"/>
      <c r="DI281" s="61"/>
      <c r="DJ281" s="61"/>
      <c r="DK281" s="61"/>
      <c r="DL281" s="61"/>
      <c r="DM281" s="61"/>
      <c r="DN281" s="61"/>
      <c r="DO281" s="61"/>
      <c r="DP281" s="61"/>
      <c r="DQ281" s="61"/>
      <c r="DR281" s="61"/>
      <c r="DS281" s="61"/>
      <c r="DT281" s="61"/>
      <c r="DU281" s="61"/>
      <c r="DV281" s="61"/>
      <c r="DW281" s="61"/>
      <c r="DX281" s="61"/>
      <c r="DY281" s="61"/>
      <c r="DZ281" s="61"/>
      <c r="EA281" s="61"/>
      <c r="EB281" s="61"/>
      <c r="EC281" s="61"/>
      <c r="ED281" s="61"/>
      <c r="EE281" s="61"/>
      <c r="EF281" s="61"/>
      <c r="EG281" s="61"/>
      <c r="EH281" s="61"/>
      <c r="EI281" s="61"/>
      <c r="EJ281" s="61"/>
      <c r="EK281" s="61"/>
      <c r="EL281" s="61"/>
      <c r="EM281" s="61"/>
      <c r="EN281" s="61"/>
      <c r="EO281" s="61"/>
      <c r="EP281" s="61"/>
      <c r="EQ281" s="61"/>
      <c r="ER281" s="61"/>
      <c r="ES281" s="61"/>
      <c r="ET281" s="61"/>
      <c r="EU281" s="61"/>
      <c r="EV281" s="61"/>
      <c r="EW281" s="61"/>
    </row>
    <row r="282" spans="1:153">
      <c r="A282" s="56">
        <v>35156</v>
      </c>
      <c r="B282" s="57"/>
      <c r="C282" s="7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71"/>
      <c r="P282" s="60">
        <v>149.67099999999999</v>
      </c>
      <c r="Q282" s="61">
        <v>12.051</v>
      </c>
      <c r="R282" s="61">
        <v>205.72900000000001</v>
      </c>
      <c r="S282" s="61">
        <v>556.06500000000005</v>
      </c>
      <c r="T282" s="61">
        <v>329.25400000000002</v>
      </c>
      <c r="U282" s="61">
        <v>12.137</v>
      </c>
      <c r="V282" s="61">
        <v>6.4180000000000001</v>
      </c>
      <c r="W282" s="61">
        <v>2.5270000000000001</v>
      </c>
      <c r="X282" s="61">
        <v>149.67099999999999</v>
      </c>
      <c r="Y282" s="61">
        <v>44.006999999999998</v>
      </c>
      <c r="Z282" s="61">
        <v>12.103</v>
      </c>
      <c r="AA282" s="61">
        <v>205.78100000000001</v>
      </c>
      <c r="AB282" s="60">
        <v>556.11699999999996</v>
      </c>
      <c r="AC282" s="62"/>
      <c r="AD282" s="61"/>
      <c r="AE282" s="61"/>
      <c r="AF282" s="61"/>
      <c r="AG282" s="61"/>
      <c r="AH282" s="61"/>
      <c r="AI282" s="61"/>
      <c r="AJ282" s="61"/>
      <c r="AK282" s="62"/>
      <c r="AL282" s="63"/>
      <c r="AM282" s="64"/>
      <c r="AN282" s="65" t="e">
        <v>#N/A</v>
      </c>
      <c r="AO282" s="61" t="e">
        <v>#N/A</v>
      </c>
      <c r="AP282" s="61" t="e">
        <v>#N/A</v>
      </c>
      <c r="AQ282" s="61" t="e">
        <v>#N/A</v>
      </c>
      <c r="AR282" s="61" t="e">
        <v>#N/A</v>
      </c>
      <c r="AS282" s="61" t="e">
        <v>#N/A</v>
      </c>
      <c r="AT282" s="61" t="e">
        <v>#N/A</v>
      </c>
      <c r="AU282" s="61" t="e">
        <v>#N/A</v>
      </c>
      <c r="AV282" s="61" t="e">
        <v>#N/A</v>
      </c>
      <c r="AW282" s="61" t="e">
        <v>#N/A</v>
      </c>
      <c r="AX282" s="65" t="e">
        <v>#N/A</v>
      </c>
      <c r="AY282" s="66">
        <v>0.57399999999999995</v>
      </c>
      <c r="AZ282" s="61">
        <v>5.6139999999999999</v>
      </c>
      <c r="BA282" s="61">
        <v>44.262</v>
      </c>
      <c r="BB282" s="61">
        <v>50.45</v>
      </c>
      <c r="BC282" s="61">
        <v>0.11899999999999999</v>
      </c>
      <c r="BD282" s="61">
        <v>0.434</v>
      </c>
      <c r="BE282" s="61">
        <v>2.9000000000000001E-2</v>
      </c>
      <c r="BF282" s="61" t="s">
        <v>122</v>
      </c>
      <c r="BG282" s="61">
        <v>6.1440000000000001</v>
      </c>
      <c r="BH282" s="61">
        <v>3.9020000000000001</v>
      </c>
      <c r="BI282" s="61">
        <v>1.2E-2</v>
      </c>
      <c r="BJ282" s="61">
        <v>10.058</v>
      </c>
      <c r="BK282" s="66">
        <v>10.641</v>
      </c>
      <c r="BL282" s="67">
        <v>6.8049999999999997</v>
      </c>
      <c r="BM282" s="61" t="s">
        <v>121</v>
      </c>
      <c r="BN282" s="61" t="s">
        <v>121</v>
      </c>
      <c r="BO282" s="61" t="s">
        <v>121</v>
      </c>
      <c r="BP282" s="61">
        <v>6.8049999999999997</v>
      </c>
      <c r="BQ282" s="61">
        <v>323.56</v>
      </c>
      <c r="BR282" s="61">
        <v>10.891999999999999</v>
      </c>
      <c r="BS282" s="61">
        <v>0.76900000000000002</v>
      </c>
      <c r="BT282" s="61">
        <v>2.5270000000000001</v>
      </c>
      <c r="BU282" s="61">
        <v>6.3289999999999997</v>
      </c>
      <c r="BV282" s="61">
        <v>22.106999999999999</v>
      </c>
      <c r="BW282" s="61">
        <v>28.436</v>
      </c>
      <c r="BX282" s="67">
        <v>366.18299999999999</v>
      </c>
      <c r="BY282" s="68">
        <v>99014</v>
      </c>
      <c r="BZ282" s="68">
        <v>101375</v>
      </c>
      <c r="CA282" s="69">
        <v>7732</v>
      </c>
      <c r="CB282" s="68">
        <v>90053</v>
      </c>
      <c r="CC282" s="68">
        <v>4991</v>
      </c>
      <c r="CD282" s="61"/>
      <c r="CE282" s="64"/>
      <c r="CF282" s="64"/>
      <c r="CG282" s="70">
        <f t="shared" si="21"/>
        <v>3782.2260000000001</v>
      </c>
      <c r="CH282" s="70">
        <f t="shared" si="22"/>
        <v>324.74400000000003</v>
      </c>
      <c r="CI282" s="70">
        <f t="shared" si="23"/>
        <v>209.62200000000001</v>
      </c>
      <c r="CJ282" s="70">
        <f t="shared" si="25"/>
        <v>4158.5879999999997</v>
      </c>
      <c r="CK282" s="70">
        <f t="shared" si="25"/>
        <v>4257.75</v>
      </c>
      <c r="CL282" s="70">
        <f t="shared" si="24"/>
        <v>209.62200000000001</v>
      </c>
      <c r="CM282" s="61"/>
      <c r="CN282" s="61"/>
      <c r="CO282" s="61"/>
      <c r="CP282" s="61"/>
      <c r="CQ282" s="61"/>
      <c r="CR282" s="61"/>
      <c r="CS282" s="61"/>
      <c r="CT282" s="61"/>
      <c r="CU282" s="61"/>
      <c r="CV282" s="61"/>
      <c r="CW282" s="61"/>
      <c r="CX282" s="61"/>
      <c r="CY282" s="61"/>
      <c r="CZ282" s="61"/>
      <c r="DA282" s="61"/>
      <c r="DB282" s="61"/>
      <c r="DC282" s="61"/>
      <c r="DD282" s="61"/>
      <c r="DE282" s="61"/>
      <c r="DF282" s="61"/>
      <c r="DG282" s="61"/>
      <c r="DH282" s="61"/>
      <c r="DI282" s="61"/>
      <c r="DJ282" s="61"/>
      <c r="DK282" s="61"/>
      <c r="DL282" s="61"/>
      <c r="DM282" s="61"/>
      <c r="DN282" s="61"/>
      <c r="DO282" s="61"/>
      <c r="DP282" s="61"/>
      <c r="DQ282" s="61"/>
      <c r="DR282" s="61"/>
      <c r="DS282" s="61"/>
      <c r="DT282" s="61"/>
      <c r="DU282" s="61"/>
      <c r="DV282" s="61"/>
      <c r="DW282" s="61"/>
      <c r="DX282" s="61"/>
      <c r="DY282" s="61"/>
      <c r="DZ282" s="61"/>
      <c r="EA282" s="61"/>
      <c r="EB282" s="61"/>
      <c r="EC282" s="61"/>
      <c r="ED282" s="61"/>
      <c r="EE282" s="61"/>
      <c r="EF282" s="61"/>
      <c r="EG282" s="61"/>
      <c r="EH282" s="61"/>
      <c r="EI282" s="61"/>
      <c r="EJ282" s="61"/>
      <c r="EK282" s="61"/>
      <c r="EL282" s="61"/>
      <c r="EM282" s="61"/>
      <c r="EN282" s="61"/>
      <c r="EO282" s="61"/>
      <c r="EP282" s="61"/>
      <c r="EQ282" s="61"/>
      <c r="ER282" s="61"/>
      <c r="ES282" s="61"/>
      <c r="ET282" s="61"/>
      <c r="EU282" s="61"/>
      <c r="EV282" s="61"/>
      <c r="EW282" s="61"/>
    </row>
    <row r="283" spans="1:153">
      <c r="A283" s="56">
        <v>35186</v>
      </c>
      <c r="B283" s="57"/>
      <c r="C283" s="7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71"/>
      <c r="P283" s="60">
        <v>176.78700000000001</v>
      </c>
      <c r="Q283" s="61">
        <v>9.0090000000000003</v>
      </c>
      <c r="R283" s="61">
        <v>231.21100000000001</v>
      </c>
      <c r="S283" s="61">
        <v>594.90200000000004</v>
      </c>
      <c r="T283" s="61">
        <v>343.91500000000002</v>
      </c>
      <c r="U283" s="61">
        <v>8.6029999999999998</v>
      </c>
      <c r="V283" s="61">
        <v>7.1230000000000002</v>
      </c>
      <c r="W283" s="61">
        <v>4.05</v>
      </c>
      <c r="X283" s="61">
        <v>176.78700000000001</v>
      </c>
      <c r="Y283" s="61">
        <v>45.414999999999999</v>
      </c>
      <c r="Z283" s="61">
        <v>9.8800000000000008</v>
      </c>
      <c r="AA283" s="61">
        <v>232.08199999999999</v>
      </c>
      <c r="AB283" s="60">
        <v>595.77200000000005</v>
      </c>
      <c r="AC283" s="62"/>
      <c r="AD283" s="61"/>
      <c r="AE283" s="61"/>
      <c r="AF283" s="61"/>
      <c r="AG283" s="61"/>
      <c r="AH283" s="61"/>
      <c r="AI283" s="61"/>
      <c r="AJ283" s="61"/>
      <c r="AK283" s="62"/>
      <c r="AL283" s="63"/>
      <c r="AM283" s="64"/>
      <c r="AN283" s="65" t="e">
        <v>#N/A</v>
      </c>
      <c r="AO283" s="61" t="e">
        <v>#N/A</v>
      </c>
      <c r="AP283" s="61" t="e">
        <v>#N/A</v>
      </c>
      <c r="AQ283" s="61" t="e">
        <v>#N/A</v>
      </c>
      <c r="AR283" s="61" t="e">
        <v>#N/A</v>
      </c>
      <c r="AS283" s="61" t="e">
        <v>#N/A</v>
      </c>
      <c r="AT283" s="61" t="e">
        <v>#N/A</v>
      </c>
      <c r="AU283" s="61" t="e">
        <v>#N/A</v>
      </c>
      <c r="AV283" s="61" t="e">
        <v>#N/A</v>
      </c>
      <c r="AW283" s="61" t="e">
        <v>#N/A</v>
      </c>
      <c r="AX283" s="65" t="e">
        <v>#N/A</v>
      </c>
      <c r="AY283" s="66">
        <v>0.59299999999999997</v>
      </c>
      <c r="AZ283" s="61">
        <v>6.1970000000000001</v>
      </c>
      <c r="BA283" s="61">
        <v>45.738</v>
      </c>
      <c r="BB283" s="61">
        <v>52.527999999999999</v>
      </c>
      <c r="BC283" s="61">
        <v>0.125</v>
      </c>
      <c r="BD283" s="61">
        <v>0.44900000000000001</v>
      </c>
      <c r="BE283" s="61">
        <v>3.2000000000000001E-2</v>
      </c>
      <c r="BF283" s="61" t="s">
        <v>122</v>
      </c>
      <c r="BG283" s="61">
        <v>6.3739999999999997</v>
      </c>
      <c r="BH283" s="61">
        <v>4.024</v>
      </c>
      <c r="BI283" s="61">
        <v>1.0999999999999999E-2</v>
      </c>
      <c r="BJ283" s="61">
        <v>10.409000000000001</v>
      </c>
      <c r="BK283" s="66">
        <v>11.015000000000001</v>
      </c>
      <c r="BL283" s="67">
        <v>5.9059999999999997</v>
      </c>
      <c r="BM283" s="61" t="s">
        <v>121</v>
      </c>
      <c r="BN283" s="61" t="s">
        <v>121</v>
      </c>
      <c r="BO283" s="61" t="s">
        <v>121</v>
      </c>
      <c r="BP283" s="61">
        <v>5.9059999999999997</v>
      </c>
      <c r="BQ283" s="61">
        <v>337.96800000000002</v>
      </c>
      <c r="BR283" s="61">
        <v>7.3150000000000004</v>
      </c>
      <c r="BS283" s="61">
        <v>0.88600000000000001</v>
      </c>
      <c r="BT283" s="61">
        <v>4.05</v>
      </c>
      <c r="BU283" s="61">
        <v>8.7360000000000007</v>
      </c>
      <c r="BV283" s="61">
        <v>22.798999999999999</v>
      </c>
      <c r="BW283" s="61">
        <v>31.535</v>
      </c>
      <c r="BX283" s="67">
        <v>381.75400000000002</v>
      </c>
      <c r="BY283" s="68">
        <v>100933</v>
      </c>
      <c r="BZ283" s="68">
        <v>96974</v>
      </c>
      <c r="CA283" s="69">
        <v>7146</v>
      </c>
      <c r="CB283" s="68">
        <v>95703</v>
      </c>
      <c r="CC283" s="68">
        <v>5455</v>
      </c>
      <c r="CD283" s="61"/>
      <c r="CE283" s="64"/>
      <c r="CF283" s="64"/>
      <c r="CG283" s="70">
        <f t="shared" si="21"/>
        <v>4019.5259999999998</v>
      </c>
      <c r="CH283" s="70">
        <f t="shared" si="22"/>
        <v>300.13200000000001</v>
      </c>
      <c r="CI283" s="70">
        <f t="shared" si="23"/>
        <v>229.11</v>
      </c>
      <c r="CJ283" s="70">
        <f t="shared" si="25"/>
        <v>4239.1859999999997</v>
      </c>
      <c r="CK283" s="70">
        <f t="shared" si="25"/>
        <v>4072.9079999999999</v>
      </c>
      <c r="CL283" s="70">
        <f t="shared" si="24"/>
        <v>229.11</v>
      </c>
      <c r="CM283" s="61"/>
      <c r="CN283" s="61"/>
      <c r="CO283" s="61"/>
      <c r="CP283" s="61"/>
      <c r="CQ283" s="61"/>
      <c r="CR283" s="61"/>
      <c r="CS283" s="61"/>
      <c r="CT283" s="61"/>
      <c r="CU283" s="61"/>
      <c r="CV283" s="61"/>
      <c r="CW283" s="61"/>
      <c r="CX283" s="61"/>
      <c r="CY283" s="61"/>
      <c r="CZ283" s="61"/>
      <c r="DA283" s="61"/>
      <c r="DB283" s="61"/>
      <c r="DC283" s="61"/>
      <c r="DD283" s="61"/>
      <c r="DE283" s="61"/>
      <c r="DF283" s="61"/>
      <c r="DG283" s="61"/>
      <c r="DH283" s="61"/>
      <c r="DI283" s="61"/>
      <c r="DJ283" s="61"/>
      <c r="DK283" s="61"/>
      <c r="DL283" s="61"/>
      <c r="DM283" s="61"/>
      <c r="DN283" s="61"/>
      <c r="DO283" s="61"/>
      <c r="DP283" s="61"/>
      <c r="DQ283" s="61"/>
      <c r="DR283" s="61"/>
      <c r="DS283" s="61"/>
      <c r="DT283" s="61"/>
      <c r="DU283" s="61"/>
      <c r="DV283" s="61"/>
      <c r="DW283" s="61"/>
      <c r="DX283" s="61"/>
      <c r="DY283" s="61"/>
      <c r="DZ283" s="61"/>
      <c r="EA283" s="61"/>
      <c r="EB283" s="61"/>
      <c r="EC283" s="61"/>
      <c r="ED283" s="61"/>
      <c r="EE283" s="61"/>
      <c r="EF283" s="61"/>
      <c r="EG283" s="61"/>
      <c r="EH283" s="61"/>
      <c r="EI283" s="61"/>
      <c r="EJ283" s="61"/>
      <c r="EK283" s="61"/>
      <c r="EL283" s="61"/>
      <c r="EM283" s="61"/>
      <c r="EN283" s="61"/>
      <c r="EO283" s="61"/>
      <c r="EP283" s="61"/>
      <c r="EQ283" s="61"/>
      <c r="ER283" s="61"/>
      <c r="ES283" s="61"/>
      <c r="ET283" s="61"/>
      <c r="EU283" s="61"/>
      <c r="EV283" s="61"/>
      <c r="EW283" s="61"/>
    </row>
    <row r="284" spans="1:153">
      <c r="A284" s="56">
        <v>35217</v>
      </c>
      <c r="B284" s="57"/>
      <c r="C284" s="7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71"/>
      <c r="P284" s="60">
        <v>197.279</v>
      </c>
      <c r="Q284" s="61">
        <v>6.7169999999999996</v>
      </c>
      <c r="R284" s="61">
        <v>254.18199999999999</v>
      </c>
      <c r="S284" s="61">
        <v>607.61300000000006</v>
      </c>
      <c r="T284" s="61">
        <v>330.10300000000001</v>
      </c>
      <c r="U284" s="61">
        <v>12.207000000000001</v>
      </c>
      <c r="V284" s="61">
        <v>7.2370000000000001</v>
      </c>
      <c r="W284" s="61">
        <v>3.8849999999999998</v>
      </c>
      <c r="X284" s="61">
        <v>197.279</v>
      </c>
      <c r="Y284" s="61">
        <v>50.186</v>
      </c>
      <c r="Z284" s="61">
        <v>7.258</v>
      </c>
      <c r="AA284" s="61">
        <v>254.72300000000001</v>
      </c>
      <c r="AB284" s="60">
        <v>608.154</v>
      </c>
      <c r="AC284" s="62"/>
      <c r="AD284" s="61"/>
      <c r="AE284" s="61"/>
      <c r="AF284" s="61"/>
      <c r="AG284" s="61"/>
      <c r="AH284" s="61"/>
      <c r="AI284" s="61"/>
      <c r="AJ284" s="61"/>
      <c r="AK284" s="62"/>
      <c r="AL284" s="63"/>
      <c r="AM284" s="64"/>
      <c r="AN284" s="65" t="e">
        <v>#N/A</v>
      </c>
      <c r="AO284" s="61" t="e">
        <v>#N/A</v>
      </c>
      <c r="AP284" s="61" t="e">
        <v>#N/A</v>
      </c>
      <c r="AQ284" s="61" t="e">
        <v>#N/A</v>
      </c>
      <c r="AR284" s="61" t="e">
        <v>#N/A</v>
      </c>
      <c r="AS284" s="61" t="e">
        <v>#N/A</v>
      </c>
      <c r="AT284" s="61" t="e">
        <v>#N/A</v>
      </c>
      <c r="AU284" s="61" t="e">
        <v>#N/A</v>
      </c>
      <c r="AV284" s="61" t="e">
        <v>#N/A</v>
      </c>
      <c r="AW284" s="61" t="e">
        <v>#N/A</v>
      </c>
      <c r="AX284" s="65" t="e">
        <v>#N/A</v>
      </c>
      <c r="AY284" s="66">
        <v>0.57399999999999995</v>
      </c>
      <c r="AZ284" s="61">
        <v>6.2530000000000001</v>
      </c>
      <c r="BA284" s="61">
        <v>44.262</v>
      </c>
      <c r="BB284" s="61">
        <v>51.088999999999999</v>
      </c>
      <c r="BC284" s="61">
        <v>0.12</v>
      </c>
      <c r="BD284" s="61">
        <v>0.434</v>
      </c>
      <c r="BE284" s="61">
        <v>3.3000000000000002E-2</v>
      </c>
      <c r="BF284" s="61" t="s">
        <v>122</v>
      </c>
      <c r="BG284" s="61">
        <v>6.1989999999999998</v>
      </c>
      <c r="BH284" s="61">
        <v>4.7370000000000001</v>
      </c>
      <c r="BI284" s="61">
        <v>8.0000000000000002E-3</v>
      </c>
      <c r="BJ284" s="61">
        <v>10.944000000000001</v>
      </c>
      <c r="BK284" s="66">
        <v>11.531000000000001</v>
      </c>
      <c r="BL284" s="67">
        <v>4.2969999999999997</v>
      </c>
      <c r="BM284" s="61" t="s">
        <v>121</v>
      </c>
      <c r="BN284" s="61" t="s">
        <v>121</v>
      </c>
      <c r="BO284" s="61" t="s">
        <v>121</v>
      </c>
      <c r="BP284" s="61">
        <v>4.2969999999999997</v>
      </c>
      <c r="BQ284" s="61">
        <v>324.39499999999998</v>
      </c>
      <c r="BR284" s="61">
        <v>10.961</v>
      </c>
      <c r="BS284" s="61">
        <v>0.94399999999999995</v>
      </c>
      <c r="BT284" s="61">
        <v>3.8849999999999998</v>
      </c>
      <c r="BU284" s="61">
        <v>11.054</v>
      </c>
      <c r="BV284" s="61">
        <v>26.838000000000001</v>
      </c>
      <c r="BW284" s="61">
        <v>37.892000000000003</v>
      </c>
      <c r="BX284" s="67">
        <v>378.07600000000002</v>
      </c>
      <c r="BY284" s="68">
        <v>98494</v>
      </c>
      <c r="BZ284" s="68">
        <v>95681</v>
      </c>
      <c r="CA284" s="69">
        <v>5542</v>
      </c>
      <c r="CB284" s="68">
        <v>101636</v>
      </c>
      <c r="CC284" s="68">
        <v>2422</v>
      </c>
      <c r="CD284" s="61"/>
      <c r="CE284" s="64"/>
      <c r="CF284" s="64"/>
      <c r="CG284" s="70">
        <f t="shared" si="21"/>
        <v>4268.7120000000004</v>
      </c>
      <c r="CH284" s="70">
        <f t="shared" si="22"/>
        <v>232.76400000000001</v>
      </c>
      <c r="CI284" s="70">
        <f t="shared" si="23"/>
        <v>101.724</v>
      </c>
      <c r="CJ284" s="70">
        <f t="shared" si="25"/>
        <v>4136.7479999999996</v>
      </c>
      <c r="CK284" s="70">
        <f t="shared" si="25"/>
        <v>4018.6019999999999</v>
      </c>
      <c r="CL284" s="70">
        <f t="shared" si="24"/>
        <v>101.724</v>
      </c>
      <c r="CM284" s="61"/>
      <c r="CN284" s="61"/>
      <c r="CO284" s="61"/>
      <c r="CP284" s="61"/>
      <c r="CQ284" s="61"/>
      <c r="CR284" s="61"/>
      <c r="CS284" s="61"/>
      <c r="CT284" s="61"/>
      <c r="CU284" s="61"/>
      <c r="CV284" s="61"/>
      <c r="CW284" s="61"/>
      <c r="CX284" s="61"/>
      <c r="CY284" s="61"/>
      <c r="CZ284" s="61"/>
      <c r="DA284" s="61"/>
      <c r="DB284" s="61"/>
      <c r="DC284" s="61"/>
      <c r="DD284" s="61"/>
      <c r="DE284" s="61"/>
      <c r="DF284" s="61"/>
      <c r="DG284" s="61"/>
      <c r="DH284" s="61"/>
      <c r="DI284" s="61"/>
      <c r="DJ284" s="61"/>
      <c r="DK284" s="61"/>
      <c r="DL284" s="61"/>
      <c r="DM284" s="61"/>
      <c r="DN284" s="61"/>
      <c r="DO284" s="61"/>
      <c r="DP284" s="61"/>
      <c r="DQ284" s="61"/>
      <c r="DR284" s="61"/>
      <c r="DS284" s="61"/>
      <c r="DT284" s="61"/>
      <c r="DU284" s="61"/>
      <c r="DV284" s="61"/>
      <c r="DW284" s="61"/>
      <c r="DX284" s="61"/>
      <c r="DY284" s="61"/>
      <c r="DZ284" s="61"/>
      <c r="EA284" s="61"/>
      <c r="EB284" s="61"/>
      <c r="EC284" s="61"/>
      <c r="ED284" s="61"/>
      <c r="EE284" s="61"/>
      <c r="EF284" s="61"/>
      <c r="EG284" s="61"/>
      <c r="EH284" s="61"/>
      <c r="EI284" s="61"/>
      <c r="EJ284" s="61"/>
      <c r="EK284" s="61"/>
      <c r="EL284" s="61"/>
      <c r="EM284" s="61"/>
      <c r="EN284" s="61"/>
      <c r="EO284" s="61"/>
      <c r="EP284" s="61"/>
      <c r="EQ284" s="61"/>
      <c r="ER284" s="61"/>
      <c r="ES284" s="61"/>
      <c r="ET284" s="61"/>
      <c r="EU284" s="61"/>
      <c r="EV284" s="61"/>
      <c r="EW284" s="61"/>
    </row>
    <row r="285" spans="1:153">
      <c r="A285" s="56">
        <v>35247</v>
      </c>
      <c r="B285" s="57"/>
      <c r="C285" s="7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71"/>
      <c r="P285" s="60">
        <v>221.03200000000001</v>
      </c>
      <c r="Q285" s="61">
        <v>7.5279999999999996</v>
      </c>
      <c r="R285" s="61">
        <v>281.65600000000001</v>
      </c>
      <c r="S285" s="61">
        <v>610.09199999999998</v>
      </c>
      <c r="T285" s="61">
        <v>298.56</v>
      </c>
      <c r="U285" s="61">
        <v>17</v>
      </c>
      <c r="V285" s="61">
        <v>7.343</v>
      </c>
      <c r="W285" s="61">
        <v>5.5330000000000004</v>
      </c>
      <c r="X285" s="61">
        <v>221.03200000000001</v>
      </c>
      <c r="Y285" s="61">
        <v>53.095999999999997</v>
      </c>
      <c r="Z285" s="61">
        <v>7.4340000000000002</v>
      </c>
      <c r="AA285" s="61">
        <v>281.56299999999999</v>
      </c>
      <c r="AB285" s="60">
        <v>609.99800000000005</v>
      </c>
      <c r="AC285" s="62"/>
      <c r="AD285" s="61"/>
      <c r="AE285" s="61"/>
      <c r="AF285" s="61"/>
      <c r="AG285" s="61"/>
      <c r="AH285" s="61"/>
      <c r="AI285" s="61"/>
      <c r="AJ285" s="61"/>
      <c r="AK285" s="62"/>
      <c r="AL285" s="63"/>
      <c r="AM285" s="64"/>
      <c r="AN285" s="65" t="e">
        <v>#N/A</v>
      </c>
      <c r="AO285" s="61" t="e">
        <v>#N/A</v>
      </c>
      <c r="AP285" s="61" t="e">
        <v>#N/A</v>
      </c>
      <c r="AQ285" s="61" t="e">
        <v>#N/A</v>
      </c>
      <c r="AR285" s="61" t="e">
        <v>#N/A</v>
      </c>
      <c r="AS285" s="61" t="e">
        <v>#N/A</v>
      </c>
      <c r="AT285" s="61" t="e">
        <v>#N/A</v>
      </c>
      <c r="AU285" s="61" t="e">
        <v>#N/A</v>
      </c>
      <c r="AV285" s="61" t="e">
        <v>#N/A</v>
      </c>
      <c r="AW285" s="61" t="e">
        <v>#N/A</v>
      </c>
      <c r="AX285" s="65" t="e">
        <v>#N/A</v>
      </c>
      <c r="AY285" s="66">
        <v>0.59299999999999997</v>
      </c>
      <c r="AZ285" s="61">
        <v>6.5640000000000001</v>
      </c>
      <c r="BA285" s="61">
        <v>45.738</v>
      </c>
      <c r="BB285" s="61">
        <v>52.895000000000003</v>
      </c>
      <c r="BC285" s="61">
        <v>0.108</v>
      </c>
      <c r="BD285" s="61">
        <v>0.44900000000000001</v>
      </c>
      <c r="BE285" s="61">
        <v>3.4000000000000002E-2</v>
      </c>
      <c r="BF285" s="61" t="s">
        <v>122</v>
      </c>
      <c r="BG285" s="61">
        <v>6.4260000000000002</v>
      </c>
      <c r="BH285" s="61">
        <v>5.0620000000000003</v>
      </c>
      <c r="BI285" s="61">
        <v>7.0000000000000001E-3</v>
      </c>
      <c r="BJ285" s="61">
        <v>11.496</v>
      </c>
      <c r="BK285" s="66">
        <v>12.087</v>
      </c>
      <c r="BL285" s="67">
        <v>4.1269999999999998</v>
      </c>
      <c r="BM285" s="61" t="s">
        <v>121</v>
      </c>
      <c r="BN285" s="61" t="s">
        <v>121</v>
      </c>
      <c r="BO285" s="61" t="s">
        <v>121</v>
      </c>
      <c r="BP285" s="61">
        <v>4.1269999999999998</v>
      </c>
      <c r="BQ285" s="61">
        <v>293.39699999999999</v>
      </c>
      <c r="BR285" s="61">
        <v>15.712999999999999</v>
      </c>
      <c r="BS285" s="61">
        <v>0.73599999999999999</v>
      </c>
      <c r="BT285" s="61">
        <v>5.5330000000000004</v>
      </c>
      <c r="BU285" s="61">
        <v>13.128</v>
      </c>
      <c r="BV285" s="61">
        <v>28.68</v>
      </c>
      <c r="BW285" s="61">
        <v>41.807000000000002</v>
      </c>
      <c r="BX285" s="67">
        <v>357.18700000000001</v>
      </c>
      <c r="BY285" s="68">
        <v>96952</v>
      </c>
      <c r="BZ285" s="68">
        <v>93657</v>
      </c>
      <c r="CA285" s="69">
        <v>6019</v>
      </c>
      <c r="CB285" s="68">
        <v>106790</v>
      </c>
      <c r="CC285" s="68">
        <v>4160</v>
      </c>
      <c r="CD285" s="61"/>
      <c r="CE285" s="64"/>
      <c r="CF285" s="64"/>
      <c r="CG285" s="70">
        <f t="shared" si="21"/>
        <v>4485.18</v>
      </c>
      <c r="CH285" s="70">
        <f t="shared" si="22"/>
        <v>252.798</v>
      </c>
      <c r="CI285" s="70">
        <f t="shared" si="23"/>
        <v>174.72</v>
      </c>
      <c r="CJ285" s="70">
        <f t="shared" si="25"/>
        <v>4071.9839999999999</v>
      </c>
      <c r="CK285" s="70">
        <f t="shared" si="25"/>
        <v>3933.5940000000001</v>
      </c>
      <c r="CL285" s="70">
        <f t="shared" si="24"/>
        <v>174.72</v>
      </c>
      <c r="CM285" s="61"/>
      <c r="CN285" s="61"/>
      <c r="CO285" s="61"/>
      <c r="CP285" s="61"/>
      <c r="CQ285" s="61"/>
      <c r="CR285" s="61"/>
      <c r="CS285" s="61"/>
      <c r="CT285" s="61"/>
      <c r="CU285" s="61"/>
      <c r="CV285" s="61"/>
      <c r="CW285" s="61"/>
      <c r="CX285" s="61"/>
      <c r="CY285" s="61"/>
      <c r="CZ285" s="61"/>
      <c r="DA285" s="61"/>
      <c r="DB285" s="61"/>
      <c r="DC285" s="61"/>
      <c r="DD285" s="61"/>
      <c r="DE285" s="61"/>
      <c r="DF285" s="61"/>
      <c r="DG285" s="61"/>
      <c r="DH285" s="61"/>
      <c r="DI285" s="61"/>
      <c r="DJ285" s="61"/>
      <c r="DK285" s="61"/>
      <c r="DL285" s="61"/>
      <c r="DM285" s="61"/>
      <c r="DN285" s="61"/>
      <c r="DO285" s="61"/>
      <c r="DP285" s="61"/>
      <c r="DQ285" s="61"/>
      <c r="DR285" s="61"/>
      <c r="DS285" s="61"/>
      <c r="DT285" s="61"/>
      <c r="DU285" s="61"/>
      <c r="DV285" s="61"/>
      <c r="DW285" s="61"/>
      <c r="DX285" s="61"/>
      <c r="DY285" s="61"/>
      <c r="DZ285" s="61"/>
      <c r="EA285" s="61"/>
      <c r="EB285" s="61"/>
      <c r="EC285" s="61"/>
      <c r="ED285" s="61"/>
      <c r="EE285" s="61"/>
      <c r="EF285" s="61"/>
      <c r="EG285" s="61"/>
      <c r="EH285" s="61"/>
      <c r="EI285" s="61"/>
      <c r="EJ285" s="61"/>
      <c r="EK285" s="61"/>
      <c r="EL285" s="61"/>
      <c r="EM285" s="61"/>
      <c r="EN285" s="61"/>
      <c r="EO285" s="61"/>
      <c r="EP285" s="61"/>
      <c r="EQ285" s="61"/>
      <c r="ER285" s="61"/>
      <c r="ES285" s="61"/>
      <c r="ET285" s="61"/>
      <c r="EU285" s="61"/>
      <c r="EV285" s="61"/>
      <c r="EW285" s="61"/>
    </row>
    <row r="286" spans="1:153">
      <c r="A286" s="56">
        <v>35278</v>
      </c>
      <c r="B286" s="57"/>
      <c r="C286" s="7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71"/>
      <c r="P286" s="60">
        <v>241.559</v>
      </c>
      <c r="Q286" s="61">
        <v>9.0519999999999996</v>
      </c>
      <c r="R286" s="61">
        <v>294.58100000000002</v>
      </c>
      <c r="S286" s="61">
        <v>594.87400000000002</v>
      </c>
      <c r="T286" s="61">
        <v>271.59199999999998</v>
      </c>
      <c r="U286" s="61">
        <v>17.542000000000002</v>
      </c>
      <c r="V286" s="61">
        <v>6.867</v>
      </c>
      <c r="W286" s="61">
        <v>4.2910000000000004</v>
      </c>
      <c r="X286" s="61">
        <v>241.559</v>
      </c>
      <c r="Y286" s="61">
        <v>43.97</v>
      </c>
      <c r="Z286" s="61">
        <v>9.1319999999999997</v>
      </c>
      <c r="AA286" s="61">
        <v>294.661</v>
      </c>
      <c r="AB286" s="60">
        <v>594.95299999999997</v>
      </c>
      <c r="AC286" s="62"/>
      <c r="AD286" s="61"/>
      <c r="AE286" s="61"/>
      <c r="AF286" s="61"/>
      <c r="AG286" s="61"/>
      <c r="AH286" s="61"/>
      <c r="AI286" s="61"/>
      <c r="AJ286" s="61"/>
      <c r="AK286" s="62"/>
      <c r="AL286" s="63"/>
      <c r="AM286" s="64"/>
      <c r="AN286" s="65" t="e">
        <v>#N/A</v>
      </c>
      <c r="AO286" s="61" t="e">
        <v>#N/A</v>
      </c>
      <c r="AP286" s="61" t="e">
        <v>#N/A</v>
      </c>
      <c r="AQ286" s="61" t="e">
        <v>#N/A</v>
      </c>
      <c r="AR286" s="61" t="e">
        <v>#N/A</v>
      </c>
      <c r="AS286" s="61" t="e">
        <v>#N/A</v>
      </c>
      <c r="AT286" s="61" t="e">
        <v>#N/A</v>
      </c>
      <c r="AU286" s="61" t="e">
        <v>#N/A</v>
      </c>
      <c r="AV286" s="61" t="e">
        <v>#N/A</v>
      </c>
      <c r="AW286" s="61" t="e">
        <v>#N/A</v>
      </c>
      <c r="AX286" s="65" t="e">
        <v>#N/A</v>
      </c>
      <c r="AY286" s="66">
        <v>0.59299999999999997</v>
      </c>
      <c r="AZ286" s="61">
        <v>6.4960000000000004</v>
      </c>
      <c r="BA286" s="61">
        <v>45.738</v>
      </c>
      <c r="BB286" s="61">
        <v>52.826999999999998</v>
      </c>
      <c r="BC286" s="61">
        <v>9.8000000000000004E-2</v>
      </c>
      <c r="BD286" s="61">
        <v>0.44900000000000001</v>
      </c>
      <c r="BE286" s="61">
        <v>3.4000000000000002E-2</v>
      </c>
      <c r="BF286" s="61" t="s">
        <v>122</v>
      </c>
      <c r="BG286" s="61">
        <v>6.45</v>
      </c>
      <c r="BH286" s="61">
        <v>3.8290000000000002</v>
      </c>
      <c r="BI286" s="61">
        <v>8.9999999999999993E-3</v>
      </c>
      <c r="BJ286" s="61">
        <v>10.289</v>
      </c>
      <c r="BK286" s="66">
        <v>10.87</v>
      </c>
      <c r="BL286" s="67">
        <v>5.1509999999999998</v>
      </c>
      <c r="BM286" s="61" t="s">
        <v>121</v>
      </c>
      <c r="BN286" s="61" t="s">
        <v>121</v>
      </c>
      <c r="BO286" s="61" t="s">
        <v>121</v>
      </c>
      <c r="BP286" s="61">
        <v>5.1509999999999998</v>
      </c>
      <c r="BQ286" s="61">
        <v>266.89600000000002</v>
      </c>
      <c r="BR286" s="61">
        <v>16.254999999999999</v>
      </c>
      <c r="BS286" s="61">
        <v>0.33</v>
      </c>
      <c r="BT286" s="61">
        <v>4.2910000000000004</v>
      </c>
      <c r="BU286" s="61">
        <v>15.164999999999999</v>
      </c>
      <c r="BV286" s="61">
        <v>21.692</v>
      </c>
      <c r="BW286" s="61">
        <v>36.856999999999999</v>
      </c>
      <c r="BX286" s="67">
        <v>324.62900000000002</v>
      </c>
      <c r="BY286" s="68">
        <v>101666</v>
      </c>
      <c r="BZ286" s="68">
        <v>98581</v>
      </c>
      <c r="CA286" s="69">
        <v>6046</v>
      </c>
      <c r="CB286" s="68">
        <v>110272</v>
      </c>
      <c r="CC286" s="68">
        <v>5649</v>
      </c>
      <c r="CD286" s="61"/>
      <c r="CE286" s="64"/>
      <c r="CF286" s="64"/>
      <c r="CG286" s="70">
        <f t="shared" si="21"/>
        <v>4631.424</v>
      </c>
      <c r="CH286" s="70">
        <f t="shared" si="22"/>
        <v>253.93199999999999</v>
      </c>
      <c r="CI286" s="70">
        <f t="shared" si="23"/>
        <v>237.25800000000001</v>
      </c>
      <c r="CJ286" s="70">
        <f t="shared" si="25"/>
        <v>4269.9719999999998</v>
      </c>
      <c r="CK286" s="70">
        <f t="shared" si="25"/>
        <v>4140.402</v>
      </c>
      <c r="CL286" s="70">
        <f t="shared" si="24"/>
        <v>237.25800000000001</v>
      </c>
      <c r="CM286" s="61"/>
      <c r="CN286" s="61"/>
      <c r="CO286" s="61"/>
      <c r="CP286" s="61"/>
      <c r="CQ286" s="61"/>
      <c r="CR286" s="61"/>
      <c r="CS286" s="61"/>
      <c r="CT286" s="61"/>
      <c r="CU286" s="61"/>
      <c r="CV286" s="61"/>
      <c r="CW286" s="61"/>
      <c r="CX286" s="61"/>
      <c r="CY286" s="61"/>
      <c r="CZ286" s="61"/>
      <c r="DA286" s="61"/>
      <c r="DB286" s="61"/>
      <c r="DC286" s="61"/>
      <c r="DD286" s="61"/>
      <c r="DE286" s="61"/>
      <c r="DF286" s="61"/>
      <c r="DG286" s="61"/>
      <c r="DH286" s="61"/>
      <c r="DI286" s="61"/>
      <c r="DJ286" s="61"/>
      <c r="DK286" s="61"/>
      <c r="DL286" s="61"/>
      <c r="DM286" s="61"/>
      <c r="DN286" s="61"/>
      <c r="DO286" s="61"/>
      <c r="DP286" s="61"/>
      <c r="DQ286" s="61"/>
      <c r="DR286" s="61"/>
      <c r="DS286" s="61"/>
      <c r="DT286" s="61"/>
      <c r="DU286" s="61"/>
      <c r="DV286" s="61"/>
      <c r="DW286" s="61"/>
      <c r="DX286" s="61"/>
      <c r="DY286" s="61"/>
      <c r="DZ286" s="61"/>
      <c r="EA286" s="61"/>
      <c r="EB286" s="61"/>
      <c r="EC286" s="61"/>
      <c r="ED286" s="61"/>
      <c r="EE286" s="61"/>
      <c r="EF286" s="61"/>
      <c r="EG286" s="61"/>
      <c r="EH286" s="61"/>
      <c r="EI286" s="61"/>
      <c r="EJ286" s="61"/>
      <c r="EK286" s="61"/>
      <c r="EL286" s="61"/>
      <c r="EM286" s="61"/>
      <c r="EN286" s="61"/>
      <c r="EO286" s="61"/>
      <c r="EP286" s="61"/>
      <c r="EQ286" s="61"/>
      <c r="ER286" s="61"/>
      <c r="ES286" s="61"/>
      <c r="ET286" s="61"/>
      <c r="EU286" s="61"/>
      <c r="EV286" s="61"/>
      <c r="EW286" s="61"/>
    </row>
    <row r="287" spans="1:153">
      <c r="A287" s="56">
        <v>35309</v>
      </c>
      <c r="B287" s="57"/>
      <c r="C287" s="7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71"/>
      <c r="P287" s="60">
        <v>201.14699999999999</v>
      </c>
      <c r="Q287" s="61">
        <v>9.7530000000000001</v>
      </c>
      <c r="R287" s="61">
        <v>259.34500000000003</v>
      </c>
      <c r="S287" s="61">
        <v>513.255</v>
      </c>
      <c r="T287" s="61">
        <v>228.911</v>
      </c>
      <c r="U287" s="61">
        <v>15.298</v>
      </c>
      <c r="V287" s="61">
        <v>6.0659999999999998</v>
      </c>
      <c r="W287" s="61">
        <v>3.6339999999999999</v>
      </c>
      <c r="X287" s="61">
        <v>201.14699999999999</v>
      </c>
      <c r="Y287" s="61">
        <v>48.445</v>
      </c>
      <c r="Z287" s="61">
        <v>9.0559999999999992</v>
      </c>
      <c r="AA287" s="61">
        <v>258.64800000000002</v>
      </c>
      <c r="AB287" s="60">
        <v>512.55799999999999</v>
      </c>
      <c r="AC287" s="62"/>
      <c r="AD287" s="61"/>
      <c r="AE287" s="61"/>
      <c r="AF287" s="61"/>
      <c r="AG287" s="61"/>
      <c r="AH287" s="61"/>
      <c r="AI287" s="61"/>
      <c r="AJ287" s="61"/>
      <c r="AK287" s="62"/>
      <c r="AL287" s="63"/>
      <c r="AM287" s="64"/>
      <c r="AN287" s="65" t="e">
        <v>#N/A</v>
      </c>
      <c r="AO287" s="61" t="e">
        <v>#N/A</v>
      </c>
      <c r="AP287" s="61" t="e">
        <v>#N/A</v>
      </c>
      <c r="AQ287" s="61" t="e">
        <v>#N/A</v>
      </c>
      <c r="AR287" s="61" t="e">
        <v>#N/A</v>
      </c>
      <c r="AS287" s="61" t="e">
        <v>#N/A</v>
      </c>
      <c r="AT287" s="61" t="e">
        <v>#N/A</v>
      </c>
      <c r="AU287" s="61" t="e">
        <v>#N/A</v>
      </c>
      <c r="AV287" s="61" t="e">
        <v>#N/A</v>
      </c>
      <c r="AW287" s="61" t="e">
        <v>#N/A</v>
      </c>
      <c r="AX287" s="65" t="e">
        <v>#N/A</v>
      </c>
      <c r="AY287" s="66">
        <v>0.57399999999999995</v>
      </c>
      <c r="AZ287" s="61">
        <v>5.9249999999999998</v>
      </c>
      <c r="BA287" s="61">
        <v>44.262</v>
      </c>
      <c r="BB287" s="61">
        <v>50.761000000000003</v>
      </c>
      <c r="BC287" s="61">
        <v>8.3000000000000004E-2</v>
      </c>
      <c r="BD287" s="61">
        <v>0.434</v>
      </c>
      <c r="BE287" s="61">
        <v>3.1E-2</v>
      </c>
      <c r="BF287" s="61" t="s">
        <v>122</v>
      </c>
      <c r="BG287" s="61">
        <v>6.2039999999999997</v>
      </c>
      <c r="BH287" s="61">
        <v>4.5019999999999998</v>
      </c>
      <c r="BI287" s="61">
        <v>8.9999999999999993E-3</v>
      </c>
      <c r="BJ287" s="61">
        <v>10.715</v>
      </c>
      <c r="BK287" s="66">
        <v>11.263</v>
      </c>
      <c r="BL287" s="67">
        <v>4.7789999999999999</v>
      </c>
      <c r="BM287" s="61" t="s">
        <v>121</v>
      </c>
      <c r="BN287" s="61" t="s">
        <v>121</v>
      </c>
      <c r="BO287" s="61" t="s">
        <v>121</v>
      </c>
      <c r="BP287" s="61">
        <v>4.7789999999999999</v>
      </c>
      <c r="BQ287" s="61">
        <v>224.953</v>
      </c>
      <c r="BR287" s="61">
        <v>14.052</v>
      </c>
      <c r="BS287" s="61">
        <v>0.104</v>
      </c>
      <c r="BT287" s="61">
        <v>3.6339999999999999</v>
      </c>
      <c r="BU287" s="61">
        <v>11.438000000000001</v>
      </c>
      <c r="BV287" s="61">
        <v>25.504999999999999</v>
      </c>
      <c r="BW287" s="61">
        <v>36.942999999999998</v>
      </c>
      <c r="BX287" s="67">
        <v>279.68599999999998</v>
      </c>
      <c r="BY287" s="68">
        <v>101761</v>
      </c>
      <c r="BZ287" s="68">
        <v>95168</v>
      </c>
      <c r="CA287" s="69">
        <v>5803</v>
      </c>
      <c r="CB287" s="68">
        <v>114984</v>
      </c>
      <c r="CC287" s="68">
        <v>7684</v>
      </c>
      <c r="CD287" s="61"/>
      <c r="CE287" s="64"/>
      <c r="CF287" s="64"/>
      <c r="CG287" s="70">
        <f t="shared" si="21"/>
        <v>4829.3280000000004</v>
      </c>
      <c r="CH287" s="70">
        <f t="shared" si="22"/>
        <v>243.726</v>
      </c>
      <c r="CI287" s="70">
        <f t="shared" si="23"/>
        <v>322.72800000000001</v>
      </c>
      <c r="CJ287" s="70">
        <f t="shared" si="25"/>
        <v>4273.9620000000004</v>
      </c>
      <c r="CK287" s="70">
        <f t="shared" si="25"/>
        <v>3997.056</v>
      </c>
      <c r="CL287" s="70">
        <f t="shared" si="24"/>
        <v>322.72800000000001</v>
      </c>
      <c r="CM287" s="61"/>
      <c r="CN287" s="61"/>
      <c r="CO287" s="61"/>
      <c r="CP287" s="61"/>
      <c r="CQ287" s="61"/>
      <c r="CR287" s="61"/>
      <c r="CS287" s="61"/>
      <c r="CT287" s="61"/>
      <c r="CU287" s="61"/>
      <c r="CV287" s="61"/>
      <c r="CW287" s="61"/>
      <c r="CX287" s="61"/>
      <c r="CY287" s="61"/>
      <c r="CZ287" s="61"/>
      <c r="DA287" s="61"/>
      <c r="DB287" s="61"/>
      <c r="DC287" s="61"/>
      <c r="DD287" s="61"/>
      <c r="DE287" s="61"/>
      <c r="DF287" s="61"/>
      <c r="DG287" s="61"/>
      <c r="DH287" s="61"/>
      <c r="DI287" s="61"/>
      <c r="DJ287" s="61"/>
      <c r="DK287" s="61"/>
      <c r="DL287" s="61"/>
      <c r="DM287" s="61"/>
      <c r="DN287" s="61"/>
      <c r="DO287" s="61"/>
      <c r="DP287" s="61"/>
      <c r="DQ287" s="61"/>
      <c r="DR287" s="61"/>
      <c r="DS287" s="61"/>
      <c r="DT287" s="61"/>
      <c r="DU287" s="61"/>
      <c r="DV287" s="61"/>
      <c r="DW287" s="61"/>
      <c r="DX287" s="61"/>
      <c r="DY287" s="61"/>
      <c r="DZ287" s="61"/>
      <c r="EA287" s="61"/>
      <c r="EB287" s="61"/>
      <c r="EC287" s="61"/>
      <c r="ED287" s="61"/>
      <c r="EE287" s="61"/>
      <c r="EF287" s="61"/>
      <c r="EG287" s="61"/>
      <c r="EH287" s="61"/>
      <c r="EI287" s="61"/>
      <c r="EJ287" s="61"/>
      <c r="EK287" s="61"/>
      <c r="EL287" s="61"/>
      <c r="EM287" s="61"/>
      <c r="EN287" s="61"/>
      <c r="EO287" s="61"/>
      <c r="EP287" s="61"/>
      <c r="EQ287" s="61"/>
      <c r="ER287" s="61"/>
      <c r="ES287" s="61"/>
      <c r="ET287" s="61"/>
      <c r="EU287" s="61"/>
      <c r="EV287" s="61"/>
      <c r="EW287" s="61"/>
    </row>
    <row r="288" spans="1:153">
      <c r="A288" s="56">
        <v>35339</v>
      </c>
      <c r="B288" s="57"/>
      <c r="C288" s="7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71"/>
      <c r="P288" s="60">
        <v>241.017</v>
      </c>
      <c r="Q288" s="61">
        <v>14.983000000000001</v>
      </c>
      <c r="R288" s="61">
        <v>310.46100000000001</v>
      </c>
      <c r="S288" s="61">
        <v>568.74</v>
      </c>
      <c r="T288" s="61">
        <v>233.63200000000001</v>
      </c>
      <c r="U288" s="61">
        <v>16.305</v>
      </c>
      <c r="V288" s="61">
        <v>5.7270000000000003</v>
      </c>
      <c r="W288" s="61">
        <v>2.6160000000000001</v>
      </c>
      <c r="X288" s="61">
        <v>241.017</v>
      </c>
      <c r="Y288" s="61">
        <v>54.460999999999999</v>
      </c>
      <c r="Z288" s="61">
        <v>13.457000000000001</v>
      </c>
      <c r="AA288" s="61">
        <v>308.935</v>
      </c>
      <c r="AB288" s="60">
        <v>567.21400000000006</v>
      </c>
      <c r="AC288" s="62"/>
      <c r="AD288" s="61"/>
      <c r="AE288" s="61"/>
      <c r="AF288" s="61"/>
      <c r="AG288" s="61"/>
      <c r="AH288" s="61"/>
      <c r="AI288" s="61"/>
      <c r="AJ288" s="61"/>
      <c r="AK288" s="62"/>
      <c r="AL288" s="63"/>
      <c r="AM288" s="64"/>
      <c r="AN288" s="65" t="e">
        <v>#N/A</v>
      </c>
      <c r="AO288" s="61" t="e">
        <v>#N/A</v>
      </c>
      <c r="AP288" s="61" t="e">
        <v>#N/A</v>
      </c>
      <c r="AQ288" s="61" t="e">
        <v>#N/A</v>
      </c>
      <c r="AR288" s="61" t="e">
        <v>#N/A</v>
      </c>
      <c r="AS288" s="61" t="e">
        <v>#N/A</v>
      </c>
      <c r="AT288" s="61" t="e">
        <v>#N/A</v>
      </c>
      <c r="AU288" s="61" t="e">
        <v>#N/A</v>
      </c>
      <c r="AV288" s="61" t="e">
        <v>#N/A</v>
      </c>
      <c r="AW288" s="61" t="e">
        <v>#N/A</v>
      </c>
      <c r="AX288" s="65" t="e">
        <v>#N/A</v>
      </c>
      <c r="AY288" s="66">
        <v>0.59299999999999997</v>
      </c>
      <c r="AZ288" s="61">
        <v>5.4</v>
      </c>
      <c r="BA288" s="61">
        <v>45.738</v>
      </c>
      <c r="BB288" s="61">
        <v>51.73</v>
      </c>
      <c r="BC288" s="61">
        <v>8.5000000000000006E-2</v>
      </c>
      <c r="BD288" s="61">
        <v>0.44900000000000001</v>
      </c>
      <c r="BE288" s="61">
        <v>2.8000000000000001E-2</v>
      </c>
      <c r="BF288" s="61" t="s">
        <v>122</v>
      </c>
      <c r="BG288" s="61">
        <v>6.45</v>
      </c>
      <c r="BH288" s="61">
        <v>5.2469999999999999</v>
      </c>
      <c r="BI288" s="61">
        <v>1.2E-2</v>
      </c>
      <c r="BJ288" s="61">
        <v>11.709</v>
      </c>
      <c r="BK288" s="66">
        <v>12.271000000000001</v>
      </c>
      <c r="BL288" s="67">
        <v>6.8940000000000001</v>
      </c>
      <c r="BM288" s="61" t="s">
        <v>121</v>
      </c>
      <c r="BN288" s="61" t="s">
        <v>121</v>
      </c>
      <c r="BO288" s="61" t="s">
        <v>121</v>
      </c>
      <c r="BP288" s="61">
        <v>6.8940000000000001</v>
      </c>
      <c r="BQ288" s="61">
        <v>229.59100000000001</v>
      </c>
      <c r="BR288" s="61">
        <v>15.018000000000001</v>
      </c>
      <c r="BS288" s="61">
        <v>0.29299999999999998</v>
      </c>
      <c r="BT288" s="61">
        <v>2.6160000000000001</v>
      </c>
      <c r="BU288" s="61">
        <v>15.111000000000001</v>
      </c>
      <c r="BV288" s="61">
        <v>29.725000000000001</v>
      </c>
      <c r="BW288" s="61">
        <v>44.835999999999999</v>
      </c>
      <c r="BX288" s="67">
        <v>292.35399999999998</v>
      </c>
      <c r="BY288" s="68">
        <v>112442</v>
      </c>
      <c r="BZ288" s="68">
        <v>111015</v>
      </c>
      <c r="CA288" s="69">
        <v>7632</v>
      </c>
      <c r="CB288" s="68">
        <v>114746</v>
      </c>
      <c r="CC288" s="68">
        <v>9297</v>
      </c>
      <c r="CD288" s="61"/>
      <c r="CE288" s="64"/>
      <c r="CF288" s="64"/>
      <c r="CG288" s="70">
        <f t="shared" si="21"/>
        <v>4819.3320000000003</v>
      </c>
      <c r="CH288" s="70">
        <f t="shared" si="22"/>
        <v>320.54399999999998</v>
      </c>
      <c r="CI288" s="70">
        <f t="shared" si="23"/>
        <v>390.47399999999999</v>
      </c>
      <c r="CJ288" s="70">
        <f t="shared" si="25"/>
        <v>4722.5640000000003</v>
      </c>
      <c r="CK288" s="70">
        <f t="shared" si="25"/>
        <v>4662.63</v>
      </c>
      <c r="CL288" s="70">
        <f t="shared" si="24"/>
        <v>390.47399999999999</v>
      </c>
      <c r="CM288" s="61"/>
      <c r="CN288" s="61"/>
      <c r="CO288" s="61"/>
      <c r="CP288" s="61"/>
      <c r="CQ288" s="61"/>
      <c r="CR288" s="61"/>
      <c r="CS288" s="61"/>
      <c r="CT288" s="61"/>
      <c r="CU288" s="61"/>
      <c r="CV288" s="61"/>
      <c r="CW288" s="61"/>
      <c r="CX288" s="61"/>
      <c r="CY288" s="61"/>
      <c r="CZ288" s="61"/>
      <c r="DA288" s="61"/>
      <c r="DB288" s="61"/>
      <c r="DC288" s="61"/>
      <c r="DD288" s="61"/>
      <c r="DE288" s="61"/>
      <c r="DF288" s="61"/>
      <c r="DG288" s="61"/>
      <c r="DH288" s="61"/>
      <c r="DI288" s="61"/>
      <c r="DJ288" s="61"/>
      <c r="DK288" s="61"/>
      <c r="DL288" s="61"/>
      <c r="DM288" s="61"/>
      <c r="DN288" s="61"/>
      <c r="DO288" s="61"/>
      <c r="DP288" s="61"/>
      <c r="DQ288" s="61"/>
      <c r="DR288" s="61"/>
      <c r="DS288" s="61"/>
      <c r="DT288" s="61"/>
      <c r="DU288" s="61"/>
      <c r="DV288" s="61"/>
      <c r="DW288" s="61"/>
      <c r="DX288" s="61"/>
      <c r="DY288" s="61"/>
      <c r="DZ288" s="61"/>
      <c r="EA288" s="61"/>
      <c r="EB288" s="61"/>
      <c r="EC288" s="61"/>
      <c r="ED288" s="61"/>
      <c r="EE288" s="61"/>
      <c r="EF288" s="61"/>
      <c r="EG288" s="61"/>
      <c r="EH288" s="61"/>
      <c r="EI288" s="61"/>
      <c r="EJ288" s="61"/>
      <c r="EK288" s="61"/>
      <c r="EL288" s="61"/>
      <c r="EM288" s="61"/>
      <c r="EN288" s="61"/>
      <c r="EO288" s="61"/>
      <c r="EP288" s="61"/>
      <c r="EQ288" s="61"/>
      <c r="ER288" s="61"/>
      <c r="ES288" s="61"/>
      <c r="ET288" s="61"/>
      <c r="EU288" s="61"/>
      <c r="EV288" s="61"/>
      <c r="EW288" s="61"/>
    </row>
    <row r="289" spans="1:153">
      <c r="A289" s="56">
        <v>35370</v>
      </c>
      <c r="B289" s="57"/>
      <c r="C289" s="7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71"/>
      <c r="P289" s="60">
        <v>230.3</v>
      </c>
      <c r="Q289" s="61">
        <v>14.166</v>
      </c>
      <c r="R289" s="61">
        <v>295.56200000000001</v>
      </c>
      <c r="S289" s="61">
        <v>561.30399999999997</v>
      </c>
      <c r="T289" s="61">
        <v>243.572</v>
      </c>
      <c r="U289" s="61">
        <v>16.486000000000001</v>
      </c>
      <c r="V289" s="61">
        <v>4.6630000000000003</v>
      </c>
      <c r="W289" s="61">
        <v>1.0209999999999999</v>
      </c>
      <c r="X289" s="61">
        <v>230.3</v>
      </c>
      <c r="Y289" s="61">
        <v>51.095999999999997</v>
      </c>
      <c r="Z289" s="61">
        <v>14.073</v>
      </c>
      <c r="AA289" s="61">
        <v>295.46800000000002</v>
      </c>
      <c r="AB289" s="60">
        <v>561.21100000000001</v>
      </c>
      <c r="AC289" s="62"/>
      <c r="AD289" s="61"/>
      <c r="AE289" s="61"/>
      <c r="AF289" s="61"/>
      <c r="AG289" s="61"/>
      <c r="AH289" s="61"/>
      <c r="AI289" s="61"/>
      <c r="AJ289" s="61"/>
      <c r="AK289" s="62"/>
      <c r="AL289" s="63"/>
      <c r="AM289" s="64"/>
      <c r="AN289" s="65" t="e">
        <v>#N/A</v>
      </c>
      <c r="AO289" s="61" t="e">
        <v>#N/A</v>
      </c>
      <c r="AP289" s="61" t="e">
        <v>#N/A</v>
      </c>
      <c r="AQ289" s="61" t="e">
        <v>#N/A</v>
      </c>
      <c r="AR289" s="61" t="e">
        <v>#N/A</v>
      </c>
      <c r="AS289" s="61" t="e">
        <v>#N/A</v>
      </c>
      <c r="AT289" s="61" t="e">
        <v>#N/A</v>
      </c>
      <c r="AU289" s="61" t="e">
        <v>#N/A</v>
      </c>
      <c r="AV289" s="61" t="e">
        <v>#N/A</v>
      </c>
      <c r="AW289" s="61" t="e">
        <v>#N/A</v>
      </c>
      <c r="AX289" s="65" t="e">
        <v>#N/A</v>
      </c>
      <c r="AY289" s="66">
        <v>0.57399999999999995</v>
      </c>
      <c r="AZ289" s="61">
        <v>4.4290000000000003</v>
      </c>
      <c r="BA289" s="61">
        <v>44.262</v>
      </c>
      <c r="BB289" s="61">
        <v>49.265999999999998</v>
      </c>
      <c r="BC289" s="61">
        <v>8.7999999999999995E-2</v>
      </c>
      <c r="BD289" s="61">
        <v>0.434</v>
      </c>
      <c r="BE289" s="61">
        <v>2.3E-2</v>
      </c>
      <c r="BF289" s="61" t="s">
        <v>122</v>
      </c>
      <c r="BG289" s="61">
        <v>6.2380000000000004</v>
      </c>
      <c r="BH289" s="61">
        <v>4.8600000000000003</v>
      </c>
      <c r="BI289" s="61">
        <v>1.4E-2</v>
      </c>
      <c r="BJ289" s="61">
        <v>11.112</v>
      </c>
      <c r="BK289" s="66">
        <v>11.657999999999999</v>
      </c>
      <c r="BL289" s="67">
        <v>7.8470000000000004</v>
      </c>
      <c r="BM289" s="61" t="s">
        <v>121</v>
      </c>
      <c r="BN289" s="61" t="s">
        <v>121</v>
      </c>
      <c r="BO289" s="61" t="s">
        <v>121</v>
      </c>
      <c r="BP289" s="61">
        <v>7.8470000000000004</v>
      </c>
      <c r="BQ289" s="61">
        <v>239.36</v>
      </c>
      <c r="BR289" s="61">
        <v>15.24</v>
      </c>
      <c r="BS289" s="61">
        <v>0.20599999999999999</v>
      </c>
      <c r="BT289" s="61">
        <v>1.0209999999999999</v>
      </c>
      <c r="BU289" s="61">
        <v>14.332000000000001</v>
      </c>
      <c r="BV289" s="61">
        <v>27.535</v>
      </c>
      <c r="BW289" s="61">
        <v>41.866</v>
      </c>
      <c r="BX289" s="67">
        <v>297.69299999999998</v>
      </c>
      <c r="BY289" s="68">
        <v>109244</v>
      </c>
      <c r="BZ289" s="68">
        <v>103257</v>
      </c>
      <c r="CA289" s="69">
        <v>6153</v>
      </c>
      <c r="CB289" s="68">
        <v>121754</v>
      </c>
      <c r="CC289" s="68">
        <v>5132</v>
      </c>
      <c r="CD289" s="61"/>
      <c r="CE289" s="64"/>
      <c r="CF289" s="64"/>
      <c r="CG289" s="70">
        <f t="shared" si="21"/>
        <v>5113.6679999999997</v>
      </c>
      <c r="CH289" s="70">
        <f t="shared" si="22"/>
        <v>258.42599999999999</v>
      </c>
      <c r="CI289" s="70">
        <f t="shared" si="23"/>
        <v>215.54400000000001</v>
      </c>
      <c r="CJ289" s="70">
        <f t="shared" si="25"/>
        <v>4588.2479999999996</v>
      </c>
      <c r="CK289" s="70">
        <f t="shared" si="25"/>
        <v>4336.7939999999999</v>
      </c>
      <c r="CL289" s="70">
        <f t="shared" si="24"/>
        <v>215.54400000000001</v>
      </c>
      <c r="CM289" s="61"/>
      <c r="CN289" s="61"/>
      <c r="CO289" s="61"/>
      <c r="CP289" s="61"/>
      <c r="CQ289" s="61"/>
      <c r="CR289" s="61"/>
      <c r="CS289" s="61"/>
      <c r="CT289" s="61"/>
      <c r="CU289" s="61"/>
      <c r="CV289" s="61"/>
      <c r="CW289" s="61"/>
      <c r="CX289" s="61"/>
      <c r="CY289" s="61"/>
      <c r="CZ289" s="61"/>
      <c r="DA289" s="61"/>
      <c r="DB289" s="61"/>
      <c r="DC289" s="61"/>
      <c r="DD289" s="61"/>
      <c r="DE289" s="61"/>
      <c r="DF289" s="61"/>
      <c r="DG289" s="61"/>
      <c r="DH289" s="61"/>
      <c r="DI289" s="61"/>
      <c r="DJ289" s="61"/>
      <c r="DK289" s="61"/>
      <c r="DL289" s="61"/>
      <c r="DM289" s="61"/>
      <c r="DN289" s="61"/>
      <c r="DO289" s="61"/>
      <c r="DP289" s="61"/>
      <c r="DQ289" s="61"/>
      <c r="DR289" s="61"/>
      <c r="DS289" s="61"/>
      <c r="DT289" s="61"/>
      <c r="DU289" s="61"/>
      <c r="DV289" s="61"/>
      <c r="DW289" s="61"/>
      <c r="DX289" s="61"/>
      <c r="DY289" s="61"/>
      <c r="DZ289" s="61"/>
      <c r="EA289" s="61"/>
      <c r="EB289" s="61"/>
      <c r="EC289" s="61"/>
      <c r="ED289" s="61"/>
      <c r="EE289" s="61"/>
      <c r="EF289" s="61"/>
      <c r="EG289" s="61"/>
      <c r="EH289" s="61"/>
      <c r="EI289" s="61"/>
      <c r="EJ289" s="61"/>
      <c r="EK289" s="61"/>
      <c r="EL289" s="61"/>
      <c r="EM289" s="61"/>
      <c r="EN289" s="61"/>
      <c r="EO289" s="61"/>
      <c r="EP289" s="61"/>
      <c r="EQ289" s="61"/>
      <c r="ER289" s="61"/>
      <c r="ES289" s="61"/>
      <c r="ET289" s="61"/>
      <c r="EU289" s="61"/>
      <c r="EV289" s="61"/>
      <c r="EW289" s="61"/>
    </row>
    <row r="290" spans="1:153">
      <c r="A290" s="56">
        <v>35400</v>
      </c>
      <c r="B290" s="57"/>
      <c r="C290" s="7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71"/>
      <c r="P290" s="60">
        <v>196.85400000000001</v>
      </c>
      <c r="Q290" s="61">
        <v>14.977</v>
      </c>
      <c r="R290" s="61">
        <v>264.91199999999998</v>
      </c>
      <c r="S290" s="61">
        <v>598.13099999999997</v>
      </c>
      <c r="T290" s="61">
        <v>313.35300000000001</v>
      </c>
      <c r="U290" s="61">
        <v>14.191000000000001</v>
      </c>
      <c r="V290" s="61">
        <v>4.41</v>
      </c>
      <c r="W290" s="61">
        <v>1.2649999999999999</v>
      </c>
      <c r="X290" s="61">
        <v>196.85400000000001</v>
      </c>
      <c r="Y290" s="61">
        <v>53.08</v>
      </c>
      <c r="Z290" s="61">
        <v>14.061</v>
      </c>
      <c r="AA290" s="61">
        <v>263.99599999999998</v>
      </c>
      <c r="AB290" s="60">
        <v>597.21600000000001</v>
      </c>
      <c r="AC290" s="62"/>
      <c r="AD290" s="61"/>
      <c r="AE290" s="61"/>
      <c r="AF290" s="61"/>
      <c r="AG290" s="61"/>
      <c r="AH290" s="61"/>
      <c r="AI290" s="61"/>
      <c r="AJ290" s="61"/>
      <c r="AK290" s="62"/>
      <c r="AL290" s="63"/>
      <c r="AM290" s="64"/>
      <c r="AN290" s="65" t="e">
        <v>#N/A</v>
      </c>
      <c r="AO290" s="61" t="e">
        <v>#N/A</v>
      </c>
      <c r="AP290" s="61" t="e">
        <v>#N/A</v>
      </c>
      <c r="AQ290" s="61" t="e">
        <v>#N/A</v>
      </c>
      <c r="AR290" s="61" t="e">
        <v>#N/A</v>
      </c>
      <c r="AS290" s="61" t="e">
        <v>#N/A</v>
      </c>
      <c r="AT290" s="61" t="e">
        <v>#N/A</v>
      </c>
      <c r="AU290" s="61" t="e">
        <v>#N/A</v>
      </c>
      <c r="AV290" s="61" t="e">
        <v>#N/A</v>
      </c>
      <c r="AW290" s="61" t="e">
        <v>#N/A</v>
      </c>
      <c r="AX290" s="65" t="e">
        <v>#N/A</v>
      </c>
      <c r="AY290" s="66">
        <v>0.59299999999999997</v>
      </c>
      <c r="AZ290" s="61">
        <v>4.2050000000000001</v>
      </c>
      <c r="BA290" s="61">
        <v>45.738</v>
      </c>
      <c r="BB290" s="61">
        <v>50.534999999999997</v>
      </c>
      <c r="BC290" s="61">
        <v>0.113</v>
      </c>
      <c r="BD290" s="61">
        <v>0.44900000000000001</v>
      </c>
      <c r="BE290" s="61">
        <v>2.1999999999999999E-2</v>
      </c>
      <c r="BF290" s="61" t="s">
        <v>122</v>
      </c>
      <c r="BG290" s="61">
        <v>6.3979999999999997</v>
      </c>
      <c r="BH290" s="61">
        <v>5.0599999999999996</v>
      </c>
      <c r="BI290" s="61">
        <v>1.2999999999999999E-2</v>
      </c>
      <c r="BJ290" s="61">
        <v>11.472</v>
      </c>
      <c r="BK290" s="66">
        <v>12.055999999999999</v>
      </c>
      <c r="BL290" s="67">
        <v>7.4909999999999997</v>
      </c>
      <c r="BM290" s="61" t="s">
        <v>121</v>
      </c>
      <c r="BN290" s="61" t="s">
        <v>121</v>
      </c>
      <c r="BO290" s="61" t="s">
        <v>121</v>
      </c>
      <c r="BP290" s="61">
        <v>7.4909999999999997</v>
      </c>
      <c r="BQ290" s="61">
        <v>307.935</v>
      </c>
      <c r="BR290" s="61">
        <v>12.904</v>
      </c>
      <c r="BS290" s="61">
        <v>0.17899999999999999</v>
      </c>
      <c r="BT290" s="61">
        <v>1.2649999999999999</v>
      </c>
      <c r="BU290" s="61">
        <v>10.728</v>
      </c>
      <c r="BV290" s="61">
        <v>28.667999999999999</v>
      </c>
      <c r="BW290" s="61">
        <v>39.396000000000001</v>
      </c>
      <c r="BX290" s="67">
        <v>361.678</v>
      </c>
      <c r="BY290" s="68">
        <v>109606</v>
      </c>
      <c r="BZ290" s="68">
        <v>106083</v>
      </c>
      <c r="CA290" s="69">
        <v>7832</v>
      </c>
      <c r="CB290" s="68">
        <v>126729</v>
      </c>
      <c r="CC290" s="68">
        <v>6380</v>
      </c>
      <c r="CD290" s="61"/>
      <c r="CE290" s="64"/>
      <c r="CF290" s="64"/>
      <c r="CG290" s="70">
        <f t="shared" si="21"/>
        <v>5322.6180000000004</v>
      </c>
      <c r="CH290" s="70">
        <f t="shared" si="22"/>
        <v>328.94400000000002</v>
      </c>
      <c r="CI290" s="70">
        <f t="shared" si="23"/>
        <v>267.95999999999998</v>
      </c>
      <c r="CJ290" s="70">
        <f t="shared" si="25"/>
        <v>4603.4520000000002</v>
      </c>
      <c r="CK290" s="70">
        <f t="shared" si="25"/>
        <v>4455.4859999999999</v>
      </c>
      <c r="CL290" s="70">
        <f t="shared" si="24"/>
        <v>267.95999999999998</v>
      </c>
      <c r="CM290" s="61"/>
      <c r="CN290" s="61"/>
      <c r="CO290" s="61"/>
      <c r="CP290" s="61"/>
      <c r="CQ290" s="61"/>
      <c r="CR290" s="61"/>
      <c r="CS290" s="61"/>
      <c r="CT290" s="61"/>
      <c r="CU290" s="61"/>
      <c r="CV290" s="61"/>
      <c r="CW290" s="61"/>
      <c r="CX290" s="61"/>
      <c r="CY290" s="61"/>
      <c r="CZ290" s="61"/>
      <c r="DA290" s="61"/>
      <c r="DB290" s="61"/>
      <c r="DC290" s="61"/>
      <c r="DD290" s="61"/>
      <c r="DE290" s="61"/>
      <c r="DF290" s="61"/>
      <c r="DG290" s="61"/>
      <c r="DH290" s="61"/>
      <c r="DI290" s="61"/>
      <c r="DJ290" s="61"/>
      <c r="DK290" s="61"/>
      <c r="DL290" s="61"/>
      <c r="DM290" s="61"/>
      <c r="DN290" s="61"/>
      <c r="DO290" s="61"/>
      <c r="DP290" s="61"/>
      <c r="DQ290" s="61"/>
      <c r="DR290" s="61"/>
      <c r="DS290" s="61"/>
      <c r="DT290" s="61"/>
      <c r="DU290" s="61"/>
      <c r="DV290" s="61"/>
      <c r="DW290" s="61"/>
      <c r="DX290" s="61"/>
      <c r="DY290" s="61"/>
      <c r="DZ290" s="61"/>
      <c r="EA290" s="61"/>
      <c r="EB290" s="61"/>
      <c r="EC290" s="61"/>
      <c r="ED290" s="61"/>
      <c r="EE290" s="61"/>
      <c r="EF290" s="61"/>
      <c r="EG290" s="61"/>
      <c r="EH290" s="61"/>
      <c r="EI290" s="61"/>
      <c r="EJ290" s="61"/>
      <c r="EK290" s="61"/>
      <c r="EL290" s="61"/>
      <c r="EM290" s="61"/>
      <c r="EN290" s="61"/>
      <c r="EO290" s="61"/>
      <c r="EP290" s="61"/>
      <c r="EQ290" s="61"/>
      <c r="ER290" s="61"/>
      <c r="ES290" s="61"/>
      <c r="ET290" s="61"/>
      <c r="EU290" s="61"/>
      <c r="EV290" s="61"/>
      <c r="EW290" s="61"/>
    </row>
    <row r="291" spans="1:153">
      <c r="A291" s="56">
        <v>35431</v>
      </c>
      <c r="B291" s="57"/>
      <c r="C291" s="7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71"/>
      <c r="P291" s="60">
        <v>219.53200000000001</v>
      </c>
      <c r="Q291" s="61">
        <v>14.553000000000001</v>
      </c>
      <c r="R291" s="61">
        <v>275.64100000000002</v>
      </c>
      <c r="S291" s="61">
        <v>629.79600000000005</v>
      </c>
      <c r="T291" s="61">
        <v>336.61599999999999</v>
      </c>
      <c r="U291" s="61">
        <v>12.781000000000001</v>
      </c>
      <c r="V291" s="61">
        <v>3.528</v>
      </c>
      <c r="W291" s="61">
        <v>1.23</v>
      </c>
      <c r="X291" s="61">
        <v>219.53200000000001</v>
      </c>
      <c r="Y291" s="61">
        <v>41.555999999999997</v>
      </c>
      <c r="Z291" s="61">
        <v>13.881</v>
      </c>
      <c r="AA291" s="61">
        <v>274.96800000000002</v>
      </c>
      <c r="AB291" s="60">
        <v>629.12300000000005</v>
      </c>
      <c r="AC291" s="62"/>
      <c r="AD291" s="61"/>
      <c r="AE291" s="61"/>
      <c r="AF291" s="61"/>
      <c r="AG291" s="61"/>
      <c r="AH291" s="61"/>
      <c r="AI291" s="61"/>
      <c r="AJ291" s="61"/>
      <c r="AK291" s="62"/>
      <c r="AL291" s="63"/>
      <c r="AM291" s="64"/>
      <c r="AN291" s="65" t="e">
        <v>#N/A</v>
      </c>
      <c r="AO291" s="61" t="e">
        <v>#N/A</v>
      </c>
      <c r="AP291" s="61" t="e">
        <v>#N/A</v>
      </c>
      <c r="AQ291" s="61" t="e">
        <v>#N/A</v>
      </c>
      <c r="AR291" s="61" t="e">
        <v>#N/A</v>
      </c>
      <c r="AS291" s="61" t="e">
        <v>#N/A</v>
      </c>
      <c r="AT291" s="61" t="e">
        <v>#N/A</v>
      </c>
      <c r="AU291" s="61" t="e">
        <v>#N/A</v>
      </c>
      <c r="AV291" s="61" t="e">
        <v>#N/A</v>
      </c>
      <c r="AW291" s="61" t="e">
        <v>#N/A</v>
      </c>
      <c r="AX291" s="65" t="e">
        <v>#N/A</v>
      </c>
      <c r="AY291" s="66">
        <v>0.63700000000000001</v>
      </c>
      <c r="AZ291" s="61">
        <v>3.383</v>
      </c>
      <c r="BA291" s="61">
        <v>36.521000000000001</v>
      </c>
      <c r="BB291" s="61">
        <v>40.540999999999997</v>
      </c>
      <c r="BC291" s="61">
        <v>0.114</v>
      </c>
      <c r="BD291" s="61">
        <v>0.48399999999999999</v>
      </c>
      <c r="BE291" s="61">
        <v>0.02</v>
      </c>
      <c r="BF291" s="61" t="s">
        <v>122</v>
      </c>
      <c r="BG291" s="61">
        <v>6.258</v>
      </c>
      <c r="BH291" s="61">
        <v>4.1559999999999997</v>
      </c>
      <c r="BI291" s="61">
        <v>2.1000000000000001E-2</v>
      </c>
      <c r="BJ291" s="61">
        <v>10.436</v>
      </c>
      <c r="BK291" s="66">
        <v>11.053000000000001</v>
      </c>
      <c r="BL291" s="67">
        <v>7.51</v>
      </c>
      <c r="BM291" s="61" t="s">
        <v>121</v>
      </c>
      <c r="BN291" s="61" t="s">
        <v>121</v>
      </c>
      <c r="BO291" s="61" t="s">
        <v>121</v>
      </c>
      <c r="BP291" s="61">
        <v>7.51</v>
      </c>
      <c r="BQ291" s="61">
        <v>331.13299999999998</v>
      </c>
      <c r="BR291" s="61">
        <v>11.397</v>
      </c>
      <c r="BS291" s="61">
        <v>0.12</v>
      </c>
      <c r="BT291" s="61">
        <v>1.23</v>
      </c>
      <c r="BU291" s="61">
        <v>13.414999999999999</v>
      </c>
      <c r="BV291" s="61">
        <v>22.292999999999999</v>
      </c>
      <c r="BW291" s="61">
        <v>35.707999999999998</v>
      </c>
      <c r="BX291" s="67">
        <v>379.58800000000002</v>
      </c>
      <c r="BY291" s="68">
        <v>96680</v>
      </c>
      <c r="BZ291" s="68">
        <v>117366</v>
      </c>
      <c r="CA291" s="69">
        <v>9072</v>
      </c>
      <c r="CB291" s="68">
        <v>110978</v>
      </c>
      <c r="CC291" s="68">
        <v>4137</v>
      </c>
      <c r="CD291" s="61"/>
      <c r="CE291" s="64"/>
      <c r="CF291" s="64"/>
      <c r="CG291" s="70">
        <f t="shared" si="21"/>
        <v>4661.076</v>
      </c>
      <c r="CH291" s="70">
        <f t="shared" si="22"/>
        <v>381.024</v>
      </c>
      <c r="CI291" s="70">
        <f t="shared" si="23"/>
        <v>173.75399999999999</v>
      </c>
      <c r="CJ291" s="70">
        <f t="shared" si="25"/>
        <v>4060.56</v>
      </c>
      <c r="CK291" s="70">
        <f t="shared" si="25"/>
        <v>4929.3720000000003</v>
      </c>
      <c r="CL291" s="70">
        <f t="shared" si="24"/>
        <v>173.75399999999999</v>
      </c>
      <c r="CM291" s="61"/>
      <c r="CN291" s="61"/>
      <c r="CO291" s="61"/>
      <c r="CP291" s="61"/>
      <c r="CQ291" s="61"/>
      <c r="CR291" s="61"/>
      <c r="CS291" s="61"/>
      <c r="CT291" s="61"/>
      <c r="CU291" s="61"/>
      <c r="CV291" s="61"/>
      <c r="CW291" s="61"/>
      <c r="CX291" s="61"/>
      <c r="CY291" s="61"/>
      <c r="CZ291" s="61"/>
      <c r="DA291" s="61"/>
      <c r="DB291" s="61"/>
      <c r="DC291" s="61"/>
      <c r="DD291" s="61"/>
      <c r="DE291" s="61"/>
      <c r="DF291" s="61"/>
      <c r="DG291" s="61"/>
      <c r="DH291" s="61"/>
      <c r="DI291" s="61"/>
      <c r="DJ291" s="61"/>
      <c r="DK291" s="61"/>
      <c r="DL291" s="61"/>
      <c r="DM291" s="61"/>
      <c r="DN291" s="61"/>
      <c r="DO291" s="61"/>
      <c r="DP291" s="61"/>
      <c r="DQ291" s="61"/>
      <c r="DR291" s="61"/>
      <c r="DS291" s="61"/>
      <c r="DT291" s="61"/>
      <c r="DU291" s="61"/>
      <c r="DV291" s="61"/>
      <c r="DW291" s="61"/>
      <c r="DX291" s="61"/>
      <c r="DY291" s="61"/>
      <c r="DZ291" s="61"/>
      <c r="EA291" s="61"/>
      <c r="EB291" s="61"/>
      <c r="EC291" s="61"/>
      <c r="ED291" s="61"/>
      <c r="EE291" s="61"/>
      <c r="EF291" s="61"/>
      <c r="EG291" s="61"/>
      <c r="EH291" s="61"/>
      <c r="EI291" s="61"/>
      <c r="EJ291" s="61"/>
      <c r="EK291" s="61"/>
      <c r="EL291" s="61"/>
      <c r="EM291" s="61"/>
      <c r="EN291" s="61"/>
      <c r="EO291" s="61"/>
      <c r="EP291" s="61"/>
      <c r="EQ291" s="61"/>
      <c r="ER291" s="61"/>
      <c r="ES291" s="61"/>
      <c r="ET291" s="61"/>
      <c r="EU291" s="61"/>
      <c r="EV291" s="61"/>
      <c r="EW291" s="61"/>
    </row>
    <row r="292" spans="1:153">
      <c r="A292" s="56">
        <v>35462</v>
      </c>
      <c r="B292" s="57"/>
      <c r="C292" s="7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71"/>
      <c r="P292" s="60">
        <v>169.84200000000001</v>
      </c>
      <c r="Q292" s="61">
        <v>13.867000000000001</v>
      </c>
      <c r="R292" s="61">
        <v>226.52099999999999</v>
      </c>
      <c r="S292" s="61">
        <v>563.28200000000004</v>
      </c>
      <c r="T292" s="61">
        <v>321.85899999999998</v>
      </c>
      <c r="U292" s="61">
        <v>9.7669999999999995</v>
      </c>
      <c r="V292" s="61">
        <v>4.0229999999999997</v>
      </c>
      <c r="W292" s="61">
        <v>1.1120000000000001</v>
      </c>
      <c r="X292" s="61">
        <v>169.84200000000001</v>
      </c>
      <c r="Y292" s="61">
        <v>42.813000000000002</v>
      </c>
      <c r="Z292" s="61">
        <v>14.02</v>
      </c>
      <c r="AA292" s="61">
        <v>226.67400000000001</v>
      </c>
      <c r="AB292" s="60">
        <v>563.43499999999995</v>
      </c>
      <c r="AC292" s="62"/>
      <c r="AD292" s="61"/>
      <c r="AE292" s="61"/>
      <c r="AF292" s="61"/>
      <c r="AG292" s="61"/>
      <c r="AH292" s="61"/>
      <c r="AI292" s="61"/>
      <c r="AJ292" s="61"/>
      <c r="AK292" s="62"/>
      <c r="AL292" s="63"/>
      <c r="AM292" s="64"/>
      <c r="AN292" s="65" t="e">
        <v>#N/A</v>
      </c>
      <c r="AO292" s="61" t="e">
        <v>#N/A</v>
      </c>
      <c r="AP292" s="61" t="e">
        <v>#N/A</v>
      </c>
      <c r="AQ292" s="61" t="e">
        <v>#N/A</v>
      </c>
      <c r="AR292" s="61" t="e">
        <v>#N/A</v>
      </c>
      <c r="AS292" s="61" t="e">
        <v>#N/A</v>
      </c>
      <c r="AT292" s="61" t="e">
        <v>#N/A</v>
      </c>
      <c r="AU292" s="61" t="e">
        <v>#N/A</v>
      </c>
      <c r="AV292" s="61" t="e">
        <v>#N/A</v>
      </c>
      <c r="AW292" s="61" t="e">
        <v>#N/A</v>
      </c>
      <c r="AX292" s="65" t="e">
        <v>#N/A</v>
      </c>
      <c r="AY292" s="66">
        <v>0.57499999999999996</v>
      </c>
      <c r="AZ292" s="61">
        <v>3.6469999999999998</v>
      </c>
      <c r="BA292" s="61">
        <v>32.985999999999997</v>
      </c>
      <c r="BB292" s="61">
        <v>37.209000000000003</v>
      </c>
      <c r="BC292" s="61">
        <v>0.109</v>
      </c>
      <c r="BD292" s="61">
        <v>0.437</v>
      </c>
      <c r="BE292" s="61">
        <v>2.1000000000000001E-2</v>
      </c>
      <c r="BF292" s="61" t="s">
        <v>122</v>
      </c>
      <c r="BG292" s="61">
        <v>5.6130000000000004</v>
      </c>
      <c r="BH292" s="61">
        <v>4.5</v>
      </c>
      <c r="BI292" s="61">
        <v>2.3E-2</v>
      </c>
      <c r="BJ292" s="61">
        <v>10.135999999999999</v>
      </c>
      <c r="BK292" s="66">
        <v>10.702999999999999</v>
      </c>
      <c r="BL292" s="67">
        <v>7.9359999999999999</v>
      </c>
      <c r="BM292" s="61" t="s">
        <v>121</v>
      </c>
      <c r="BN292" s="61" t="s">
        <v>121</v>
      </c>
      <c r="BO292" s="61" t="s">
        <v>121</v>
      </c>
      <c r="BP292" s="61">
        <v>7.9359999999999999</v>
      </c>
      <c r="BQ292" s="61">
        <v>316.61700000000002</v>
      </c>
      <c r="BR292" s="61">
        <v>8.5169999999999995</v>
      </c>
      <c r="BS292" s="61">
        <v>0.34899999999999998</v>
      </c>
      <c r="BT292" s="61">
        <v>1.1120000000000001</v>
      </c>
      <c r="BU292" s="61">
        <v>9.3279999999999994</v>
      </c>
      <c r="BV292" s="61">
        <v>24.138999999999999</v>
      </c>
      <c r="BW292" s="61">
        <v>33.466999999999999</v>
      </c>
      <c r="BX292" s="67">
        <v>360.06200000000001</v>
      </c>
      <c r="BY292" s="68">
        <v>86523</v>
      </c>
      <c r="BZ292" s="68">
        <v>95958</v>
      </c>
      <c r="CA292" s="69">
        <v>6896</v>
      </c>
      <c r="CB292" s="68">
        <v>105457</v>
      </c>
      <c r="CC292" s="68">
        <v>2982</v>
      </c>
      <c r="CD292" s="61"/>
      <c r="CE292" s="64"/>
      <c r="CF292" s="64"/>
      <c r="CG292" s="70">
        <f t="shared" si="21"/>
        <v>4429.1940000000004</v>
      </c>
      <c r="CH292" s="70">
        <f t="shared" si="22"/>
        <v>289.63200000000001</v>
      </c>
      <c r="CI292" s="70">
        <f t="shared" si="23"/>
        <v>125.244</v>
      </c>
      <c r="CJ292" s="70">
        <f t="shared" si="25"/>
        <v>3633.9659999999999</v>
      </c>
      <c r="CK292" s="70">
        <f t="shared" si="25"/>
        <v>4030.2359999999999</v>
      </c>
      <c r="CL292" s="70">
        <f t="shared" si="24"/>
        <v>125.244</v>
      </c>
      <c r="CM292" s="61"/>
      <c r="CN292" s="61"/>
      <c r="CO292" s="61"/>
      <c r="CP292" s="61"/>
      <c r="CQ292" s="61"/>
      <c r="CR292" s="61"/>
      <c r="CS292" s="61"/>
      <c r="CT292" s="61"/>
      <c r="CU292" s="61"/>
      <c r="CV292" s="61"/>
      <c r="CW292" s="61"/>
      <c r="CX292" s="61"/>
      <c r="CY292" s="61"/>
      <c r="CZ292" s="61"/>
      <c r="DA292" s="61"/>
      <c r="DB292" s="61"/>
      <c r="DC292" s="61"/>
      <c r="DD292" s="61"/>
      <c r="DE292" s="61"/>
      <c r="DF292" s="61"/>
      <c r="DG292" s="61"/>
      <c r="DH292" s="61"/>
      <c r="DI292" s="61"/>
      <c r="DJ292" s="61"/>
      <c r="DK292" s="61"/>
      <c r="DL292" s="61"/>
      <c r="DM292" s="61"/>
      <c r="DN292" s="61"/>
      <c r="DO292" s="61"/>
      <c r="DP292" s="61"/>
      <c r="DQ292" s="61"/>
      <c r="DR292" s="61"/>
      <c r="DS292" s="61"/>
      <c r="DT292" s="61"/>
      <c r="DU292" s="61"/>
      <c r="DV292" s="61"/>
      <c r="DW292" s="61"/>
      <c r="DX292" s="61"/>
      <c r="DY292" s="61"/>
      <c r="DZ292" s="61"/>
      <c r="EA292" s="61"/>
      <c r="EB292" s="61"/>
      <c r="EC292" s="61"/>
      <c r="ED292" s="61"/>
      <c r="EE292" s="61"/>
      <c r="EF292" s="61"/>
      <c r="EG292" s="61"/>
      <c r="EH292" s="61"/>
      <c r="EI292" s="61"/>
      <c r="EJ292" s="61"/>
      <c r="EK292" s="61"/>
      <c r="EL292" s="61"/>
      <c r="EM292" s="61"/>
      <c r="EN292" s="61"/>
      <c r="EO292" s="61"/>
      <c r="EP292" s="61"/>
      <c r="EQ292" s="61"/>
      <c r="ER292" s="61"/>
      <c r="ES292" s="61"/>
      <c r="ET292" s="61"/>
      <c r="EU292" s="61"/>
      <c r="EV292" s="61"/>
      <c r="EW292" s="61"/>
    </row>
    <row r="293" spans="1:153">
      <c r="A293" s="56">
        <v>35490</v>
      </c>
      <c r="B293" s="57"/>
      <c r="C293" s="7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71"/>
      <c r="P293" s="60">
        <v>191.20599999999999</v>
      </c>
      <c r="Q293" s="61">
        <v>15.957000000000001</v>
      </c>
      <c r="R293" s="61">
        <v>251.136</v>
      </c>
      <c r="S293" s="61">
        <v>628.98400000000004</v>
      </c>
      <c r="T293" s="61">
        <v>357.387</v>
      </c>
      <c r="U293" s="61">
        <v>13.423999999999999</v>
      </c>
      <c r="V293" s="61">
        <v>5.52</v>
      </c>
      <c r="W293" s="61">
        <v>1.5169999999999999</v>
      </c>
      <c r="X293" s="61">
        <v>191.20599999999999</v>
      </c>
      <c r="Y293" s="61">
        <v>43.973999999999997</v>
      </c>
      <c r="Z293" s="61">
        <v>15.683</v>
      </c>
      <c r="AA293" s="61">
        <v>250.86199999999999</v>
      </c>
      <c r="AB293" s="60">
        <v>628.71</v>
      </c>
      <c r="AC293" s="62"/>
      <c r="AD293" s="61"/>
      <c r="AE293" s="61"/>
      <c r="AF293" s="61"/>
      <c r="AG293" s="61"/>
      <c r="AH293" s="61"/>
      <c r="AI293" s="61"/>
      <c r="AJ293" s="61"/>
      <c r="AK293" s="62"/>
      <c r="AL293" s="63"/>
      <c r="AM293" s="64"/>
      <c r="AN293" s="65" t="e">
        <v>#N/A</v>
      </c>
      <c r="AO293" s="61" t="e">
        <v>#N/A</v>
      </c>
      <c r="AP293" s="61" t="e">
        <v>#N/A</v>
      </c>
      <c r="AQ293" s="61" t="e">
        <v>#N/A</v>
      </c>
      <c r="AR293" s="61" t="e">
        <v>#N/A</v>
      </c>
      <c r="AS293" s="61" t="e">
        <v>#N/A</v>
      </c>
      <c r="AT293" s="61" t="e">
        <v>#N/A</v>
      </c>
      <c r="AU293" s="61" t="e">
        <v>#N/A</v>
      </c>
      <c r="AV293" s="61" t="e">
        <v>#N/A</v>
      </c>
      <c r="AW293" s="61" t="e">
        <v>#N/A</v>
      </c>
      <c r="AX293" s="65" t="e">
        <v>#N/A</v>
      </c>
      <c r="AY293" s="66">
        <v>0.63700000000000001</v>
      </c>
      <c r="AZ293" s="61">
        <v>5.0250000000000004</v>
      </c>
      <c r="BA293" s="61">
        <v>36.521000000000001</v>
      </c>
      <c r="BB293" s="61">
        <v>42.183</v>
      </c>
      <c r="BC293" s="61">
        <v>0.121</v>
      </c>
      <c r="BD293" s="61">
        <v>0.48399999999999999</v>
      </c>
      <c r="BE293" s="61">
        <v>2.9000000000000001E-2</v>
      </c>
      <c r="BF293" s="61" t="s">
        <v>122</v>
      </c>
      <c r="BG293" s="61">
        <v>6.2190000000000003</v>
      </c>
      <c r="BH293" s="61">
        <v>4.4980000000000002</v>
      </c>
      <c r="BI293" s="61">
        <v>2.5000000000000001E-2</v>
      </c>
      <c r="BJ293" s="61">
        <v>10.742000000000001</v>
      </c>
      <c r="BK293" s="66">
        <v>11.375999999999999</v>
      </c>
      <c r="BL293" s="67">
        <v>8.69</v>
      </c>
      <c r="BM293" s="61" t="s">
        <v>121</v>
      </c>
      <c r="BN293" s="61" t="s">
        <v>121</v>
      </c>
      <c r="BO293" s="61" t="s">
        <v>121</v>
      </c>
      <c r="BP293" s="61">
        <v>8.69</v>
      </c>
      <c r="BQ293" s="61">
        <v>351.56599999999997</v>
      </c>
      <c r="BR293" s="61">
        <v>12.04</v>
      </c>
      <c r="BS293" s="61">
        <v>0.45900000000000002</v>
      </c>
      <c r="BT293" s="61">
        <v>1.5169999999999999</v>
      </c>
      <c r="BU293" s="61">
        <v>10.638</v>
      </c>
      <c r="BV293" s="61">
        <v>24.126999999999999</v>
      </c>
      <c r="BW293" s="61">
        <v>34.765000000000001</v>
      </c>
      <c r="BX293" s="67">
        <v>400.34699999999998</v>
      </c>
      <c r="BY293" s="68">
        <v>100554</v>
      </c>
      <c r="BZ293" s="68">
        <v>108663</v>
      </c>
      <c r="CA293" s="69">
        <v>7582</v>
      </c>
      <c r="CB293" s="68">
        <v>101211</v>
      </c>
      <c r="CC293" s="68">
        <v>3719</v>
      </c>
      <c r="CD293" s="61"/>
      <c r="CE293" s="64"/>
      <c r="CF293" s="64"/>
      <c r="CG293" s="70">
        <f t="shared" si="21"/>
        <v>4250.8620000000001</v>
      </c>
      <c r="CH293" s="70">
        <f t="shared" si="22"/>
        <v>318.44400000000002</v>
      </c>
      <c r="CI293" s="70">
        <f t="shared" si="23"/>
        <v>156.19800000000001</v>
      </c>
      <c r="CJ293" s="70">
        <f t="shared" si="25"/>
        <v>4223.268</v>
      </c>
      <c r="CK293" s="70">
        <f t="shared" si="25"/>
        <v>4563.8459999999995</v>
      </c>
      <c r="CL293" s="70">
        <f t="shared" si="24"/>
        <v>156.19800000000001</v>
      </c>
      <c r="CM293" s="61"/>
      <c r="CN293" s="61"/>
      <c r="CO293" s="61"/>
      <c r="CP293" s="61"/>
      <c r="CQ293" s="61"/>
      <c r="CR293" s="61"/>
      <c r="CS293" s="61"/>
      <c r="CT293" s="61"/>
      <c r="CU293" s="61"/>
      <c r="CV293" s="61"/>
      <c r="CW293" s="61"/>
      <c r="CX293" s="61"/>
      <c r="CY293" s="61"/>
      <c r="CZ293" s="61"/>
      <c r="DA293" s="61"/>
      <c r="DB293" s="61"/>
      <c r="DC293" s="61"/>
      <c r="DD293" s="61"/>
      <c r="DE293" s="61"/>
      <c r="DF293" s="61"/>
      <c r="DG293" s="61"/>
      <c r="DH293" s="61"/>
      <c r="DI293" s="61"/>
      <c r="DJ293" s="61"/>
      <c r="DK293" s="61"/>
      <c r="DL293" s="61"/>
      <c r="DM293" s="61"/>
      <c r="DN293" s="61"/>
      <c r="DO293" s="61"/>
      <c r="DP293" s="61"/>
      <c r="DQ293" s="61"/>
      <c r="DR293" s="61"/>
      <c r="DS293" s="61"/>
      <c r="DT293" s="61"/>
      <c r="DU293" s="61"/>
      <c r="DV293" s="61"/>
      <c r="DW293" s="61"/>
      <c r="DX293" s="61"/>
      <c r="DY293" s="61"/>
      <c r="DZ293" s="61"/>
      <c r="EA293" s="61"/>
      <c r="EB293" s="61"/>
      <c r="EC293" s="61"/>
      <c r="ED293" s="61"/>
      <c r="EE293" s="61"/>
      <c r="EF293" s="61"/>
      <c r="EG293" s="61"/>
      <c r="EH293" s="61"/>
      <c r="EI293" s="61"/>
      <c r="EJ293" s="61"/>
      <c r="EK293" s="61"/>
      <c r="EL293" s="61"/>
      <c r="EM293" s="61"/>
      <c r="EN293" s="61"/>
      <c r="EO293" s="61"/>
      <c r="EP293" s="61"/>
      <c r="EQ293" s="61"/>
      <c r="ER293" s="61"/>
      <c r="ES293" s="61"/>
      <c r="ET293" s="61"/>
      <c r="EU293" s="61"/>
      <c r="EV293" s="61"/>
      <c r="EW293" s="61"/>
    </row>
    <row r="294" spans="1:153">
      <c r="A294" s="56">
        <v>35521</v>
      </c>
      <c r="B294" s="57"/>
      <c r="C294" s="7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71"/>
      <c r="P294" s="60">
        <v>189.86500000000001</v>
      </c>
      <c r="Q294" s="61">
        <v>14.195</v>
      </c>
      <c r="R294" s="61">
        <v>252.01</v>
      </c>
      <c r="S294" s="61">
        <v>603.77300000000002</v>
      </c>
      <c r="T294" s="61">
        <v>327.58600000000001</v>
      </c>
      <c r="U294" s="61">
        <v>14.657</v>
      </c>
      <c r="V294" s="61">
        <v>6.2110000000000003</v>
      </c>
      <c r="W294" s="61">
        <v>3.3090000000000002</v>
      </c>
      <c r="X294" s="61">
        <v>189.86500000000001</v>
      </c>
      <c r="Y294" s="61">
        <v>47.948999999999998</v>
      </c>
      <c r="Z294" s="61">
        <v>14.063000000000001</v>
      </c>
      <c r="AA294" s="61">
        <v>251.87799999999999</v>
      </c>
      <c r="AB294" s="60">
        <v>603.64099999999996</v>
      </c>
      <c r="AC294" s="62"/>
      <c r="AD294" s="61"/>
      <c r="AE294" s="61"/>
      <c r="AF294" s="61"/>
      <c r="AG294" s="61"/>
      <c r="AH294" s="61"/>
      <c r="AI294" s="61"/>
      <c r="AJ294" s="61"/>
      <c r="AK294" s="62"/>
      <c r="AL294" s="63"/>
      <c r="AM294" s="64"/>
      <c r="AN294" s="65" t="e">
        <v>#N/A</v>
      </c>
      <c r="AO294" s="61" t="e">
        <v>#N/A</v>
      </c>
      <c r="AP294" s="61" t="e">
        <v>#N/A</v>
      </c>
      <c r="AQ294" s="61" t="e">
        <v>#N/A</v>
      </c>
      <c r="AR294" s="61" t="e">
        <v>#N/A</v>
      </c>
      <c r="AS294" s="61" t="e">
        <v>#N/A</v>
      </c>
      <c r="AT294" s="61" t="e">
        <v>#N/A</v>
      </c>
      <c r="AU294" s="61" t="e">
        <v>#N/A</v>
      </c>
      <c r="AV294" s="61" t="e">
        <v>#N/A</v>
      </c>
      <c r="AW294" s="61" t="e">
        <v>#N/A</v>
      </c>
      <c r="AX294" s="65" t="e">
        <v>#N/A</v>
      </c>
      <c r="AY294" s="66">
        <v>0.61599999999999999</v>
      </c>
      <c r="AZ294" s="61">
        <v>5.5389999999999997</v>
      </c>
      <c r="BA294" s="61">
        <v>35.341999999999999</v>
      </c>
      <c r="BB294" s="61">
        <v>41.497</v>
      </c>
      <c r="BC294" s="61">
        <v>0.11</v>
      </c>
      <c r="BD294" s="61">
        <v>0.46800000000000003</v>
      </c>
      <c r="BE294" s="61">
        <v>3.2000000000000001E-2</v>
      </c>
      <c r="BF294" s="61" t="s">
        <v>122</v>
      </c>
      <c r="BG294" s="61">
        <v>6.0250000000000004</v>
      </c>
      <c r="BH294" s="61">
        <v>5.1159999999999997</v>
      </c>
      <c r="BI294" s="61">
        <v>2.1999999999999999E-2</v>
      </c>
      <c r="BJ294" s="61">
        <v>11.163</v>
      </c>
      <c r="BK294" s="66">
        <v>11.773999999999999</v>
      </c>
      <c r="BL294" s="67">
        <v>7.84</v>
      </c>
      <c r="BM294" s="61" t="s">
        <v>121</v>
      </c>
      <c r="BN294" s="61" t="s">
        <v>121</v>
      </c>
      <c r="BO294" s="61" t="s">
        <v>121</v>
      </c>
      <c r="BP294" s="61">
        <v>7.84</v>
      </c>
      <c r="BQ294" s="61">
        <v>322.25099999999998</v>
      </c>
      <c r="BR294" s="61">
        <v>13.317</v>
      </c>
      <c r="BS294" s="61">
        <v>0.63300000000000001</v>
      </c>
      <c r="BT294" s="61">
        <v>3.3090000000000002</v>
      </c>
      <c r="BU294" s="61">
        <v>10.768000000000001</v>
      </c>
      <c r="BV294" s="61">
        <v>27.439</v>
      </c>
      <c r="BW294" s="61">
        <v>38.207000000000001</v>
      </c>
      <c r="BX294" s="67">
        <v>377.71699999999998</v>
      </c>
      <c r="BY294" s="68">
        <v>98399</v>
      </c>
      <c r="BZ294" s="68">
        <v>105132</v>
      </c>
      <c r="CA294" s="69">
        <v>7681</v>
      </c>
      <c r="CB294" s="68">
        <v>97191</v>
      </c>
      <c r="CC294" s="68">
        <v>4968</v>
      </c>
      <c r="CD294" s="61"/>
      <c r="CE294" s="64"/>
      <c r="CF294" s="64"/>
      <c r="CG294" s="70">
        <f t="shared" si="21"/>
        <v>4082.0219999999999</v>
      </c>
      <c r="CH294" s="70">
        <f t="shared" si="22"/>
        <v>322.60199999999998</v>
      </c>
      <c r="CI294" s="70">
        <f t="shared" si="23"/>
        <v>208.65600000000001</v>
      </c>
      <c r="CJ294" s="70">
        <f t="shared" si="25"/>
        <v>4132.7579999999998</v>
      </c>
      <c r="CK294" s="70">
        <f t="shared" si="25"/>
        <v>4415.5439999999999</v>
      </c>
      <c r="CL294" s="70">
        <f t="shared" si="24"/>
        <v>208.65600000000001</v>
      </c>
      <c r="CM294" s="61"/>
      <c r="CN294" s="61"/>
      <c r="CO294" s="61"/>
      <c r="CP294" s="61"/>
      <c r="CQ294" s="61"/>
      <c r="CR294" s="61"/>
      <c r="CS294" s="61"/>
      <c r="CT294" s="61"/>
      <c r="CU294" s="61"/>
      <c r="CV294" s="61"/>
      <c r="CW294" s="61"/>
      <c r="CX294" s="61"/>
      <c r="CY294" s="61"/>
      <c r="CZ294" s="61"/>
      <c r="DA294" s="61"/>
      <c r="DB294" s="61"/>
      <c r="DC294" s="61"/>
      <c r="DD294" s="61"/>
      <c r="DE294" s="61"/>
      <c r="DF294" s="61"/>
      <c r="DG294" s="61"/>
      <c r="DH294" s="61"/>
      <c r="DI294" s="61"/>
      <c r="DJ294" s="61"/>
      <c r="DK294" s="61"/>
      <c r="DL294" s="61"/>
      <c r="DM294" s="61"/>
      <c r="DN294" s="61"/>
      <c r="DO294" s="61"/>
      <c r="DP294" s="61"/>
      <c r="DQ294" s="61"/>
      <c r="DR294" s="61"/>
      <c r="DS294" s="61"/>
      <c r="DT294" s="61"/>
      <c r="DU294" s="61"/>
      <c r="DV294" s="61"/>
      <c r="DW294" s="61"/>
      <c r="DX294" s="61"/>
      <c r="DY294" s="61"/>
      <c r="DZ294" s="61"/>
      <c r="EA294" s="61"/>
      <c r="EB294" s="61"/>
      <c r="EC294" s="61"/>
      <c r="ED294" s="61"/>
      <c r="EE294" s="61"/>
      <c r="EF294" s="61"/>
      <c r="EG294" s="61"/>
      <c r="EH294" s="61"/>
      <c r="EI294" s="61"/>
      <c r="EJ294" s="61"/>
      <c r="EK294" s="61"/>
      <c r="EL294" s="61"/>
      <c r="EM294" s="61"/>
      <c r="EN294" s="61"/>
      <c r="EO294" s="61"/>
      <c r="EP294" s="61"/>
      <c r="EQ294" s="61"/>
      <c r="ER294" s="61"/>
      <c r="ES294" s="61"/>
      <c r="ET294" s="61"/>
      <c r="EU294" s="61"/>
      <c r="EV294" s="61"/>
      <c r="EW294" s="61"/>
    </row>
    <row r="295" spans="1:153">
      <c r="A295" s="56">
        <v>35551</v>
      </c>
      <c r="B295" s="57"/>
      <c r="C295" s="7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71"/>
      <c r="P295" s="60">
        <v>200.87100000000001</v>
      </c>
      <c r="Q295" s="61">
        <v>18.010000000000002</v>
      </c>
      <c r="R295" s="61">
        <v>268.51499999999999</v>
      </c>
      <c r="S295" s="61">
        <v>642.24199999999996</v>
      </c>
      <c r="T295" s="61">
        <v>349.12</v>
      </c>
      <c r="U295" s="61">
        <v>14.331</v>
      </c>
      <c r="V295" s="61">
        <v>6.6980000000000004</v>
      </c>
      <c r="W295" s="61">
        <v>3.5790000000000002</v>
      </c>
      <c r="X295" s="61">
        <v>200.87100000000001</v>
      </c>
      <c r="Y295" s="61">
        <v>49.634999999999998</v>
      </c>
      <c r="Z295" s="61">
        <v>15.981</v>
      </c>
      <c r="AA295" s="61">
        <v>266.48599999999999</v>
      </c>
      <c r="AB295" s="60">
        <v>640.21400000000006</v>
      </c>
      <c r="AC295" s="62"/>
      <c r="AD295" s="61"/>
      <c r="AE295" s="61"/>
      <c r="AF295" s="61"/>
      <c r="AG295" s="61"/>
      <c r="AH295" s="61"/>
      <c r="AI295" s="61"/>
      <c r="AJ295" s="61"/>
      <c r="AK295" s="62"/>
      <c r="AL295" s="63"/>
      <c r="AM295" s="64"/>
      <c r="AN295" s="65" t="e">
        <v>#N/A</v>
      </c>
      <c r="AO295" s="61" t="e">
        <v>#N/A</v>
      </c>
      <c r="AP295" s="61" t="e">
        <v>#N/A</v>
      </c>
      <c r="AQ295" s="61" t="e">
        <v>#N/A</v>
      </c>
      <c r="AR295" s="61" t="e">
        <v>#N/A</v>
      </c>
      <c r="AS295" s="61" t="e">
        <v>#N/A</v>
      </c>
      <c r="AT295" s="61" t="e">
        <v>#N/A</v>
      </c>
      <c r="AU295" s="61" t="e">
        <v>#N/A</v>
      </c>
      <c r="AV295" s="61" t="e">
        <v>#N/A</v>
      </c>
      <c r="AW295" s="61" t="e">
        <v>#N/A</v>
      </c>
      <c r="AX295" s="65" t="e">
        <v>#N/A</v>
      </c>
      <c r="AY295" s="66">
        <v>0.63700000000000001</v>
      </c>
      <c r="AZ295" s="61">
        <v>6.1139999999999999</v>
      </c>
      <c r="BA295" s="61">
        <v>36.521000000000001</v>
      </c>
      <c r="BB295" s="61">
        <v>43.271999999999998</v>
      </c>
      <c r="BC295" s="61">
        <v>0.11799999999999999</v>
      </c>
      <c r="BD295" s="61">
        <v>0.48399999999999999</v>
      </c>
      <c r="BE295" s="61">
        <v>3.5999999999999997E-2</v>
      </c>
      <c r="BF295" s="61" t="s">
        <v>122</v>
      </c>
      <c r="BG295" s="61">
        <v>6.2320000000000002</v>
      </c>
      <c r="BH295" s="61">
        <v>5.2990000000000004</v>
      </c>
      <c r="BI295" s="61">
        <v>2.3E-2</v>
      </c>
      <c r="BJ295" s="61">
        <v>11.554</v>
      </c>
      <c r="BK295" s="66">
        <v>12.191000000000001</v>
      </c>
      <c r="BL295" s="67">
        <v>8.1170000000000009</v>
      </c>
      <c r="BM295" s="61" t="s">
        <v>121</v>
      </c>
      <c r="BN295" s="61" t="s">
        <v>121</v>
      </c>
      <c r="BO295" s="61" t="s">
        <v>121</v>
      </c>
      <c r="BP295" s="61">
        <v>8.1170000000000009</v>
      </c>
      <c r="BQ295" s="61">
        <v>343.43400000000003</v>
      </c>
      <c r="BR295" s="61">
        <v>12.946999999999999</v>
      </c>
      <c r="BS295" s="61">
        <v>0.54</v>
      </c>
      <c r="BT295" s="61">
        <v>3.5790000000000002</v>
      </c>
      <c r="BU295" s="61">
        <v>11.586</v>
      </c>
      <c r="BV295" s="61">
        <v>28.42</v>
      </c>
      <c r="BW295" s="61">
        <v>40.006</v>
      </c>
      <c r="BX295" s="67">
        <v>400.505</v>
      </c>
      <c r="BY295" s="68">
        <v>109341</v>
      </c>
      <c r="BZ295" s="68">
        <v>100287</v>
      </c>
      <c r="CA295" s="69">
        <v>6816</v>
      </c>
      <c r="CB295" s="68">
        <v>108319</v>
      </c>
      <c r="CC295" s="68">
        <v>4742</v>
      </c>
      <c r="CD295" s="61"/>
      <c r="CE295" s="64"/>
      <c r="CF295" s="64"/>
      <c r="CG295" s="70">
        <f t="shared" si="21"/>
        <v>4549.3980000000001</v>
      </c>
      <c r="CH295" s="70">
        <f t="shared" si="22"/>
        <v>286.27199999999999</v>
      </c>
      <c r="CI295" s="70">
        <f t="shared" si="23"/>
        <v>199.16399999999999</v>
      </c>
      <c r="CJ295" s="70">
        <f t="shared" si="25"/>
        <v>4592.3220000000001</v>
      </c>
      <c r="CK295" s="70">
        <f t="shared" si="25"/>
        <v>4212.0540000000001</v>
      </c>
      <c r="CL295" s="70">
        <f t="shared" si="24"/>
        <v>199.16399999999999</v>
      </c>
      <c r="CM295" s="61"/>
      <c r="CN295" s="61"/>
      <c r="CO295" s="61"/>
      <c r="CP295" s="61"/>
      <c r="CQ295" s="61"/>
      <c r="CR295" s="61"/>
      <c r="CS295" s="61"/>
      <c r="CT295" s="61"/>
      <c r="CU295" s="61"/>
      <c r="CV295" s="61"/>
      <c r="CW295" s="61"/>
      <c r="CX295" s="61"/>
      <c r="CY295" s="61"/>
      <c r="CZ295" s="61"/>
      <c r="DA295" s="61"/>
      <c r="DB295" s="61"/>
      <c r="DC295" s="61"/>
      <c r="DD295" s="61"/>
      <c r="DE295" s="61"/>
      <c r="DF295" s="61"/>
      <c r="DG295" s="61"/>
      <c r="DH295" s="61"/>
      <c r="DI295" s="61"/>
      <c r="DJ295" s="61"/>
      <c r="DK295" s="61"/>
      <c r="DL295" s="61"/>
      <c r="DM295" s="61"/>
      <c r="DN295" s="61"/>
      <c r="DO295" s="61"/>
      <c r="DP295" s="61"/>
      <c r="DQ295" s="61"/>
      <c r="DR295" s="61"/>
      <c r="DS295" s="61"/>
      <c r="DT295" s="61"/>
      <c r="DU295" s="61"/>
      <c r="DV295" s="61"/>
      <c r="DW295" s="61"/>
      <c r="DX295" s="61"/>
      <c r="DY295" s="61"/>
      <c r="DZ295" s="61"/>
      <c r="EA295" s="61"/>
      <c r="EB295" s="61"/>
      <c r="EC295" s="61"/>
      <c r="ED295" s="61"/>
      <c r="EE295" s="61"/>
      <c r="EF295" s="61"/>
      <c r="EG295" s="61"/>
      <c r="EH295" s="61"/>
      <c r="EI295" s="61"/>
      <c r="EJ295" s="61"/>
      <c r="EK295" s="61"/>
      <c r="EL295" s="61"/>
      <c r="EM295" s="61"/>
      <c r="EN295" s="61"/>
      <c r="EO295" s="61"/>
      <c r="EP295" s="61"/>
      <c r="EQ295" s="61"/>
      <c r="ER295" s="61"/>
      <c r="ES295" s="61"/>
      <c r="ET295" s="61"/>
      <c r="EU295" s="61"/>
      <c r="EV295" s="61"/>
      <c r="EW295" s="61"/>
    </row>
    <row r="296" spans="1:153">
      <c r="A296" s="56">
        <v>35582</v>
      </c>
      <c r="B296" s="57"/>
      <c r="C296" s="7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71"/>
      <c r="P296" s="60">
        <v>172.74299999999999</v>
      </c>
      <c r="Q296" s="61">
        <v>13.393000000000001</v>
      </c>
      <c r="R296" s="61">
        <v>231.69</v>
      </c>
      <c r="S296" s="61">
        <v>607.79899999999998</v>
      </c>
      <c r="T296" s="61">
        <v>351.899</v>
      </c>
      <c r="U296" s="61">
        <v>11.917999999999999</v>
      </c>
      <c r="V296" s="61">
        <v>7.0110000000000001</v>
      </c>
      <c r="W296" s="61">
        <v>5.2809999999999997</v>
      </c>
      <c r="X296" s="61">
        <v>172.74299999999999</v>
      </c>
      <c r="Y296" s="61">
        <v>45.552999999999997</v>
      </c>
      <c r="Z296" s="61">
        <v>12.664999999999999</v>
      </c>
      <c r="AA296" s="61">
        <v>230.96100000000001</v>
      </c>
      <c r="AB296" s="60">
        <v>607.07000000000005</v>
      </c>
      <c r="AC296" s="62"/>
      <c r="AD296" s="61"/>
      <c r="AE296" s="61"/>
      <c r="AF296" s="61"/>
      <c r="AG296" s="61"/>
      <c r="AH296" s="61"/>
      <c r="AI296" s="61"/>
      <c r="AJ296" s="61"/>
      <c r="AK296" s="62"/>
      <c r="AL296" s="63"/>
      <c r="AM296" s="64"/>
      <c r="AN296" s="65" t="e">
        <v>#N/A</v>
      </c>
      <c r="AO296" s="61" t="e">
        <v>#N/A</v>
      </c>
      <c r="AP296" s="61" t="e">
        <v>#N/A</v>
      </c>
      <c r="AQ296" s="61" t="e">
        <v>#N/A</v>
      </c>
      <c r="AR296" s="61" t="e">
        <v>#N/A</v>
      </c>
      <c r="AS296" s="61" t="e">
        <v>#N/A</v>
      </c>
      <c r="AT296" s="61" t="e">
        <v>#N/A</v>
      </c>
      <c r="AU296" s="61" t="e">
        <v>#N/A</v>
      </c>
      <c r="AV296" s="61" t="e">
        <v>#N/A</v>
      </c>
      <c r="AW296" s="61" t="e">
        <v>#N/A</v>
      </c>
      <c r="AX296" s="65" t="e">
        <v>#N/A</v>
      </c>
      <c r="AY296" s="66">
        <v>0.61599999999999999</v>
      </c>
      <c r="AZ296" s="61">
        <v>6.1689999999999996</v>
      </c>
      <c r="BA296" s="61">
        <v>35.341999999999999</v>
      </c>
      <c r="BB296" s="61">
        <v>42.128</v>
      </c>
      <c r="BC296" s="61">
        <v>0.11899999999999999</v>
      </c>
      <c r="BD296" s="61">
        <v>0.46800000000000003</v>
      </c>
      <c r="BE296" s="61">
        <v>3.5999999999999997E-2</v>
      </c>
      <c r="BF296" s="61" t="s">
        <v>122</v>
      </c>
      <c r="BG296" s="61">
        <v>6.0010000000000003</v>
      </c>
      <c r="BH296" s="61">
        <v>4.7770000000000001</v>
      </c>
      <c r="BI296" s="61">
        <v>1.9E-2</v>
      </c>
      <c r="BJ296" s="61">
        <v>10.797000000000001</v>
      </c>
      <c r="BK296" s="66">
        <v>11.420999999999999</v>
      </c>
      <c r="BL296" s="67">
        <v>6.8040000000000003</v>
      </c>
      <c r="BM296" s="61" t="s">
        <v>121</v>
      </c>
      <c r="BN296" s="61" t="s">
        <v>121</v>
      </c>
      <c r="BO296" s="61" t="s">
        <v>121</v>
      </c>
      <c r="BP296" s="61">
        <v>6.8040000000000003</v>
      </c>
      <c r="BQ296" s="61">
        <v>346.16800000000001</v>
      </c>
      <c r="BR296" s="61">
        <v>10.577999999999999</v>
      </c>
      <c r="BS296" s="61">
        <v>0.79800000000000004</v>
      </c>
      <c r="BT296" s="61">
        <v>5.2809999999999997</v>
      </c>
      <c r="BU296" s="61">
        <v>9.09</v>
      </c>
      <c r="BV296" s="61">
        <v>25.622</v>
      </c>
      <c r="BW296" s="61">
        <v>34.712000000000003</v>
      </c>
      <c r="BX296" s="67">
        <v>397.53699999999998</v>
      </c>
      <c r="BY296" s="68">
        <v>105698</v>
      </c>
      <c r="BZ296" s="68">
        <v>97287</v>
      </c>
      <c r="CA296" s="69">
        <v>6564</v>
      </c>
      <c r="CB296" s="68">
        <v>118088</v>
      </c>
      <c r="CC296" s="68">
        <v>5206</v>
      </c>
      <c r="CD296" s="61"/>
      <c r="CE296" s="64"/>
      <c r="CF296" s="64"/>
      <c r="CG296" s="70">
        <f t="shared" si="21"/>
        <v>4959.6959999999999</v>
      </c>
      <c r="CH296" s="70">
        <f t="shared" si="22"/>
        <v>275.68799999999999</v>
      </c>
      <c r="CI296" s="70">
        <f t="shared" si="23"/>
        <v>218.65199999999999</v>
      </c>
      <c r="CJ296" s="70">
        <f t="shared" si="25"/>
        <v>4439.3159999999998</v>
      </c>
      <c r="CK296" s="70">
        <f t="shared" si="25"/>
        <v>4086.0540000000001</v>
      </c>
      <c r="CL296" s="70">
        <f t="shared" si="24"/>
        <v>218.65199999999999</v>
      </c>
      <c r="CM296" s="61"/>
      <c r="CN296" s="61"/>
      <c r="CO296" s="61"/>
      <c r="CP296" s="61"/>
      <c r="CQ296" s="61"/>
      <c r="CR296" s="61"/>
      <c r="CS296" s="61"/>
      <c r="CT296" s="61"/>
      <c r="CU296" s="61"/>
      <c r="CV296" s="61"/>
      <c r="CW296" s="61"/>
      <c r="CX296" s="61"/>
      <c r="CY296" s="61"/>
      <c r="CZ296" s="61"/>
      <c r="DA296" s="61"/>
      <c r="DB296" s="61"/>
      <c r="DC296" s="61"/>
      <c r="DD296" s="61"/>
      <c r="DE296" s="61"/>
      <c r="DF296" s="61"/>
      <c r="DG296" s="61"/>
      <c r="DH296" s="61"/>
      <c r="DI296" s="61"/>
      <c r="DJ296" s="61"/>
      <c r="DK296" s="61"/>
      <c r="DL296" s="61"/>
      <c r="DM296" s="61"/>
      <c r="DN296" s="61"/>
      <c r="DO296" s="61"/>
      <c r="DP296" s="61"/>
      <c r="DQ296" s="61"/>
      <c r="DR296" s="61"/>
      <c r="DS296" s="61"/>
      <c r="DT296" s="61"/>
      <c r="DU296" s="61"/>
      <c r="DV296" s="61"/>
      <c r="DW296" s="61"/>
      <c r="DX296" s="61"/>
      <c r="DY296" s="61"/>
      <c r="DZ296" s="61"/>
      <c r="EA296" s="61"/>
      <c r="EB296" s="61"/>
      <c r="EC296" s="61"/>
      <c r="ED296" s="61"/>
      <c r="EE296" s="61"/>
      <c r="EF296" s="61"/>
      <c r="EG296" s="61"/>
      <c r="EH296" s="61"/>
      <c r="EI296" s="61"/>
      <c r="EJ296" s="61"/>
      <c r="EK296" s="61"/>
      <c r="EL296" s="61"/>
      <c r="EM296" s="61"/>
      <c r="EN296" s="61"/>
      <c r="EO296" s="61"/>
      <c r="EP296" s="61"/>
      <c r="EQ296" s="61"/>
      <c r="ER296" s="61"/>
      <c r="ES296" s="61"/>
      <c r="ET296" s="61"/>
      <c r="EU296" s="61"/>
      <c r="EV296" s="61"/>
      <c r="EW296" s="61"/>
    </row>
    <row r="297" spans="1:153">
      <c r="A297" s="56">
        <v>35612</v>
      </c>
      <c r="B297" s="57"/>
      <c r="C297" s="7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71"/>
      <c r="P297" s="60">
        <v>195.84800000000001</v>
      </c>
      <c r="Q297" s="61">
        <v>16.795000000000002</v>
      </c>
      <c r="R297" s="61">
        <v>259.98500000000001</v>
      </c>
      <c r="S297" s="61">
        <v>611.20899999999995</v>
      </c>
      <c r="T297" s="61">
        <v>323.30399999999997</v>
      </c>
      <c r="U297" s="61">
        <v>15.455</v>
      </c>
      <c r="V297" s="61">
        <v>7.2619999999999996</v>
      </c>
      <c r="W297" s="61">
        <v>5.2030000000000003</v>
      </c>
      <c r="X297" s="61">
        <v>195.84800000000001</v>
      </c>
      <c r="Y297" s="61">
        <v>47.341999999999999</v>
      </c>
      <c r="Z297" s="61">
        <v>16.638999999999999</v>
      </c>
      <c r="AA297" s="61">
        <v>259.82900000000001</v>
      </c>
      <c r="AB297" s="60">
        <v>611.053</v>
      </c>
      <c r="AC297" s="62"/>
      <c r="AD297" s="61"/>
      <c r="AE297" s="61"/>
      <c r="AF297" s="61"/>
      <c r="AG297" s="61"/>
      <c r="AH297" s="61"/>
      <c r="AI297" s="61"/>
      <c r="AJ297" s="61"/>
      <c r="AK297" s="62"/>
      <c r="AL297" s="63"/>
      <c r="AM297" s="64"/>
      <c r="AN297" s="65" t="e">
        <v>#N/A</v>
      </c>
      <c r="AO297" s="61" t="e">
        <v>#N/A</v>
      </c>
      <c r="AP297" s="61" t="e">
        <v>#N/A</v>
      </c>
      <c r="AQ297" s="61" t="e">
        <v>#N/A</v>
      </c>
      <c r="AR297" s="61" t="e">
        <v>#N/A</v>
      </c>
      <c r="AS297" s="61" t="e">
        <v>#N/A</v>
      </c>
      <c r="AT297" s="61" t="e">
        <v>#N/A</v>
      </c>
      <c r="AU297" s="61" t="e">
        <v>#N/A</v>
      </c>
      <c r="AV297" s="61" t="e">
        <v>#N/A</v>
      </c>
      <c r="AW297" s="61" t="e">
        <v>#N/A</v>
      </c>
      <c r="AX297" s="65" t="e">
        <v>#N/A</v>
      </c>
      <c r="AY297" s="66">
        <v>0.63700000000000001</v>
      </c>
      <c r="AZ297" s="61">
        <v>6.4770000000000003</v>
      </c>
      <c r="BA297" s="61">
        <v>36.521000000000001</v>
      </c>
      <c r="BB297" s="61">
        <v>43.634</v>
      </c>
      <c r="BC297" s="61">
        <v>0.109</v>
      </c>
      <c r="BD297" s="61">
        <v>0.48399999999999999</v>
      </c>
      <c r="BE297" s="61">
        <v>3.7999999999999999E-2</v>
      </c>
      <c r="BF297" s="61" t="s">
        <v>122</v>
      </c>
      <c r="BG297" s="61">
        <v>6.2249999999999996</v>
      </c>
      <c r="BH297" s="61">
        <v>4.9740000000000002</v>
      </c>
      <c r="BI297" s="61">
        <v>2.5999999999999999E-2</v>
      </c>
      <c r="BJ297" s="61">
        <v>11.226000000000001</v>
      </c>
      <c r="BK297" s="66">
        <v>11.856999999999999</v>
      </c>
      <c r="BL297" s="67">
        <v>9.2759999999999998</v>
      </c>
      <c r="BM297" s="61" t="s">
        <v>121</v>
      </c>
      <c r="BN297" s="61" t="s">
        <v>121</v>
      </c>
      <c r="BO297" s="61" t="s">
        <v>121</v>
      </c>
      <c r="BP297" s="61">
        <v>9.2759999999999998</v>
      </c>
      <c r="BQ297" s="61">
        <v>318.03899999999999</v>
      </c>
      <c r="BR297" s="61">
        <v>14.071</v>
      </c>
      <c r="BS297" s="61">
        <v>0.73899999999999999</v>
      </c>
      <c r="BT297" s="61">
        <v>5.2030000000000003</v>
      </c>
      <c r="BU297" s="61">
        <v>11.093</v>
      </c>
      <c r="BV297" s="61">
        <v>26.681000000000001</v>
      </c>
      <c r="BW297" s="61">
        <v>37.774000000000001</v>
      </c>
      <c r="BX297" s="67">
        <v>375.82600000000002</v>
      </c>
      <c r="BY297" s="68">
        <v>104303</v>
      </c>
      <c r="BZ297" s="68">
        <v>101533</v>
      </c>
      <c r="CA297" s="69">
        <v>6898</v>
      </c>
      <c r="CB297" s="68">
        <v>123069</v>
      </c>
      <c r="CC297" s="68">
        <v>4687</v>
      </c>
      <c r="CD297" s="61"/>
      <c r="CE297" s="64"/>
      <c r="CF297" s="64"/>
      <c r="CG297" s="70">
        <f t="shared" si="21"/>
        <v>5168.8980000000001</v>
      </c>
      <c r="CH297" s="70">
        <f t="shared" si="22"/>
        <v>289.71600000000001</v>
      </c>
      <c r="CI297" s="70">
        <f t="shared" si="23"/>
        <v>196.85400000000001</v>
      </c>
      <c r="CJ297" s="70">
        <f t="shared" si="25"/>
        <v>4380.7259999999997</v>
      </c>
      <c r="CK297" s="70">
        <f t="shared" si="25"/>
        <v>4264.3860000000004</v>
      </c>
      <c r="CL297" s="70">
        <f t="shared" si="24"/>
        <v>196.85400000000001</v>
      </c>
      <c r="CM297" s="61"/>
      <c r="CN297" s="61"/>
      <c r="CO297" s="61"/>
      <c r="CP297" s="61"/>
      <c r="CQ297" s="61"/>
      <c r="CR297" s="61"/>
      <c r="CS297" s="61"/>
      <c r="CT297" s="61"/>
      <c r="CU297" s="61"/>
      <c r="CV297" s="61"/>
      <c r="CW297" s="61"/>
      <c r="CX297" s="61"/>
      <c r="CY297" s="61"/>
      <c r="CZ297" s="61"/>
      <c r="DA297" s="61"/>
      <c r="DB297" s="61"/>
      <c r="DC297" s="61"/>
      <c r="DD297" s="61"/>
      <c r="DE297" s="61"/>
      <c r="DF297" s="61"/>
      <c r="DG297" s="61"/>
      <c r="DH297" s="61"/>
      <c r="DI297" s="61"/>
      <c r="DJ297" s="61"/>
      <c r="DK297" s="61"/>
      <c r="DL297" s="61"/>
      <c r="DM297" s="61"/>
      <c r="DN297" s="61"/>
      <c r="DO297" s="61"/>
      <c r="DP297" s="61"/>
      <c r="DQ297" s="61"/>
      <c r="DR297" s="61"/>
      <c r="DS297" s="61"/>
      <c r="DT297" s="61"/>
      <c r="DU297" s="61"/>
      <c r="DV297" s="61"/>
      <c r="DW297" s="61"/>
      <c r="DX297" s="61"/>
      <c r="DY297" s="61"/>
      <c r="DZ297" s="61"/>
      <c r="EA297" s="61"/>
      <c r="EB297" s="61"/>
      <c r="EC297" s="61"/>
      <c r="ED297" s="61"/>
      <c r="EE297" s="61"/>
      <c r="EF297" s="61"/>
      <c r="EG297" s="61"/>
      <c r="EH297" s="61"/>
      <c r="EI297" s="61"/>
      <c r="EJ297" s="61"/>
      <c r="EK297" s="61"/>
      <c r="EL297" s="61"/>
      <c r="EM297" s="61"/>
      <c r="EN297" s="61"/>
      <c r="EO297" s="61"/>
      <c r="EP297" s="61"/>
      <c r="EQ297" s="61"/>
      <c r="ER297" s="61"/>
      <c r="ES297" s="61"/>
      <c r="ET297" s="61"/>
      <c r="EU297" s="61"/>
      <c r="EV297" s="61"/>
      <c r="EW297" s="61"/>
    </row>
    <row r="298" spans="1:153">
      <c r="A298" s="56">
        <v>35643</v>
      </c>
      <c r="B298" s="57"/>
      <c r="C298" s="7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71"/>
      <c r="P298" s="60">
        <v>204.29599999999999</v>
      </c>
      <c r="Q298" s="61">
        <v>12.414999999999999</v>
      </c>
      <c r="R298" s="61">
        <v>264.42200000000003</v>
      </c>
      <c r="S298" s="61">
        <v>566.97900000000004</v>
      </c>
      <c r="T298" s="61">
        <v>274.78800000000001</v>
      </c>
      <c r="U298" s="61">
        <v>15.282999999999999</v>
      </c>
      <c r="V298" s="61">
        <v>7.07</v>
      </c>
      <c r="W298" s="61">
        <v>5.4160000000000004</v>
      </c>
      <c r="X298" s="61">
        <v>204.29599999999999</v>
      </c>
      <c r="Y298" s="61">
        <v>47.710999999999999</v>
      </c>
      <c r="Z298" s="61">
        <v>12.494999999999999</v>
      </c>
      <c r="AA298" s="61">
        <v>264.50200000000001</v>
      </c>
      <c r="AB298" s="60">
        <v>567.05899999999997</v>
      </c>
      <c r="AC298" s="62"/>
      <c r="AD298" s="61"/>
      <c r="AE298" s="61"/>
      <c r="AF298" s="61"/>
      <c r="AG298" s="61"/>
      <c r="AH298" s="61"/>
      <c r="AI298" s="61"/>
      <c r="AJ298" s="61"/>
      <c r="AK298" s="62"/>
      <c r="AL298" s="63"/>
      <c r="AM298" s="64"/>
      <c r="AN298" s="65" t="e">
        <v>#N/A</v>
      </c>
      <c r="AO298" s="61" t="e">
        <v>#N/A</v>
      </c>
      <c r="AP298" s="61" t="e">
        <v>#N/A</v>
      </c>
      <c r="AQ298" s="61" t="e">
        <v>#N/A</v>
      </c>
      <c r="AR298" s="61" t="e">
        <v>#N/A</v>
      </c>
      <c r="AS298" s="61" t="e">
        <v>#N/A</v>
      </c>
      <c r="AT298" s="61" t="e">
        <v>#N/A</v>
      </c>
      <c r="AU298" s="61" t="e">
        <v>#N/A</v>
      </c>
      <c r="AV298" s="61" t="e">
        <v>#N/A</v>
      </c>
      <c r="AW298" s="61" t="e">
        <v>#N/A</v>
      </c>
      <c r="AX298" s="65" t="e">
        <v>#N/A</v>
      </c>
      <c r="AY298" s="66">
        <v>0.63700000000000001</v>
      </c>
      <c r="AZ298" s="61">
        <v>6.4089999999999998</v>
      </c>
      <c r="BA298" s="61">
        <v>36.521000000000001</v>
      </c>
      <c r="BB298" s="61">
        <v>43.567</v>
      </c>
      <c r="BC298" s="61">
        <v>9.2999999999999999E-2</v>
      </c>
      <c r="BD298" s="61">
        <v>0.48399999999999999</v>
      </c>
      <c r="BE298" s="61">
        <v>3.7999999999999999E-2</v>
      </c>
      <c r="BF298" s="61" t="s">
        <v>122</v>
      </c>
      <c r="BG298" s="61">
        <v>6.2370000000000001</v>
      </c>
      <c r="BH298" s="61">
        <v>5.0270000000000001</v>
      </c>
      <c r="BI298" s="61">
        <v>0.02</v>
      </c>
      <c r="BJ298" s="61">
        <v>11.284000000000001</v>
      </c>
      <c r="BK298" s="66">
        <v>11.898</v>
      </c>
      <c r="BL298" s="67">
        <v>7.0490000000000004</v>
      </c>
      <c r="BM298" s="61" t="s">
        <v>121</v>
      </c>
      <c r="BN298" s="61" t="s">
        <v>121</v>
      </c>
      <c r="BO298" s="61" t="s">
        <v>121</v>
      </c>
      <c r="BP298" s="61">
        <v>7.0490000000000004</v>
      </c>
      <c r="BQ298" s="61">
        <v>270.31200000000001</v>
      </c>
      <c r="BR298" s="61">
        <v>13.898999999999999</v>
      </c>
      <c r="BS298" s="61">
        <v>0.61499999999999999</v>
      </c>
      <c r="BT298" s="61">
        <v>5.4160000000000004</v>
      </c>
      <c r="BU298" s="61">
        <v>11.922000000000001</v>
      </c>
      <c r="BV298" s="61">
        <v>26.960999999999999</v>
      </c>
      <c r="BW298" s="61">
        <v>38.881999999999998</v>
      </c>
      <c r="BX298" s="67">
        <v>329.125</v>
      </c>
      <c r="BY298" s="68">
        <v>106613</v>
      </c>
      <c r="BZ298" s="68">
        <v>97204</v>
      </c>
      <c r="CA298" s="69">
        <v>6260</v>
      </c>
      <c r="CB298" s="68">
        <v>132993</v>
      </c>
      <c r="CC298" s="68">
        <v>5745</v>
      </c>
      <c r="CD298" s="61"/>
      <c r="CE298" s="64"/>
      <c r="CF298" s="64"/>
      <c r="CG298" s="70">
        <f t="shared" si="21"/>
        <v>5585.7060000000001</v>
      </c>
      <c r="CH298" s="70">
        <f t="shared" si="22"/>
        <v>262.92</v>
      </c>
      <c r="CI298" s="70">
        <f t="shared" si="23"/>
        <v>241.29</v>
      </c>
      <c r="CJ298" s="70">
        <f t="shared" si="25"/>
        <v>4477.7460000000001</v>
      </c>
      <c r="CK298" s="70">
        <f t="shared" si="25"/>
        <v>4082.5680000000002</v>
      </c>
      <c r="CL298" s="70">
        <f t="shared" si="24"/>
        <v>241.29</v>
      </c>
      <c r="CM298" s="61"/>
      <c r="CN298" s="61"/>
      <c r="CO298" s="61"/>
      <c r="CP298" s="61"/>
      <c r="CQ298" s="61"/>
      <c r="CR298" s="61"/>
      <c r="CS298" s="61"/>
      <c r="CT298" s="61"/>
      <c r="CU298" s="61"/>
      <c r="CV298" s="61"/>
      <c r="CW298" s="61"/>
      <c r="CX298" s="61"/>
      <c r="CY298" s="61"/>
      <c r="CZ298" s="61"/>
      <c r="DA298" s="61"/>
      <c r="DB298" s="61"/>
      <c r="DC298" s="61"/>
      <c r="DD298" s="61"/>
      <c r="DE298" s="61"/>
      <c r="DF298" s="61"/>
      <c r="DG298" s="61"/>
      <c r="DH298" s="61"/>
      <c r="DI298" s="61"/>
      <c r="DJ298" s="61"/>
      <c r="DK298" s="61"/>
      <c r="DL298" s="61"/>
      <c r="DM298" s="61"/>
      <c r="DN298" s="61"/>
      <c r="DO298" s="61"/>
      <c r="DP298" s="61"/>
      <c r="DQ298" s="61"/>
      <c r="DR298" s="61"/>
      <c r="DS298" s="61"/>
      <c r="DT298" s="61"/>
      <c r="DU298" s="61"/>
      <c r="DV298" s="61"/>
      <c r="DW298" s="61"/>
      <c r="DX298" s="61"/>
      <c r="DY298" s="61"/>
      <c r="DZ298" s="61"/>
      <c r="EA298" s="61"/>
      <c r="EB298" s="61"/>
      <c r="EC298" s="61"/>
      <c r="ED298" s="61"/>
      <c r="EE298" s="61"/>
      <c r="EF298" s="61"/>
      <c r="EG298" s="61"/>
      <c r="EH298" s="61"/>
      <c r="EI298" s="61"/>
      <c r="EJ298" s="61"/>
      <c r="EK298" s="61"/>
      <c r="EL298" s="61"/>
      <c r="EM298" s="61"/>
      <c r="EN298" s="61"/>
      <c r="EO298" s="61"/>
      <c r="EP298" s="61"/>
      <c r="EQ298" s="61"/>
      <c r="ER298" s="61"/>
      <c r="ES298" s="61"/>
      <c r="ET298" s="61"/>
      <c r="EU298" s="61"/>
      <c r="EV298" s="61"/>
      <c r="EW298" s="61"/>
    </row>
    <row r="299" spans="1:153">
      <c r="A299" s="56">
        <v>35674</v>
      </c>
      <c r="B299" s="57"/>
      <c r="C299" s="7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71"/>
      <c r="P299" s="60">
        <v>193.21299999999999</v>
      </c>
      <c r="Q299" s="61">
        <v>15.398</v>
      </c>
      <c r="R299" s="61">
        <v>250.744</v>
      </c>
      <c r="S299" s="61">
        <v>513.20799999999997</v>
      </c>
      <c r="T299" s="61">
        <v>238.97</v>
      </c>
      <c r="U299" s="61">
        <v>14.603999999999999</v>
      </c>
      <c r="V299" s="61">
        <v>6.2320000000000002</v>
      </c>
      <c r="W299" s="61">
        <v>2.657</v>
      </c>
      <c r="X299" s="61">
        <v>193.21299999999999</v>
      </c>
      <c r="Y299" s="61">
        <v>42.133000000000003</v>
      </c>
      <c r="Z299" s="61">
        <v>14.651999999999999</v>
      </c>
      <c r="AA299" s="61">
        <v>249.99799999999999</v>
      </c>
      <c r="AB299" s="60">
        <v>512.46299999999997</v>
      </c>
      <c r="AC299" s="62"/>
      <c r="AD299" s="61"/>
      <c r="AE299" s="61"/>
      <c r="AF299" s="61"/>
      <c r="AG299" s="61"/>
      <c r="AH299" s="61"/>
      <c r="AI299" s="61"/>
      <c r="AJ299" s="61"/>
      <c r="AK299" s="62"/>
      <c r="AL299" s="63"/>
      <c r="AM299" s="64"/>
      <c r="AN299" s="65" t="e">
        <v>#N/A</v>
      </c>
      <c r="AO299" s="61" t="e">
        <v>#N/A</v>
      </c>
      <c r="AP299" s="61" t="e">
        <v>#N/A</v>
      </c>
      <c r="AQ299" s="61" t="e">
        <v>#N/A</v>
      </c>
      <c r="AR299" s="61" t="e">
        <v>#N/A</v>
      </c>
      <c r="AS299" s="61" t="e">
        <v>#N/A</v>
      </c>
      <c r="AT299" s="61" t="e">
        <v>#N/A</v>
      </c>
      <c r="AU299" s="61" t="e">
        <v>#N/A</v>
      </c>
      <c r="AV299" s="61" t="e">
        <v>#N/A</v>
      </c>
      <c r="AW299" s="61" t="e">
        <v>#N/A</v>
      </c>
      <c r="AX299" s="65" t="e">
        <v>#N/A</v>
      </c>
      <c r="AY299" s="66">
        <v>0.61599999999999999</v>
      </c>
      <c r="AZ299" s="61">
        <v>5.8460000000000001</v>
      </c>
      <c r="BA299" s="61">
        <v>35.341999999999999</v>
      </c>
      <c r="BB299" s="61">
        <v>41.805</v>
      </c>
      <c r="BC299" s="61">
        <v>8.1000000000000003E-2</v>
      </c>
      <c r="BD299" s="61">
        <v>0.46800000000000003</v>
      </c>
      <c r="BE299" s="61">
        <v>3.4000000000000002E-2</v>
      </c>
      <c r="BF299" s="61" t="s">
        <v>122</v>
      </c>
      <c r="BG299" s="61">
        <v>6.0289999999999999</v>
      </c>
      <c r="BH299" s="61">
        <v>4.2930000000000001</v>
      </c>
      <c r="BI299" s="61">
        <v>2.3E-2</v>
      </c>
      <c r="BJ299" s="61">
        <v>10.345000000000001</v>
      </c>
      <c r="BK299" s="66">
        <v>10.929</v>
      </c>
      <c r="BL299" s="67">
        <v>7.9119999999999999</v>
      </c>
      <c r="BM299" s="61" t="s">
        <v>121</v>
      </c>
      <c r="BN299" s="61" t="s">
        <v>121</v>
      </c>
      <c r="BO299" s="61" t="s">
        <v>121</v>
      </c>
      <c r="BP299" s="61">
        <v>7.9119999999999999</v>
      </c>
      <c r="BQ299" s="61">
        <v>235.078</v>
      </c>
      <c r="BR299" s="61">
        <v>13.265000000000001</v>
      </c>
      <c r="BS299" s="61">
        <v>0.34499999999999997</v>
      </c>
      <c r="BT299" s="61">
        <v>2.657</v>
      </c>
      <c r="BU299" s="61">
        <v>11.097</v>
      </c>
      <c r="BV299" s="61">
        <v>23.027999999999999</v>
      </c>
      <c r="BW299" s="61">
        <v>34.125</v>
      </c>
      <c r="BX299" s="67">
        <v>285.47000000000003</v>
      </c>
      <c r="BY299" s="68">
        <v>103346</v>
      </c>
      <c r="BZ299" s="68">
        <v>99170</v>
      </c>
      <c r="CA299" s="69">
        <v>6295</v>
      </c>
      <c r="CB299" s="68">
        <v>138676</v>
      </c>
      <c r="CC299" s="68">
        <v>4788</v>
      </c>
      <c r="CD299" s="61"/>
      <c r="CE299" s="64"/>
      <c r="CF299" s="64"/>
      <c r="CG299" s="70">
        <f t="shared" si="21"/>
        <v>5824.3919999999998</v>
      </c>
      <c r="CH299" s="70">
        <f t="shared" si="22"/>
        <v>264.39</v>
      </c>
      <c r="CI299" s="70">
        <f t="shared" si="23"/>
        <v>201.096</v>
      </c>
      <c r="CJ299" s="70">
        <f t="shared" si="25"/>
        <v>4340.5320000000002</v>
      </c>
      <c r="CK299" s="70">
        <f t="shared" si="25"/>
        <v>4165.1400000000003</v>
      </c>
      <c r="CL299" s="70">
        <f t="shared" si="24"/>
        <v>201.096</v>
      </c>
      <c r="CM299" s="61"/>
      <c r="CN299" s="61"/>
      <c r="CO299" s="61"/>
      <c r="CP299" s="61"/>
      <c r="CQ299" s="61"/>
      <c r="CR299" s="61"/>
      <c r="CS299" s="61"/>
      <c r="CT299" s="61"/>
      <c r="CU299" s="61"/>
      <c r="CV299" s="61"/>
      <c r="CW299" s="61"/>
      <c r="CX299" s="61"/>
      <c r="CY299" s="61"/>
      <c r="CZ299" s="61"/>
      <c r="DA299" s="61"/>
      <c r="DB299" s="61"/>
      <c r="DC299" s="61"/>
      <c r="DD299" s="61"/>
      <c r="DE299" s="61"/>
      <c r="DF299" s="61"/>
      <c r="DG299" s="61"/>
      <c r="DH299" s="61"/>
      <c r="DI299" s="61"/>
      <c r="DJ299" s="61"/>
      <c r="DK299" s="61"/>
      <c r="DL299" s="61"/>
      <c r="DM299" s="61"/>
      <c r="DN299" s="61"/>
      <c r="DO299" s="61"/>
      <c r="DP299" s="61"/>
      <c r="DQ299" s="61"/>
      <c r="DR299" s="61"/>
      <c r="DS299" s="61"/>
      <c r="DT299" s="61"/>
      <c r="DU299" s="61"/>
      <c r="DV299" s="61"/>
      <c r="DW299" s="61"/>
      <c r="DX299" s="61"/>
      <c r="DY299" s="61"/>
      <c r="DZ299" s="61"/>
      <c r="EA299" s="61"/>
      <c r="EB299" s="61"/>
      <c r="EC299" s="61"/>
      <c r="ED299" s="61"/>
      <c r="EE299" s="61"/>
      <c r="EF299" s="61"/>
      <c r="EG299" s="61"/>
      <c r="EH299" s="61"/>
      <c r="EI299" s="61"/>
      <c r="EJ299" s="61"/>
      <c r="EK299" s="61"/>
      <c r="EL299" s="61"/>
      <c r="EM299" s="61"/>
      <c r="EN299" s="61"/>
      <c r="EO299" s="61"/>
      <c r="EP299" s="61"/>
      <c r="EQ299" s="61"/>
      <c r="ER299" s="61"/>
      <c r="ES299" s="61"/>
      <c r="ET299" s="61"/>
      <c r="EU299" s="61"/>
      <c r="EV299" s="61"/>
      <c r="EW299" s="61"/>
    </row>
    <row r="300" spans="1:153">
      <c r="A300" s="56">
        <v>35704</v>
      </c>
      <c r="B300" s="57"/>
      <c r="C300" s="7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71"/>
      <c r="P300" s="60">
        <v>239.624</v>
      </c>
      <c r="Q300" s="61">
        <v>17.797000000000001</v>
      </c>
      <c r="R300" s="61">
        <v>305.65600000000001</v>
      </c>
      <c r="S300" s="61">
        <v>581.26900000000001</v>
      </c>
      <c r="T300" s="61">
        <v>252.613</v>
      </c>
      <c r="U300" s="61">
        <v>14.497</v>
      </c>
      <c r="V300" s="61">
        <v>5.6989999999999998</v>
      </c>
      <c r="W300" s="61">
        <v>2.8039999999999998</v>
      </c>
      <c r="X300" s="61">
        <v>239.624</v>
      </c>
      <c r="Y300" s="61">
        <v>48.234999999999999</v>
      </c>
      <c r="Z300" s="61">
        <v>18.834</v>
      </c>
      <c r="AA300" s="61">
        <v>306.69299999999998</v>
      </c>
      <c r="AB300" s="60">
        <v>582.30600000000004</v>
      </c>
      <c r="AC300" s="62"/>
      <c r="AD300" s="61"/>
      <c r="AE300" s="61"/>
      <c r="AF300" s="61"/>
      <c r="AG300" s="61"/>
      <c r="AH300" s="61"/>
      <c r="AI300" s="61"/>
      <c r="AJ300" s="61"/>
      <c r="AK300" s="62"/>
      <c r="AL300" s="63"/>
      <c r="AM300" s="64"/>
      <c r="AN300" s="65" t="e">
        <v>#N/A</v>
      </c>
      <c r="AO300" s="61" t="e">
        <v>#N/A</v>
      </c>
      <c r="AP300" s="61" t="e">
        <v>#N/A</v>
      </c>
      <c r="AQ300" s="61" t="e">
        <v>#N/A</v>
      </c>
      <c r="AR300" s="61" t="e">
        <v>#N/A</v>
      </c>
      <c r="AS300" s="61" t="e">
        <v>#N/A</v>
      </c>
      <c r="AT300" s="61" t="e">
        <v>#N/A</v>
      </c>
      <c r="AU300" s="61" t="e">
        <v>#N/A</v>
      </c>
      <c r="AV300" s="61" t="e">
        <v>#N/A</v>
      </c>
      <c r="AW300" s="61" t="e">
        <v>#N/A</v>
      </c>
      <c r="AX300" s="65" t="e">
        <v>#N/A</v>
      </c>
      <c r="AY300" s="66">
        <v>0.63700000000000001</v>
      </c>
      <c r="AZ300" s="61">
        <v>5.3280000000000003</v>
      </c>
      <c r="BA300" s="61">
        <v>36.521000000000001</v>
      </c>
      <c r="BB300" s="61">
        <v>42.484999999999999</v>
      </c>
      <c r="BC300" s="61">
        <v>8.5000000000000006E-2</v>
      </c>
      <c r="BD300" s="61">
        <v>0.48399999999999999</v>
      </c>
      <c r="BE300" s="61">
        <v>3.1E-2</v>
      </c>
      <c r="BF300" s="61" t="s">
        <v>122</v>
      </c>
      <c r="BG300" s="61">
        <v>6.2859999999999996</v>
      </c>
      <c r="BH300" s="61">
        <v>5.101</v>
      </c>
      <c r="BI300" s="61">
        <v>3.1E-2</v>
      </c>
      <c r="BJ300" s="61">
        <v>11.417999999999999</v>
      </c>
      <c r="BK300" s="66">
        <v>12.018000000000001</v>
      </c>
      <c r="BL300" s="67">
        <v>11.012</v>
      </c>
      <c r="BM300" s="61" t="s">
        <v>121</v>
      </c>
      <c r="BN300" s="61" t="s">
        <v>121</v>
      </c>
      <c r="BO300" s="61" t="s">
        <v>121</v>
      </c>
      <c r="BP300" s="61">
        <v>11.012</v>
      </c>
      <c r="BQ300" s="61">
        <v>248.499</v>
      </c>
      <c r="BR300" s="61">
        <v>13.113</v>
      </c>
      <c r="BS300" s="61">
        <v>0.33300000000000002</v>
      </c>
      <c r="BT300" s="61">
        <v>2.8039999999999998</v>
      </c>
      <c r="BU300" s="61">
        <v>15.385</v>
      </c>
      <c r="BV300" s="61">
        <v>27.358000000000001</v>
      </c>
      <c r="BW300" s="61">
        <v>42.743000000000002</v>
      </c>
      <c r="BX300" s="67">
        <v>307.49099999999999</v>
      </c>
      <c r="BY300" s="68">
        <v>107893</v>
      </c>
      <c r="BZ300" s="68">
        <v>113140</v>
      </c>
      <c r="CA300" s="69">
        <v>6611</v>
      </c>
      <c r="CB300" s="68">
        <v>135931</v>
      </c>
      <c r="CC300" s="68">
        <v>4109</v>
      </c>
      <c r="CD300" s="61"/>
      <c r="CE300" s="64"/>
      <c r="CF300" s="64"/>
      <c r="CG300" s="70">
        <f t="shared" si="21"/>
        <v>5709.1019999999999</v>
      </c>
      <c r="CH300" s="70">
        <f t="shared" si="22"/>
        <v>277.66199999999998</v>
      </c>
      <c r="CI300" s="70">
        <f t="shared" si="23"/>
        <v>172.578</v>
      </c>
      <c r="CJ300" s="70">
        <f t="shared" si="25"/>
        <v>4531.5060000000003</v>
      </c>
      <c r="CK300" s="70">
        <f t="shared" si="25"/>
        <v>4751.88</v>
      </c>
      <c r="CL300" s="70">
        <f t="shared" si="24"/>
        <v>172.578</v>
      </c>
      <c r="CM300" s="61"/>
      <c r="CN300" s="61"/>
      <c r="CO300" s="61"/>
      <c r="CP300" s="61"/>
      <c r="CQ300" s="61"/>
      <c r="CR300" s="61"/>
      <c r="CS300" s="61"/>
      <c r="CT300" s="61"/>
      <c r="CU300" s="61"/>
      <c r="CV300" s="61"/>
      <c r="CW300" s="61"/>
      <c r="CX300" s="61"/>
      <c r="CY300" s="61"/>
      <c r="CZ300" s="61"/>
      <c r="DA300" s="61"/>
      <c r="DB300" s="61"/>
      <c r="DC300" s="61"/>
      <c r="DD300" s="61"/>
      <c r="DE300" s="61"/>
      <c r="DF300" s="61"/>
      <c r="DG300" s="61"/>
      <c r="DH300" s="61"/>
      <c r="DI300" s="61"/>
      <c r="DJ300" s="61"/>
      <c r="DK300" s="61"/>
      <c r="DL300" s="61"/>
      <c r="DM300" s="61"/>
      <c r="DN300" s="61"/>
      <c r="DO300" s="61"/>
      <c r="DP300" s="61"/>
      <c r="DQ300" s="61"/>
      <c r="DR300" s="61"/>
      <c r="DS300" s="61"/>
      <c r="DT300" s="61"/>
      <c r="DU300" s="61"/>
      <c r="DV300" s="61"/>
      <c r="DW300" s="61"/>
      <c r="DX300" s="61"/>
      <c r="DY300" s="61"/>
      <c r="DZ300" s="61"/>
      <c r="EA300" s="61"/>
      <c r="EB300" s="61"/>
      <c r="EC300" s="61"/>
      <c r="ED300" s="61"/>
      <c r="EE300" s="61"/>
      <c r="EF300" s="61"/>
      <c r="EG300" s="61"/>
      <c r="EH300" s="61"/>
      <c r="EI300" s="61"/>
      <c r="EJ300" s="61"/>
      <c r="EK300" s="61"/>
      <c r="EL300" s="61"/>
      <c r="EM300" s="61"/>
      <c r="EN300" s="61"/>
      <c r="EO300" s="61"/>
      <c r="EP300" s="61"/>
      <c r="EQ300" s="61"/>
      <c r="ER300" s="61"/>
      <c r="ES300" s="61"/>
      <c r="ET300" s="61"/>
      <c r="EU300" s="61"/>
      <c r="EV300" s="61"/>
      <c r="EW300" s="61"/>
    </row>
    <row r="301" spans="1:153">
      <c r="A301" s="56">
        <v>35735</v>
      </c>
      <c r="B301" s="57"/>
      <c r="C301" s="7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71"/>
      <c r="P301" s="60">
        <v>203.767</v>
      </c>
      <c r="Q301" s="61">
        <v>14.923999999999999</v>
      </c>
      <c r="R301" s="61">
        <v>264.59100000000001</v>
      </c>
      <c r="S301" s="61">
        <v>526.46299999999997</v>
      </c>
      <c r="T301" s="61">
        <v>242.15600000000001</v>
      </c>
      <c r="U301" s="61">
        <v>14.404</v>
      </c>
      <c r="V301" s="61">
        <v>4.57</v>
      </c>
      <c r="W301" s="61">
        <v>0.74199999999999999</v>
      </c>
      <c r="X301" s="61">
        <v>203.767</v>
      </c>
      <c r="Y301" s="61">
        <v>45.9</v>
      </c>
      <c r="Z301" s="61">
        <v>15.167</v>
      </c>
      <c r="AA301" s="61">
        <v>264.834</v>
      </c>
      <c r="AB301" s="60">
        <v>526.70500000000004</v>
      </c>
      <c r="AC301" s="62"/>
      <c r="AD301" s="61"/>
      <c r="AE301" s="61"/>
      <c r="AF301" s="61"/>
      <c r="AG301" s="61"/>
      <c r="AH301" s="61"/>
      <c r="AI301" s="61"/>
      <c r="AJ301" s="61"/>
      <c r="AK301" s="62"/>
      <c r="AL301" s="63"/>
      <c r="AM301" s="64"/>
      <c r="AN301" s="65" t="e">
        <v>#N/A</v>
      </c>
      <c r="AO301" s="61" t="e">
        <v>#N/A</v>
      </c>
      <c r="AP301" s="61" t="e">
        <v>#N/A</v>
      </c>
      <c r="AQ301" s="61" t="e">
        <v>#N/A</v>
      </c>
      <c r="AR301" s="61" t="e">
        <v>#N/A</v>
      </c>
      <c r="AS301" s="61" t="e">
        <v>#N/A</v>
      </c>
      <c r="AT301" s="61" t="e">
        <v>#N/A</v>
      </c>
      <c r="AU301" s="61" t="e">
        <v>#N/A</v>
      </c>
      <c r="AV301" s="61" t="e">
        <v>#N/A</v>
      </c>
      <c r="AW301" s="61" t="e">
        <v>#N/A</v>
      </c>
      <c r="AX301" s="65" t="e">
        <v>#N/A</v>
      </c>
      <c r="AY301" s="66">
        <v>0.61599999999999999</v>
      </c>
      <c r="AZ301" s="61">
        <v>4.37</v>
      </c>
      <c r="BA301" s="61">
        <v>35.341999999999999</v>
      </c>
      <c r="BB301" s="61">
        <v>40.329000000000001</v>
      </c>
      <c r="BC301" s="61">
        <v>8.2000000000000003E-2</v>
      </c>
      <c r="BD301" s="61">
        <v>0.46800000000000003</v>
      </c>
      <c r="BE301" s="61">
        <v>2.5999999999999999E-2</v>
      </c>
      <c r="BF301" s="61" t="s">
        <v>122</v>
      </c>
      <c r="BG301" s="61">
        <v>6.0439999999999996</v>
      </c>
      <c r="BH301" s="61">
        <v>4.8259999999999996</v>
      </c>
      <c r="BI301" s="61">
        <v>2.5000000000000001E-2</v>
      </c>
      <c r="BJ301" s="61">
        <v>10.895</v>
      </c>
      <c r="BK301" s="66">
        <v>11.47</v>
      </c>
      <c r="BL301" s="67">
        <v>8.6180000000000003</v>
      </c>
      <c r="BM301" s="61" t="s">
        <v>121</v>
      </c>
      <c r="BN301" s="61" t="s">
        <v>121</v>
      </c>
      <c r="BO301" s="61" t="s">
        <v>121</v>
      </c>
      <c r="BP301" s="61">
        <v>8.6180000000000003</v>
      </c>
      <c r="BQ301" s="61">
        <v>238.21199999999999</v>
      </c>
      <c r="BR301" s="61">
        <v>13.065</v>
      </c>
      <c r="BS301" s="61">
        <v>0.16800000000000001</v>
      </c>
      <c r="BT301" s="61">
        <v>0.74199999999999999</v>
      </c>
      <c r="BU301" s="61">
        <v>12.131</v>
      </c>
      <c r="BV301" s="61">
        <v>25.885000000000002</v>
      </c>
      <c r="BW301" s="61">
        <v>38.015999999999998</v>
      </c>
      <c r="BX301" s="67">
        <v>290.20299999999997</v>
      </c>
      <c r="BY301" s="68">
        <v>106974</v>
      </c>
      <c r="BZ301" s="68">
        <v>103063</v>
      </c>
      <c r="CA301" s="69">
        <v>5236</v>
      </c>
      <c r="CB301" s="68">
        <v>140610</v>
      </c>
      <c r="CC301" s="68">
        <v>4468</v>
      </c>
      <c r="CD301" s="61"/>
      <c r="CE301" s="64"/>
      <c r="CF301" s="64"/>
      <c r="CG301" s="70">
        <f t="shared" si="21"/>
        <v>5905.62</v>
      </c>
      <c r="CH301" s="70">
        <f t="shared" si="22"/>
        <v>219.91200000000001</v>
      </c>
      <c r="CI301" s="70">
        <f t="shared" si="23"/>
        <v>187.65600000000001</v>
      </c>
      <c r="CJ301" s="70">
        <f t="shared" si="25"/>
        <v>4492.9080000000004</v>
      </c>
      <c r="CK301" s="70">
        <f t="shared" si="25"/>
        <v>4328.6459999999997</v>
      </c>
      <c r="CL301" s="70">
        <f t="shared" si="24"/>
        <v>187.65600000000001</v>
      </c>
      <c r="CM301" s="61"/>
      <c r="CN301" s="61"/>
      <c r="CO301" s="61"/>
      <c r="CP301" s="61"/>
      <c r="CQ301" s="61"/>
      <c r="CR301" s="61"/>
      <c r="CS301" s="61"/>
      <c r="CT301" s="61"/>
      <c r="CU301" s="61"/>
      <c r="CV301" s="61"/>
      <c r="CW301" s="61"/>
      <c r="CX301" s="61"/>
      <c r="CY301" s="61"/>
      <c r="CZ301" s="61"/>
      <c r="DA301" s="61"/>
      <c r="DB301" s="61"/>
      <c r="DC301" s="61"/>
      <c r="DD301" s="61"/>
      <c r="DE301" s="61"/>
      <c r="DF301" s="61"/>
      <c r="DG301" s="61"/>
      <c r="DH301" s="61"/>
      <c r="DI301" s="61"/>
      <c r="DJ301" s="61"/>
      <c r="DK301" s="61"/>
      <c r="DL301" s="61"/>
      <c r="DM301" s="61"/>
      <c r="DN301" s="61"/>
      <c r="DO301" s="61"/>
      <c r="DP301" s="61"/>
      <c r="DQ301" s="61"/>
      <c r="DR301" s="61"/>
      <c r="DS301" s="61"/>
      <c r="DT301" s="61"/>
      <c r="DU301" s="61"/>
      <c r="DV301" s="61"/>
      <c r="DW301" s="61"/>
      <c r="DX301" s="61"/>
      <c r="DY301" s="61"/>
      <c r="DZ301" s="61"/>
      <c r="EA301" s="61"/>
      <c r="EB301" s="61"/>
      <c r="EC301" s="61"/>
      <c r="ED301" s="61"/>
      <c r="EE301" s="61"/>
      <c r="EF301" s="61"/>
      <c r="EG301" s="61"/>
      <c r="EH301" s="61"/>
      <c r="EI301" s="61"/>
      <c r="EJ301" s="61"/>
      <c r="EK301" s="61"/>
      <c r="EL301" s="61"/>
      <c r="EM301" s="61"/>
      <c r="EN301" s="61"/>
      <c r="EO301" s="61"/>
      <c r="EP301" s="61"/>
      <c r="EQ301" s="61"/>
      <c r="ER301" s="61"/>
      <c r="ES301" s="61"/>
      <c r="ET301" s="61"/>
      <c r="EU301" s="61"/>
      <c r="EV301" s="61"/>
      <c r="EW301" s="61"/>
    </row>
    <row r="302" spans="1:153">
      <c r="A302" s="56">
        <v>35765</v>
      </c>
      <c r="B302" s="57"/>
      <c r="C302" s="7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71"/>
      <c r="P302" s="60">
        <v>190.185</v>
      </c>
      <c r="Q302" s="61">
        <v>19.012</v>
      </c>
      <c r="R302" s="61">
        <v>256.99799999999999</v>
      </c>
      <c r="S302" s="61">
        <v>541.76400000000001</v>
      </c>
      <c r="T302" s="61">
        <v>264.16000000000003</v>
      </c>
      <c r="U302" s="61">
        <v>15.576000000000001</v>
      </c>
      <c r="V302" s="61">
        <v>4.3</v>
      </c>
      <c r="W302" s="61">
        <v>0.73</v>
      </c>
      <c r="X302" s="61">
        <v>190.185</v>
      </c>
      <c r="Y302" s="61">
        <v>47.802</v>
      </c>
      <c r="Z302" s="61">
        <v>19.548999999999999</v>
      </c>
      <c r="AA302" s="61">
        <v>257.536</v>
      </c>
      <c r="AB302" s="60">
        <v>542.30200000000002</v>
      </c>
      <c r="AC302" s="62"/>
      <c r="AD302" s="61"/>
      <c r="AE302" s="61"/>
      <c r="AF302" s="61"/>
      <c r="AG302" s="61"/>
      <c r="AH302" s="61"/>
      <c r="AI302" s="61"/>
      <c r="AJ302" s="61"/>
      <c r="AK302" s="62"/>
      <c r="AL302" s="63"/>
      <c r="AM302" s="64"/>
      <c r="AN302" s="65" t="e">
        <v>#N/A</v>
      </c>
      <c r="AO302" s="61" t="e">
        <v>#N/A</v>
      </c>
      <c r="AP302" s="61" t="e">
        <v>#N/A</v>
      </c>
      <c r="AQ302" s="61" t="e">
        <v>#N/A</v>
      </c>
      <c r="AR302" s="61" t="e">
        <v>#N/A</v>
      </c>
      <c r="AS302" s="61" t="e">
        <v>#N/A</v>
      </c>
      <c r="AT302" s="61" t="e">
        <v>#N/A</v>
      </c>
      <c r="AU302" s="61" t="e">
        <v>#N/A</v>
      </c>
      <c r="AV302" s="61" t="e">
        <v>#N/A</v>
      </c>
      <c r="AW302" s="61" t="e">
        <v>#N/A</v>
      </c>
      <c r="AX302" s="65" t="e">
        <v>#N/A</v>
      </c>
      <c r="AY302" s="66">
        <v>0.63700000000000001</v>
      </c>
      <c r="AZ302" s="61">
        <v>4.1479999999999997</v>
      </c>
      <c r="BA302" s="61">
        <v>36.521000000000001</v>
      </c>
      <c r="BB302" s="61">
        <v>41.305999999999997</v>
      </c>
      <c r="BC302" s="61">
        <v>8.8999999999999996E-2</v>
      </c>
      <c r="BD302" s="61">
        <v>0.48399999999999999</v>
      </c>
      <c r="BE302" s="61">
        <v>2.4E-2</v>
      </c>
      <c r="BF302" s="61" t="s">
        <v>122</v>
      </c>
      <c r="BG302" s="61">
        <v>6.2169999999999996</v>
      </c>
      <c r="BH302" s="61">
        <v>5.0389999999999997</v>
      </c>
      <c r="BI302" s="61">
        <v>3.2000000000000001E-2</v>
      </c>
      <c r="BJ302" s="61">
        <v>11.289</v>
      </c>
      <c r="BK302" s="66">
        <v>11.885999999999999</v>
      </c>
      <c r="BL302" s="67">
        <v>11.202999999999999</v>
      </c>
      <c r="BM302" s="61" t="s">
        <v>121</v>
      </c>
      <c r="BN302" s="61" t="s">
        <v>121</v>
      </c>
      <c r="BO302" s="61" t="s">
        <v>121</v>
      </c>
      <c r="BP302" s="61">
        <v>11.202999999999999</v>
      </c>
      <c r="BQ302" s="61">
        <v>259.858</v>
      </c>
      <c r="BR302" s="61">
        <v>14.191000000000001</v>
      </c>
      <c r="BS302" s="61">
        <v>0.121</v>
      </c>
      <c r="BT302" s="61">
        <v>0.73</v>
      </c>
      <c r="BU302" s="61">
        <v>10.538</v>
      </c>
      <c r="BV302" s="61">
        <v>27.03</v>
      </c>
      <c r="BW302" s="61">
        <v>37.567999999999998</v>
      </c>
      <c r="BX302" s="67">
        <v>312.46899999999999</v>
      </c>
      <c r="BY302" s="68">
        <v>111717</v>
      </c>
      <c r="BZ302" s="68">
        <v>115134</v>
      </c>
      <c r="CA302" s="69">
        <v>7191</v>
      </c>
      <c r="CB302" s="68">
        <v>138427</v>
      </c>
      <c r="CC302" s="68">
        <v>5957</v>
      </c>
      <c r="CD302" s="61"/>
      <c r="CE302" s="64"/>
      <c r="CF302" s="64"/>
      <c r="CG302" s="70">
        <f t="shared" si="21"/>
        <v>5813.9340000000002</v>
      </c>
      <c r="CH302" s="70">
        <f t="shared" si="22"/>
        <v>302.02199999999999</v>
      </c>
      <c r="CI302" s="70">
        <f t="shared" si="23"/>
        <v>250.19399999999999</v>
      </c>
      <c r="CJ302" s="70">
        <f t="shared" si="25"/>
        <v>4692.1139999999996</v>
      </c>
      <c r="CK302" s="70">
        <f t="shared" si="25"/>
        <v>4835.6279999999997</v>
      </c>
      <c r="CL302" s="70">
        <f t="shared" si="24"/>
        <v>250.19399999999999</v>
      </c>
      <c r="CM302" s="61"/>
      <c r="CN302" s="61"/>
      <c r="CO302" s="61"/>
      <c r="CP302" s="61"/>
      <c r="CQ302" s="61"/>
      <c r="CR302" s="61"/>
      <c r="CS302" s="61"/>
      <c r="CT302" s="61"/>
      <c r="CU302" s="61"/>
      <c r="CV302" s="61"/>
      <c r="CW302" s="61"/>
      <c r="CX302" s="61"/>
      <c r="CY302" s="61"/>
      <c r="CZ302" s="61"/>
      <c r="DA302" s="61"/>
      <c r="DB302" s="61"/>
      <c r="DC302" s="61"/>
      <c r="DD302" s="61"/>
      <c r="DE302" s="61"/>
      <c r="DF302" s="61"/>
      <c r="DG302" s="61"/>
      <c r="DH302" s="61"/>
      <c r="DI302" s="61"/>
      <c r="DJ302" s="61"/>
      <c r="DK302" s="61"/>
      <c r="DL302" s="61"/>
      <c r="DM302" s="61"/>
      <c r="DN302" s="61"/>
      <c r="DO302" s="61"/>
      <c r="DP302" s="61"/>
      <c r="DQ302" s="61"/>
      <c r="DR302" s="61"/>
      <c r="DS302" s="61"/>
      <c r="DT302" s="61"/>
      <c r="DU302" s="61"/>
      <c r="DV302" s="61"/>
      <c r="DW302" s="61"/>
      <c r="DX302" s="61"/>
      <c r="DY302" s="61"/>
      <c r="DZ302" s="61"/>
      <c r="EA302" s="61"/>
      <c r="EB302" s="61"/>
      <c r="EC302" s="61"/>
      <c r="ED302" s="61"/>
      <c r="EE302" s="61"/>
      <c r="EF302" s="61"/>
      <c r="EG302" s="61"/>
      <c r="EH302" s="61"/>
      <c r="EI302" s="61"/>
      <c r="EJ302" s="61"/>
      <c r="EK302" s="61"/>
      <c r="EL302" s="61"/>
      <c r="EM302" s="61"/>
      <c r="EN302" s="61"/>
      <c r="EO302" s="61"/>
      <c r="EP302" s="61"/>
      <c r="EQ302" s="61"/>
      <c r="ER302" s="61"/>
      <c r="ES302" s="61"/>
      <c r="ET302" s="61"/>
      <c r="EU302" s="61"/>
      <c r="EV302" s="61"/>
      <c r="EW302" s="61"/>
    </row>
    <row r="303" spans="1:153">
      <c r="A303" s="56">
        <v>35796</v>
      </c>
      <c r="B303" s="57"/>
      <c r="C303" s="7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71"/>
      <c r="P303" s="60">
        <v>218.095</v>
      </c>
      <c r="Q303" s="61">
        <v>19.477</v>
      </c>
      <c r="R303" s="61">
        <v>278.21100000000001</v>
      </c>
      <c r="S303" s="61">
        <v>591.52200000000005</v>
      </c>
      <c r="T303" s="61">
        <v>293.86</v>
      </c>
      <c r="U303" s="61">
        <v>15.811</v>
      </c>
      <c r="V303" s="61">
        <v>3.4630000000000001</v>
      </c>
      <c r="W303" s="61">
        <v>0.17699999999999999</v>
      </c>
      <c r="X303" s="61">
        <v>218.095</v>
      </c>
      <c r="Y303" s="61">
        <v>40.639000000000003</v>
      </c>
      <c r="Z303" s="61">
        <v>19.047000000000001</v>
      </c>
      <c r="AA303" s="61">
        <v>277.78100000000001</v>
      </c>
      <c r="AB303" s="60">
        <v>591.09199999999998</v>
      </c>
      <c r="AC303" s="62"/>
      <c r="AD303" s="61"/>
      <c r="AE303" s="61"/>
      <c r="AF303" s="61"/>
      <c r="AG303" s="61"/>
      <c r="AH303" s="61"/>
      <c r="AI303" s="61"/>
      <c r="AJ303" s="61"/>
      <c r="AK303" s="62"/>
      <c r="AL303" s="63"/>
      <c r="AM303" s="64"/>
      <c r="AN303" s="65" t="e">
        <v>#N/A</v>
      </c>
      <c r="AO303" s="61" t="e">
        <v>#N/A</v>
      </c>
      <c r="AP303" s="61" t="e">
        <v>#N/A</v>
      </c>
      <c r="AQ303" s="61" t="e">
        <v>#N/A</v>
      </c>
      <c r="AR303" s="61" t="e">
        <v>#N/A</v>
      </c>
      <c r="AS303" s="61" t="e">
        <v>#N/A</v>
      </c>
      <c r="AT303" s="61" t="e">
        <v>#N/A</v>
      </c>
      <c r="AU303" s="61" t="e">
        <v>#N/A</v>
      </c>
      <c r="AV303" s="61" t="e">
        <v>#N/A</v>
      </c>
      <c r="AW303" s="61" t="e">
        <v>#N/A</v>
      </c>
      <c r="AX303" s="65" t="e">
        <v>#N/A</v>
      </c>
      <c r="AY303" s="66">
        <v>0.65400000000000003</v>
      </c>
      <c r="AZ303" s="61">
        <v>3.3460000000000001</v>
      </c>
      <c r="BA303" s="61">
        <v>32.274000000000001</v>
      </c>
      <c r="BB303" s="61">
        <v>36.274000000000001</v>
      </c>
      <c r="BC303" s="61">
        <v>0.109</v>
      </c>
      <c r="BD303" s="61">
        <v>0.60299999999999998</v>
      </c>
      <c r="BE303" s="61">
        <v>2.1999999999999999E-2</v>
      </c>
      <c r="BF303" s="61" t="s">
        <v>122</v>
      </c>
      <c r="BG303" s="61">
        <v>5.476</v>
      </c>
      <c r="BH303" s="61">
        <v>3.8730000000000002</v>
      </c>
      <c r="BI303" s="61">
        <v>2.7E-2</v>
      </c>
      <c r="BJ303" s="61">
        <v>9.3759999999999994</v>
      </c>
      <c r="BK303" s="66">
        <v>10.111000000000001</v>
      </c>
      <c r="BL303" s="67">
        <v>10.568</v>
      </c>
      <c r="BM303" s="61" t="s">
        <v>121</v>
      </c>
      <c r="BN303" s="61" t="s">
        <v>121</v>
      </c>
      <c r="BO303" s="61" t="s">
        <v>121</v>
      </c>
      <c r="BP303" s="61">
        <v>10.568</v>
      </c>
      <c r="BQ303" s="61">
        <v>288.88900000000001</v>
      </c>
      <c r="BR303" s="61">
        <v>14.298999999999999</v>
      </c>
      <c r="BS303" s="61">
        <v>0.09</v>
      </c>
      <c r="BT303" s="61">
        <v>0.17699999999999999</v>
      </c>
      <c r="BU303" s="61">
        <v>14.913</v>
      </c>
      <c r="BV303" s="61">
        <v>22.012</v>
      </c>
      <c r="BW303" s="61">
        <v>36.924999999999997</v>
      </c>
      <c r="BX303" s="67">
        <v>340.38</v>
      </c>
      <c r="BY303" s="68">
        <v>103012</v>
      </c>
      <c r="BZ303" s="68">
        <v>110551</v>
      </c>
      <c r="CA303" s="69">
        <v>6032</v>
      </c>
      <c r="CB303" s="68">
        <v>132797</v>
      </c>
      <c r="CC303" s="68">
        <v>4123</v>
      </c>
      <c r="CD303" s="61"/>
      <c r="CE303" s="64"/>
      <c r="CF303" s="64"/>
      <c r="CG303" s="70">
        <f t="shared" si="21"/>
        <v>5577.4740000000002</v>
      </c>
      <c r="CH303" s="70">
        <f t="shared" si="22"/>
        <v>253.34399999999999</v>
      </c>
      <c r="CI303" s="70">
        <f t="shared" si="23"/>
        <v>173.166</v>
      </c>
      <c r="CJ303" s="70">
        <f t="shared" si="25"/>
        <v>4326.5039999999999</v>
      </c>
      <c r="CK303" s="70">
        <f t="shared" si="25"/>
        <v>4643.1419999999998</v>
      </c>
      <c r="CL303" s="70">
        <f t="shared" si="24"/>
        <v>173.166</v>
      </c>
      <c r="CM303" s="61"/>
      <c r="CN303" s="61"/>
      <c r="CO303" s="61"/>
      <c r="CP303" s="61"/>
      <c r="CQ303" s="61"/>
      <c r="CR303" s="61"/>
      <c r="CS303" s="61"/>
      <c r="CT303" s="61"/>
      <c r="CU303" s="61"/>
      <c r="CV303" s="61"/>
      <c r="CW303" s="61"/>
      <c r="CX303" s="61"/>
      <c r="CY303" s="61"/>
      <c r="CZ303" s="61"/>
      <c r="DA303" s="61"/>
      <c r="DB303" s="61"/>
      <c r="DC303" s="61"/>
      <c r="DD303" s="61"/>
      <c r="DE303" s="61"/>
      <c r="DF303" s="61"/>
      <c r="DG303" s="61"/>
      <c r="DH303" s="61"/>
      <c r="DI303" s="61"/>
      <c r="DJ303" s="61"/>
      <c r="DK303" s="61"/>
      <c r="DL303" s="61"/>
      <c r="DM303" s="61"/>
      <c r="DN303" s="61"/>
      <c r="DO303" s="61"/>
      <c r="DP303" s="61"/>
      <c r="DQ303" s="61"/>
      <c r="DR303" s="61"/>
      <c r="DS303" s="61"/>
      <c r="DT303" s="61"/>
      <c r="DU303" s="61"/>
      <c r="DV303" s="61"/>
      <c r="DW303" s="61"/>
      <c r="DX303" s="61"/>
      <c r="DY303" s="61"/>
      <c r="DZ303" s="61"/>
      <c r="EA303" s="61"/>
      <c r="EB303" s="61"/>
      <c r="EC303" s="61"/>
      <c r="ED303" s="61"/>
      <c r="EE303" s="61"/>
      <c r="EF303" s="61"/>
      <c r="EG303" s="61"/>
      <c r="EH303" s="61"/>
      <c r="EI303" s="61"/>
      <c r="EJ303" s="61"/>
      <c r="EK303" s="61"/>
      <c r="EL303" s="61"/>
      <c r="EM303" s="61"/>
      <c r="EN303" s="61"/>
      <c r="EO303" s="61"/>
      <c r="EP303" s="61"/>
      <c r="EQ303" s="61"/>
      <c r="ER303" s="61"/>
      <c r="ES303" s="61"/>
      <c r="ET303" s="61"/>
      <c r="EU303" s="61"/>
      <c r="EV303" s="61"/>
      <c r="EW303" s="61"/>
    </row>
    <row r="304" spans="1:153">
      <c r="A304" s="56">
        <v>35827</v>
      </c>
      <c r="B304" s="57"/>
      <c r="C304" s="7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71"/>
      <c r="P304" s="60">
        <v>158.34299999999999</v>
      </c>
      <c r="Q304" s="61">
        <v>14.054</v>
      </c>
      <c r="R304" s="61">
        <v>212.209</v>
      </c>
      <c r="S304" s="61">
        <v>534.59</v>
      </c>
      <c r="T304" s="61">
        <v>305.87</v>
      </c>
      <c r="U304" s="61">
        <v>12.721</v>
      </c>
      <c r="V304" s="61">
        <v>3.706</v>
      </c>
      <c r="W304" s="61">
        <v>8.3000000000000004E-2</v>
      </c>
      <c r="X304" s="61">
        <v>158.34299999999999</v>
      </c>
      <c r="Y304" s="61">
        <v>39.813000000000002</v>
      </c>
      <c r="Z304" s="61">
        <v>14.667999999999999</v>
      </c>
      <c r="AA304" s="61">
        <v>212.82300000000001</v>
      </c>
      <c r="AB304" s="60">
        <v>535.20399999999995</v>
      </c>
      <c r="AC304" s="62"/>
      <c r="AD304" s="61"/>
      <c r="AE304" s="61"/>
      <c r="AF304" s="61"/>
      <c r="AG304" s="61"/>
      <c r="AH304" s="61"/>
      <c r="AI304" s="61"/>
      <c r="AJ304" s="61"/>
      <c r="AK304" s="62"/>
      <c r="AL304" s="63"/>
      <c r="AM304" s="64"/>
      <c r="AN304" s="65" t="e">
        <v>#N/A</v>
      </c>
      <c r="AO304" s="61" t="e">
        <v>#N/A</v>
      </c>
      <c r="AP304" s="61" t="e">
        <v>#N/A</v>
      </c>
      <c r="AQ304" s="61" t="e">
        <v>#N/A</v>
      </c>
      <c r="AR304" s="61" t="e">
        <v>#N/A</v>
      </c>
      <c r="AS304" s="61" t="e">
        <v>#N/A</v>
      </c>
      <c r="AT304" s="61" t="e">
        <v>#N/A</v>
      </c>
      <c r="AU304" s="61" t="e">
        <v>#N/A</v>
      </c>
      <c r="AV304" s="61" t="e">
        <v>#N/A</v>
      </c>
      <c r="AW304" s="61" t="e">
        <v>#N/A</v>
      </c>
      <c r="AX304" s="65" t="e">
        <v>#N/A</v>
      </c>
      <c r="AY304" s="66">
        <v>0.59099999999999997</v>
      </c>
      <c r="AZ304" s="61">
        <v>3.6070000000000002</v>
      </c>
      <c r="BA304" s="61">
        <v>29.151</v>
      </c>
      <c r="BB304" s="61">
        <v>33.348999999999997</v>
      </c>
      <c r="BC304" s="61">
        <v>0.114</v>
      </c>
      <c r="BD304" s="61">
        <v>0.54500000000000004</v>
      </c>
      <c r="BE304" s="61">
        <v>2.4E-2</v>
      </c>
      <c r="BF304" s="61" t="s">
        <v>122</v>
      </c>
      <c r="BG304" s="61">
        <v>4.9000000000000004</v>
      </c>
      <c r="BH304" s="61">
        <v>3.915</v>
      </c>
      <c r="BI304" s="61">
        <v>2.1999999999999999E-2</v>
      </c>
      <c r="BJ304" s="61">
        <v>8.8360000000000003</v>
      </c>
      <c r="BK304" s="66">
        <v>9.5190000000000001</v>
      </c>
      <c r="BL304" s="67">
        <v>8.5350000000000001</v>
      </c>
      <c r="BM304" s="61" t="s">
        <v>121</v>
      </c>
      <c r="BN304" s="61" t="s">
        <v>121</v>
      </c>
      <c r="BO304" s="61" t="s">
        <v>121</v>
      </c>
      <c r="BP304" s="61">
        <v>8.5350000000000001</v>
      </c>
      <c r="BQ304" s="61">
        <v>300.697</v>
      </c>
      <c r="BR304" s="61">
        <v>11.356</v>
      </c>
      <c r="BS304" s="61">
        <v>6.9000000000000006E-2</v>
      </c>
      <c r="BT304" s="61">
        <v>8.3000000000000004E-2</v>
      </c>
      <c r="BU304" s="61">
        <v>9.5540000000000003</v>
      </c>
      <c r="BV304" s="61">
        <v>22.248999999999999</v>
      </c>
      <c r="BW304" s="61">
        <v>31.803000000000001</v>
      </c>
      <c r="BX304" s="67">
        <v>344.00799999999998</v>
      </c>
      <c r="BY304" s="68">
        <v>91838</v>
      </c>
      <c r="BZ304" s="68">
        <v>100754</v>
      </c>
      <c r="CA304" s="69">
        <v>5970</v>
      </c>
      <c r="CB304" s="68">
        <v>127643</v>
      </c>
      <c r="CC304" s="68">
        <v>2208</v>
      </c>
      <c r="CD304" s="61"/>
      <c r="CE304" s="64"/>
      <c r="CF304" s="64"/>
      <c r="CG304" s="70">
        <f t="shared" si="21"/>
        <v>5361.0060000000003</v>
      </c>
      <c r="CH304" s="70">
        <f t="shared" si="22"/>
        <v>250.74</v>
      </c>
      <c r="CI304" s="70">
        <f t="shared" si="23"/>
        <v>92.736000000000004</v>
      </c>
      <c r="CJ304" s="70">
        <f t="shared" si="25"/>
        <v>3857.1959999999999</v>
      </c>
      <c r="CK304" s="70">
        <f t="shared" si="25"/>
        <v>4231.6679999999997</v>
      </c>
      <c r="CL304" s="70">
        <f t="shared" si="24"/>
        <v>92.736000000000004</v>
      </c>
      <c r="CM304" s="61"/>
      <c r="CN304" s="61"/>
      <c r="CO304" s="61"/>
      <c r="CP304" s="61"/>
      <c r="CQ304" s="61"/>
      <c r="CR304" s="61"/>
      <c r="CS304" s="61"/>
      <c r="CT304" s="61"/>
      <c r="CU304" s="61"/>
      <c r="CV304" s="61"/>
      <c r="CW304" s="61"/>
      <c r="CX304" s="61"/>
      <c r="CY304" s="61"/>
      <c r="CZ304" s="61"/>
      <c r="DA304" s="61"/>
      <c r="DB304" s="61"/>
      <c r="DC304" s="61"/>
      <c r="DD304" s="61"/>
      <c r="DE304" s="61"/>
      <c r="DF304" s="61"/>
      <c r="DG304" s="61"/>
      <c r="DH304" s="61"/>
      <c r="DI304" s="61"/>
      <c r="DJ304" s="61"/>
      <c r="DK304" s="61"/>
      <c r="DL304" s="61"/>
      <c r="DM304" s="61"/>
      <c r="DN304" s="61"/>
      <c r="DO304" s="61"/>
      <c r="DP304" s="61"/>
      <c r="DQ304" s="61"/>
      <c r="DR304" s="61"/>
      <c r="DS304" s="61"/>
      <c r="DT304" s="61"/>
      <c r="DU304" s="61"/>
      <c r="DV304" s="61"/>
      <c r="DW304" s="61"/>
      <c r="DX304" s="61"/>
      <c r="DY304" s="61"/>
      <c r="DZ304" s="61"/>
      <c r="EA304" s="61"/>
      <c r="EB304" s="61"/>
      <c r="EC304" s="61"/>
      <c r="ED304" s="61"/>
      <c r="EE304" s="61"/>
      <c r="EF304" s="61"/>
      <c r="EG304" s="61"/>
      <c r="EH304" s="61"/>
      <c r="EI304" s="61"/>
      <c r="EJ304" s="61"/>
      <c r="EK304" s="61"/>
      <c r="EL304" s="61"/>
      <c r="EM304" s="61"/>
      <c r="EN304" s="61"/>
      <c r="EO304" s="61"/>
      <c r="EP304" s="61"/>
      <c r="EQ304" s="61"/>
      <c r="ER304" s="61"/>
      <c r="ES304" s="61"/>
      <c r="ET304" s="61"/>
      <c r="EU304" s="61"/>
      <c r="EV304" s="61"/>
      <c r="EW304" s="61"/>
    </row>
    <row r="305" spans="1:153">
      <c r="A305" s="56">
        <v>35855</v>
      </c>
      <c r="B305" s="57"/>
      <c r="C305" s="7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71"/>
      <c r="P305" s="60">
        <v>179.494</v>
      </c>
      <c r="Q305" s="61">
        <v>15.307</v>
      </c>
      <c r="R305" s="61">
        <v>240.96299999999999</v>
      </c>
      <c r="S305" s="61">
        <v>585.34100000000001</v>
      </c>
      <c r="T305" s="61">
        <v>323.12200000000001</v>
      </c>
      <c r="U305" s="61">
        <v>15.673999999999999</v>
      </c>
      <c r="V305" s="61">
        <v>5.52</v>
      </c>
      <c r="W305" s="61">
        <v>6.3E-2</v>
      </c>
      <c r="X305" s="61">
        <v>179.494</v>
      </c>
      <c r="Y305" s="61">
        <v>46.161999999999999</v>
      </c>
      <c r="Z305" s="61">
        <v>16.457999999999998</v>
      </c>
      <c r="AA305" s="61">
        <v>242.11500000000001</v>
      </c>
      <c r="AB305" s="60">
        <v>586.49300000000005</v>
      </c>
      <c r="AC305" s="62"/>
      <c r="AD305" s="61"/>
      <c r="AE305" s="61"/>
      <c r="AF305" s="61"/>
      <c r="AG305" s="61"/>
      <c r="AH305" s="61"/>
      <c r="AI305" s="61"/>
      <c r="AJ305" s="61"/>
      <c r="AK305" s="62"/>
      <c r="AL305" s="63"/>
      <c r="AM305" s="64"/>
      <c r="AN305" s="65" t="e">
        <v>#N/A</v>
      </c>
      <c r="AO305" s="61" t="e">
        <v>#N/A</v>
      </c>
      <c r="AP305" s="61" t="e">
        <v>#N/A</v>
      </c>
      <c r="AQ305" s="61" t="e">
        <v>#N/A</v>
      </c>
      <c r="AR305" s="61" t="e">
        <v>#N/A</v>
      </c>
      <c r="AS305" s="61" t="e">
        <v>#N/A</v>
      </c>
      <c r="AT305" s="61" t="e">
        <v>#N/A</v>
      </c>
      <c r="AU305" s="61" t="e">
        <v>#N/A</v>
      </c>
      <c r="AV305" s="61" t="e">
        <v>#N/A</v>
      </c>
      <c r="AW305" s="61" t="e">
        <v>#N/A</v>
      </c>
      <c r="AX305" s="65" t="e">
        <v>#N/A</v>
      </c>
      <c r="AY305" s="66">
        <v>0.65400000000000003</v>
      </c>
      <c r="AZ305" s="61">
        <v>4.97</v>
      </c>
      <c r="BA305" s="61">
        <v>32.274000000000001</v>
      </c>
      <c r="BB305" s="61">
        <v>37.898000000000003</v>
      </c>
      <c r="BC305" s="61">
        <v>0.12</v>
      </c>
      <c r="BD305" s="61">
        <v>0.60299999999999998</v>
      </c>
      <c r="BE305" s="61">
        <v>3.3000000000000002E-2</v>
      </c>
      <c r="BF305" s="61" t="s">
        <v>122</v>
      </c>
      <c r="BG305" s="61">
        <v>5.43</v>
      </c>
      <c r="BH305" s="61">
        <v>4.6139999999999999</v>
      </c>
      <c r="BI305" s="61">
        <v>2.5000000000000001E-2</v>
      </c>
      <c r="BJ305" s="61">
        <v>10.068</v>
      </c>
      <c r="BK305" s="66">
        <v>10.824999999999999</v>
      </c>
      <c r="BL305" s="67">
        <v>9.7720000000000002</v>
      </c>
      <c r="BM305" s="61" t="s">
        <v>121</v>
      </c>
      <c r="BN305" s="61" t="s">
        <v>121</v>
      </c>
      <c r="BO305" s="61" t="s">
        <v>121</v>
      </c>
      <c r="BP305" s="61">
        <v>9.7720000000000002</v>
      </c>
      <c r="BQ305" s="61">
        <v>317.65600000000001</v>
      </c>
      <c r="BR305" s="61">
        <v>14.162000000000001</v>
      </c>
      <c r="BS305" s="61">
        <v>0.50900000000000001</v>
      </c>
      <c r="BT305" s="61">
        <v>6.3E-2</v>
      </c>
      <c r="BU305" s="61">
        <v>11.002000000000001</v>
      </c>
      <c r="BV305" s="61">
        <v>26.22</v>
      </c>
      <c r="BW305" s="61">
        <v>37.222000000000001</v>
      </c>
      <c r="BX305" s="67">
        <v>369.61200000000002</v>
      </c>
      <c r="BY305" s="68">
        <v>105320</v>
      </c>
      <c r="BZ305" s="68">
        <v>111771</v>
      </c>
      <c r="CA305" s="69">
        <v>7342</v>
      </c>
      <c r="CB305" s="68">
        <v>124545</v>
      </c>
      <c r="CC305" s="68">
        <v>3989</v>
      </c>
      <c r="CD305" s="61"/>
      <c r="CE305" s="64"/>
      <c r="CF305" s="64"/>
      <c r="CG305" s="70">
        <f t="shared" si="21"/>
        <v>5230.8900000000003</v>
      </c>
      <c r="CH305" s="70">
        <f t="shared" si="22"/>
        <v>308.36399999999998</v>
      </c>
      <c r="CI305" s="70">
        <f t="shared" si="23"/>
        <v>167.53800000000001</v>
      </c>
      <c r="CJ305" s="70">
        <f t="shared" si="25"/>
        <v>4423.4399999999996</v>
      </c>
      <c r="CK305" s="70">
        <f t="shared" si="25"/>
        <v>4694.3819999999996</v>
      </c>
      <c r="CL305" s="70">
        <f t="shared" si="24"/>
        <v>167.53800000000001</v>
      </c>
      <c r="CM305" s="61"/>
      <c r="CN305" s="61"/>
      <c r="CO305" s="61"/>
      <c r="CP305" s="61"/>
      <c r="CQ305" s="61"/>
      <c r="CR305" s="61"/>
      <c r="CS305" s="61"/>
      <c r="CT305" s="61"/>
      <c r="CU305" s="61"/>
      <c r="CV305" s="61"/>
      <c r="CW305" s="61"/>
      <c r="CX305" s="61"/>
      <c r="CY305" s="61"/>
      <c r="CZ305" s="61"/>
      <c r="DA305" s="61"/>
      <c r="DB305" s="61"/>
      <c r="DC305" s="61"/>
      <c r="DD305" s="61"/>
      <c r="DE305" s="61"/>
      <c r="DF305" s="61"/>
      <c r="DG305" s="61"/>
      <c r="DH305" s="61"/>
      <c r="DI305" s="61"/>
      <c r="DJ305" s="61"/>
      <c r="DK305" s="61"/>
      <c r="DL305" s="61"/>
      <c r="DM305" s="61"/>
      <c r="DN305" s="61"/>
      <c r="DO305" s="61"/>
      <c r="DP305" s="61"/>
      <c r="DQ305" s="61"/>
      <c r="DR305" s="61"/>
      <c r="DS305" s="61"/>
      <c r="DT305" s="61"/>
      <c r="DU305" s="61"/>
      <c r="DV305" s="61"/>
      <c r="DW305" s="61"/>
      <c r="DX305" s="61"/>
      <c r="DY305" s="61"/>
      <c r="DZ305" s="61"/>
      <c r="EA305" s="61"/>
      <c r="EB305" s="61"/>
      <c r="EC305" s="61"/>
      <c r="ED305" s="61"/>
      <c r="EE305" s="61"/>
      <c r="EF305" s="61"/>
      <c r="EG305" s="61"/>
      <c r="EH305" s="61"/>
      <c r="EI305" s="61"/>
      <c r="EJ305" s="61"/>
      <c r="EK305" s="61"/>
      <c r="EL305" s="61"/>
      <c r="EM305" s="61"/>
      <c r="EN305" s="61"/>
      <c r="EO305" s="61"/>
      <c r="EP305" s="61"/>
      <c r="EQ305" s="61"/>
      <c r="ER305" s="61"/>
      <c r="ES305" s="61"/>
      <c r="ET305" s="61"/>
      <c r="EU305" s="61"/>
      <c r="EV305" s="61"/>
      <c r="EW305" s="61"/>
    </row>
    <row r="306" spans="1:153">
      <c r="A306" s="56">
        <v>35886</v>
      </c>
      <c r="B306" s="57"/>
      <c r="C306" s="7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71"/>
      <c r="P306" s="60">
        <v>178.06</v>
      </c>
      <c r="Q306" s="61">
        <v>17.466999999999999</v>
      </c>
      <c r="R306" s="61">
        <v>240.61199999999999</v>
      </c>
      <c r="S306" s="61">
        <v>550.08000000000004</v>
      </c>
      <c r="T306" s="61">
        <v>291.71499999999997</v>
      </c>
      <c r="U306" s="61">
        <v>10.788</v>
      </c>
      <c r="V306" s="61">
        <v>6.0880000000000001</v>
      </c>
      <c r="W306" s="61">
        <v>0.876</v>
      </c>
      <c r="X306" s="61">
        <v>178.06</v>
      </c>
      <c r="Y306" s="61">
        <v>45.084000000000003</v>
      </c>
      <c r="Z306" s="61">
        <v>16.07</v>
      </c>
      <c r="AA306" s="61">
        <v>239.214</v>
      </c>
      <c r="AB306" s="60">
        <v>548.68299999999999</v>
      </c>
      <c r="AC306" s="62"/>
      <c r="AD306" s="61"/>
      <c r="AE306" s="61"/>
      <c r="AF306" s="61"/>
      <c r="AG306" s="61"/>
      <c r="AH306" s="61"/>
      <c r="AI306" s="61"/>
      <c r="AJ306" s="61"/>
      <c r="AK306" s="62"/>
      <c r="AL306" s="63"/>
      <c r="AM306" s="64"/>
      <c r="AN306" s="65" t="e">
        <v>#N/A</v>
      </c>
      <c r="AO306" s="61" t="e">
        <v>#N/A</v>
      </c>
      <c r="AP306" s="61" t="e">
        <v>#N/A</v>
      </c>
      <c r="AQ306" s="61" t="e">
        <v>#N/A</v>
      </c>
      <c r="AR306" s="61" t="e">
        <v>#N/A</v>
      </c>
      <c r="AS306" s="61" t="e">
        <v>#N/A</v>
      </c>
      <c r="AT306" s="61" t="e">
        <v>#N/A</v>
      </c>
      <c r="AU306" s="61" t="e">
        <v>#N/A</v>
      </c>
      <c r="AV306" s="61" t="e">
        <v>#N/A</v>
      </c>
      <c r="AW306" s="61" t="e">
        <v>#N/A</v>
      </c>
      <c r="AX306" s="65" t="e">
        <v>#N/A</v>
      </c>
      <c r="AY306" s="66">
        <v>0.63300000000000001</v>
      </c>
      <c r="AZ306" s="61">
        <v>5.4779999999999998</v>
      </c>
      <c r="BA306" s="61">
        <v>31.233000000000001</v>
      </c>
      <c r="BB306" s="61">
        <v>37.344000000000001</v>
      </c>
      <c r="BC306" s="61">
        <v>0.109</v>
      </c>
      <c r="BD306" s="61">
        <v>0.58399999999999996</v>
      </c>
      <c r="BE306" s="61">
        <v>3.6999999999999998E-2</v>
      </c>
      <c r="BF306" s="61" t="s">
        <v>122</v>
      </c>
      <c r="BG306" s="61">
        <v>5.26</v>
      </c>
      <c r="BH306" s="61">
        <v>4.5199999999999996</v>
      </c>
      <c r="BI306" s="61">
        <v>2.1000000000000001E-2</v>
      </c>
      <c r="BJ306" s="61">
        <v>9.8010000000000002</v>
      </c>
      <c r="BK306" s="66">
        <v>10.53</v>
      </c>
      <c r="BL306" s="67">
        <v>8.4809999999999999</v>
      </c>
      <c r="BM306" s="61" t="s">
        <v>121</v>
      </c>
      <c r="BN306" s="61" t="s">
        <v>121</v>
      </c>
      <c r="BO306" s="61" t="s">
        <v>121</v>
      </c>
      <c r="BP306" s="61">
        <v>8.4809999999999999</v>
      </c>
      <c r="BQ306" s="61">
        <v>286.78100000000001</v>
      </c>
      <c r="BR306" s="61">
        <v>9.3249999999999993</v>
      </c>
      <c r="BS306" s="61">
        <v>0.56599999999999995</v>
      </c>
      <c r="BT306" s="61">
        <v>0.876</v>
      </c>
      <c r="BU306" s="61">
        <v>11.087999999999999</v>
      </c>
      <c r="BV306" s="61">
        <v>25.687999999999999</v>
      </c>
      <c r="BW306" s="61">
        <v>36.776000000000003</v>
      </c>
      <c r="BX306" s="67">
        <v>334.32400000000001</v>
      </c>
      <c r="BY306" s="68">
        <v>104031</v>
      </c>
      <c r="BZ306" s="68">
        <v>103945</v>
      </c>
      <c r="CA306" s="69">
        <v>6267</v>
      </c>
      <c r="CB306" s="68">
        <v>125313</v>
      </c>
      <c r="CC306" s="68">
        <v>5585</v>
      </c>
      <c r="CD306" s="61"/>
      <c r="CE306" s="64"/>
      <c r="CF306" s="64"/>
      <c r="CG306" s="70">
        <f t="shared" si="21"/>
        <v>5263.1459999999997</v>
      </c>
      <c r="CH306" s="70">
        <f t="shared" si="22"/>
        <v>263.214</v>
      </c>
      <c r="CI306" s="70">
        <f t="shared" si="23"/>
        <v>234.57</v>
      </c>
      <c r="CJ306" s="70">
        <f t="shared" si="25"/>
        <v>4369.3019999999997</v>
      </c>
      <c r="CK306" s="70">
        <f t="shared" si="25"/>
        <v>4365.6899999999996</v>
      </c>
      <c r="CL306" s="70">
        <f t="shared" si="24"/>
        <v>234.57</v>
      </c>
      <c r="CM306" s="61"/>
      <c r="CN306" s="61"/>
      <c r="CO306" s="61"/>
      <c r="CP306" s="61"/>
      <c r="CQ306" s="61"/>
      <c r="CR306" s="61"/>
      <c r="CS306" s="61"/>
      <c r="CT306" s="61"/>
      <c r="CU306" s="61"/>
      <c r="CV306" s="61"/>
      <c r="CW306" s="61"/>
      <c r="CX306" s="61"/>
      <c r="CY306" s="61"/>
      <c r="CZ306" s="61"/>
      <c r="DA306" s="61"/>
      <c r="DB306" s="61"/>
      <c r="DC306" s="61"/>
      <c r="DD306" s="61"/>
      <c r="DE306" s="61"/>
      <c r="DF306" s="61"/>
      <c r="DG306" s="61"/>
      <c r="DH306" s="61"/>
      <c r="DI306" s="61"/>
      <c r="DJ306" s="61"/>
      <c r="DK306" s="61"/>
      <c r="DL306" s="61"/>
      <c r="DM306" s="61"/>
      <c r="DN306" s="61"/>
      <c r="DO306" s="61"/>
      <c r="DP306" s="61"/>
      <c r="DQ306" s="61"/>
      <c r="DR306" s="61"/>
      <c r="DS306" s="61"/>
      <c r="DT306" s="61"/>
      <c r="DU306" s="61"/>
      <c r="DV306" s="61"/>
      <c r="DW306" s="61"/>
      <c r="DX306" s="61"/>
      <c r="DY306" s="61"/>
      <c r="DZ306" s="61"/>
      <c r="EA306" s="61"/>
      <c r="EB306" s="61"/>
      <c r="EC306" s="61"/>
      <c r="ED306" s="61"/>
      <c r="EE306" s="61"/>
      <c r="EF306" s="61"/>
      <c r="EG306" s="61"/>
      <c r="EH306" s="61"/>
      <c r="EI306" s="61"/>
      <c r="EJ306" s="61"/>
      <c r="EK306" s="61"/>
      <c r="EL306" s="61"/>
      <c r="EM306" s="61"/>
      <c r="EN306" s="61"/>
      <c r="EO306" s="61"/>
      <c r="EP306" s="61"/>
      <c r="EQ306" s="61"/>
      <c r="ER306" s="61"/>
      <c r="ES306" s="61"/>
      <c r="ET306" s="61"/>
      <c r="EU306" s="61"/>
      <c r="EV306" s="61"/>
      <c r="EW306" s="61"/>
    </row>
    <row r="307" spans="1:153">
      <c r="A307" s="56">
        <v>35916</v>
      </c>
      <c r="B307" s="57"/>
      <c r="C307" s="7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71"/>
      <c r="P307" s="60">
        <v>186.62200000000001</v>
      </c>
      <c r="Q307" s="61">
        <v>14.75</v>
      </c>
      <c r="R307" s="61">
        <v>250.239</v>
      </c>
      <c r="S307" s="61">
        <v>606.58799999999997</v>
      </c>
      <c r="T307" s="61">
        <v>338.49900000000002</v>
      </c>
      <c r="U307" s="61">
        <v>9.9079999999999995</v>
      </c>
      <c r="V307" s="61">
        <v>6.4809999999999999</v>
      </c>
      <c r="W307" s="61">
        <v>1.4610000000000001</v>
      </c>
      <c r="X307" s="61">
        <v>186.62200000000001</v>
      </c>
      <c r="Y307" s="61">
        <v>48.866999999999997</v>
      </c>
      <c r="Z307" s="61">
        <v>13.976000000000001</v>
      </c>
      <c r="AA307" s="61">
        <v>249.46600000000001</v>
      </c>
      <c r="AB307" s="60">
        <v>605.81500000000005</v>
      </c>
      <c r="AC307" s="62"/>
      <c r="AD307" s="61"/>
      <c r="AE307" s="61"/>
      <c r="AF307" s="61"/>
      <c r="AG307" s="61"/>
      <c r="AH307" s="61"/>
      <c r="AI307" s="61"/>
      <c r="AJ307" s="61"/>
      <c r="AK307" s="62"/>
      <c r="AL307" s="63"/>
      <c r="AM307" s="64"/>
      <c r="AN307" s="65" t="e">
        <v>#N/A</v>
      </c>
      <c r="AO307" s="61" t="e">
        <v>#N/A</v>
      </c>
      <c r="AP307" s="61" t="e">
        <v>#N/A</v>
      </c>
      <c r="AQ307" s="61" t="e">
        <v>#N/A</v>
      </c>
      <c r="AR307" s="61" t="e">
        <v>#N/A</v>
      </c>
      <c r="AS307" s="61" t="e">
        <v>#N/A</v>
      </c>
      <c r="AT307" s="61" t="e">
        <v>#N/A</v>
      </c>
      <c r="AU307" s="61" t="e">
        <v>#N/A</v>
      </c>
      <c r="AV307" s="61" t="e">
        <v>#N/A</v>
      </c>
      <c r="AW307" s="61" t="e">
        <v>#N/A</v>
      </c>
      <c r="AX307" s="65" t="e">
        <v>#N/A</v>
      </c>
      <c r="AY307" s="66">
        <v>0.65400000000000003</v>
      </c>
      <c r="AZ307" s="61">
        <v>6.0469999999999997</v>
      </c>
      <c r="BA307" s="61">
        <v>32.274000000000001</v>
      </c>
      <c r="BB307" s="61">
        <v>38.975000000000001</v>
      </c>
      <c r="BC307" s="61">
        <v>0.126</v>
      </c>
      <c r="BD307" s="61">
        <v>0.60299999999999998</v>
      </c>
      <c r="BE307" s="61">
        <v>0.04</v>
      </c>
      <c r="BF307" s="61" t="s">
        <v>122</v>
      </c>
      <c r="BG307" s="61">
        <v>5.4379999999999997</v>
      </c>
      <c r="BH307" s="61">
        <v>4.9770000000000003</v>
      </c>
      <c r="BI307" s="61">
        <v>1.9E-2</v>
      </c>
      <c r="BJ307" s="61">
        <v>10.433999999999999</v>
      </c>
      <c r="BK307" s="66">
        <v>11.204000000000001</v>
      </c>
      <c r="BL307" s="67">
        <v>7.5620000000000003</v>
      </c>
      <c r="BM307" s="61" t="s">
        <v>121</v>
      </c>
      <c r="BN307" s="61" t="s">
        <v>121</v>
      </c>
      <c r="BO307" s="61" t="s">
        <v>121</v>
      </c>
      <c r="BP307" s="61">
        <v>7.5620000000000003</v>
      </c>
      <c r="BQ307" s="61">
        <v>332.77300000000002</v>
      </c>
      <c r="BR307" s="61">
        <v>8.3960000000000008</v>
      </c>
      <c r="BS307" s="61">
        <v>0.38500000000000001</v>
      </c>
      <c r="BT307" s="61">
        <v>1.4610000000000001</v>
      </c>
      <c r="BU307" s="61">
        <v>11.724</v>
      </c>
      <c r="BV307" s="61">
        <v>28.280999999999999</v>
      </c>
      <c r="BW307" s="61">
        <v>40.005000000000003</v>
      </c>
      <c r="BX307" s="67">
        <v>383.02</v>
      </c>
      <c r="BY307" s="68">
        <v>110352</v>
      </c>
      <c r="BZ307" s="68">
        <v>101323</v>
      </c>
      <c r="CA307" s="69">
        <v>5731</v>
      </c>
      <c r="CB307" s="68">
        <v>136325</v>
      </c>
      <c r="CC307" s="68">
        <v>3748</v>
      </c>
      <c r="CD307" s="61"/>
      <c r="CE307" s="64"/>
      <c r="CF307" s="64"/>
      <c r="CG307" s="70">
        <f t="shared" si="21"/>
        <v>5725.65</v>
      </c>
      <c r="CH307" s="70">
        <f t="shared" si="22"/>
        <v>240.702</v>
      </c>
      <c r="CI307" s="70">
        <f t="shared" si="23"/>
        <v>157.416</v>
      </c>
      <c r="CJ307" s="70">
        <f t="shared" si="25"/>
        <v>4634.7839999999997</v>
      </c>
      <c r="CK307" s="70">
        <f t="shared" si="25"/>
        <v>4255.5659999999998</v>
      </c>
      <c r="CL307" s="70">
        <f t="shared" si="24"/>
        <v>157.416</v>
      </c>
      <c r="CM307" s="61"/>
      <c r="CN307" s="61"/>
      <c r="CO307" s="61"/>
      <c r="CP307" s="61"/>
      <c r="CQ307" s="61"/>
      <c r="CR307" s="61"/>
      <c r="CS307" s="61"/>
      <c r="CT307" s="61"/>
      <c r="CU307" s="61"/>
      <c r="CV307" s="61"/>
      <c r="CW307" s="61"/>
      <c r="CX307" s="61"/>
      <c r="CY307" s="61"/>
      <c r="CZ307" s="61"/>
      <c r="DA307" s="61"/>
      <c r="DB307" s="61"/>
      <c r="DC307" s="61"/>
      <c r="DD307" s="61"/>
      <c r="DE307" s="61"/>
      <c r="DF307" s="61"/>
      <c r="DG307" s="61"/>
      <c r="DH307" s="61"/>
      <c r="DI307" s="61"/>
      <c r="DJ307" s="61"/>
      <c r="DK307" s="61"/>
      <c r="DL307" s="61"/>
      <c r="DM307" s="61"/>
      <c r="DN307" s="61"/>
      <c r="DO307" s="61"/>
      <c r="DP307" s="61"/>
      <c r="DQ307" s="61"/>
      <c r="DR307" s="61"/>
      <c r="DS307" s="61"/>
      <c r="DT307" s="61"/>
      <c r="DU307" s="61"/>
      <c r="DV307" s="61"/>
      <c r="DW307" s="61"/>
      <c r="DX307" s="61"/>
      <c r="DY307" s="61"/>
      <c r="DZ307" s="61"/>
      <c r="EA307" s="61"/>
      <c r="EB307" s="61"/>
      <c r="EC307" s="61"/>
      <c r="ED307" s="61"/>
      <c r="EE307" s="61"/>
      <c r="EF307" s="61"/>
      <c r="EG307" s="61"/>
      <c r="EH307" s="61"/>
      <c r="EI307" s="61"/>
      <c r="EJ307" s="61"/>
      <c r="EK307" s="61"/>
      <c r="EL307" s="61"/>
      <c r="EM307" s="61"/>
      <c r="EN307" s="61"/>
      <c r="EO307" s="61"/>
      <c r="EP307" s="61"/>
      <c r="EQ307" s="61"/>
      <c r="ER307" s="61"/>
      <c r="ES307" s="61"/>
      <c r="ET307" s="61"/>
      <c r="EU307" s="61"/>
      <c r="EV307" s="61"/>
      <c r="EW307" s="61"/>
    </row>
    <row r="308" spans="1:153">
      <c r="A308" s="56">
        <v>35947</v>
      </c>
      <c r="B308" s="57"/>
      <c r="C308" s="7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71"/>
      <c r="P308" s="60">
        <v>128.69999999999999</v>
      </c>
      <c r="Q308" s="61">
        <v>16.033000000000001</v>
      </c>
      <c r="R308" s="61">
        <v>186.089</v>
      </c>
      <c r="S308" s="61">
        <v>538.48800000000006</v>
      </c>
      <c r="T308" s="61">
        <v>329.78199999999998</v>
      </c>
      <c r="U308" s="61">
        <v>11.755000000000001</v>
      </c>
      <c r="V308" s="61">
        <v>6.8330000000000002</v>
      </c>
      <c r="W308" s="61">
        <v>4.0270000000000001</v>
      </c>
      <c r="X308" s="61">
        <v>128.69999999999999</v>
      </c>
      <c r="Y308" s="61">
        <v>41.356000000000002</v>
      </c>
      <c r="Z308" s="61">
        <v>15.135</v>
      </c>
      <c r="AA308" s="61">
        <v>185.191</v>
      </c>
      <c r="AB308" s="60">
        <v>537.58900000000006</v>
      </c>
      <c r="AC308" s="62"/>
      <c r="AD308" s="61"/>
      <c r="AE308" s="61"/>
      <c r="AF308" s="61"/>
      <c r="AG308" s="61"/>
      <c r="AH308" s="61"/>
      <c r="AI308" s="61"/>
      <c r="AJ308" s="61"/>
      <c r="AK308" s="62"/>
      <c r="AL308" s="63"/>
      <c r="AM308" s="64"/>
      <c r="AN308" s="65" t="e">
        <v>#N/A</v>
      </c>
      <c r="AO308" s="61" t="e">
        <v>#N/A</v>
      </c>
      <c r="AP308" s="61" t="e">
        <v>#N/A</v>
      </c>
      <c r="AQ308" s="61" t="e">
        <v>#N/A</v>
      </c>
      <c r="AR308" s="61" t="e">
        <v>#N/A</v>
      </c>
      <c r="AS308" s="61" t="e">
        <v>#N/A</v>
      </c>
      <c r="AT308" s="61" t="e">
        <v>#N/A</v>
      </c>
      <c r="AU308" s="61" t="e">
        <v>#N/A</v>
      </c>
      <c r="AV308" s="61" t="e">
        <v>#N/A</v>
      </c>
      <c r="AW308" s="61" t="e">
        <v>#N/A</v>
      </c>
      <c r="AX308" s="65" t="e">
        <v>#N/A</v>
      </c>
      <c r="AY308" s="66">
        <v>0.63300000000000001</v>
      </c>
      <c r="AZ308" s="61">
        <v>6.1020000000000003</v>
      </c>
      <c r="BA308" s="61">
        <v>31.233000000000001</v>
      </c>
      <c r="BB308" s="61">
        <v>37.968000000000004</v>
      </c>
      <c r="BC308" s="61">
        <v>0.123</v>
      </c>
      <c r="BD308" s="61">
        <v>0.58399999999999996</v>
      </c>
      <c r="BE308" s="61">
        <v>4.1000000000000002E-2</v>
      </c>
      <c r="BF308" s="61" t="s">
        <v>122</v>
      </c>
      <c r="BG308" s="61">
        <v>5.2009999999999996</v>
      </c>
      <c r="BH308" s="61">
        <v>4.0199999999999996</v>
      </c>
      <c r="BI308" s="61">
        <v>2.1000000000000001E-2</v>
      </c>
      <c r="BJ308" s="61">
        <v>9.2420000000000009</v>
      </c>
      <c r="BK308" s="66">
        <v>9.9890000000000008</v>
      </c>
      <c r="BL308" s="67">
        <v>8.1630000000000003</v>
      </c>
      <c r="BM308" s="61" t="s">
        <v>121</v>
      </c>
      <c r="BN308" s="61" t="s">
        <v>121</v>
      </c>
      <c r="BO308" s="61" t="s">
        <v>121</v>
      </c>
      <c r="BP308" s="61">
        <v>8.1630000000000003</v>
      </c>
      <c r="BQ308" s="61">
        <v>324.20400000000001</v>
      </c>
      <c r="BR308" s="61">
        <v>10.292</v>
      </c>
      <c r="BS308" s="61">
        <v>0.68200000000000005</v>
      </c>
      <c r="BT308" s="61">
        <v>4.0270000000000001</v>
      </c>
      <c r="BU308" s="61">
        <v>6.0869999999999997</v>
      </c>
      <c r="BV308" s="61">
        <v>22.847000000000001</v>
      </c>
      <c r="BW308" s="61">
        <v>28.934000000000001</v>
      </c>
      <c r="BX308" s="67">
        <v>368.13900000000001</v>
      </c>
      <c r="BY308" s="68">
        <v>105614</v>
      </c>
      <c r="BZ308" s="68">
        <v>107226</v>
      </c>
      <c r="CA308" s="69">
        <v>6072</v>
      </c>
      <c r="CB308" s="68">
        <v>136330</v>
      </c>
      <c r="CC308" s="68">
        <v>4455</v>
      </c>
      <c r="CD308" s="61"/>
      <c r="CE308" s="64"/>
      <c r="CF308" s="64"/>
      <c r="CG308" s="70">
        <f t="shared" si="21"/>
        <v>5725.86</v>
      </c>
      <c r="CH308" s="70">
        <f t="shared" si="22"/>
        <v>255.024</v>
      </c>
      <c r="CI308" s="70">
        <f t="shared" si="23"/>
        <v>187.11</v>
      </c>
      <c r="CJ308" s="70">
        <f t="shared" si="25"/>
        <v>4435.7879999999996</v>
      </c>
      <c r="CK308" s="70">
        <f t="shared" si="25"/>
        <v>4503.4920000000002</v>
      </c>
      <c r="CL308" s="70">
        <f t="shared" si="24"/>
        <v>187.11</v>
      </c>
      <c r="CM308" s="61"/>
      <c r="CN308" s="61"/>
      <c r="CO308" s="61"/>
      <c r="CP308" s="61"/>
      <c r="CQ308" s="61"/>
      <c r="CR308" s="61"/>
      <c r="CS308" s="61"/>
      <c r="CT308" s="61"/>
      <c r="CU308" s="61"/>
      <c r="CV308" s="61"/>
      <c r="CW308" s="61"/>
      <c r="CX308" s="61"/>
      <c r="CY308" s="61"/>
      <c r="CZ308" s="61"/>
      <c r="DA308" s="61"/>
      <c r="DB308" s="61"/>
      <c r="DC308" s="61"/>
      <c r="DD308" s="61"/>
      <c r="DE308" s="61"/>
      <c r="DF308" s="61"/>
      <c r="DG308" s="61"/>
      <c r="DH308" s="61"/>
      <c r="DI308" s="61"/>
      <c r="DJ308" s="61"/>
      <c r="DK308" s="61"/>
      <c r="DL308" s="61"/>
      <c r="DM308" s="61"/>
      <c r="DN308" s="61"/>
      <c r="DO308" s="61"/>
      <c r="DP308" s="61"/>
      <c r="DQ308" s="61"/>
      <c r="DR308" s="61"/>
      <c r="DS308" s="61"/>
      <c r="DT308" s="61"/>
      <c r="DU308" s="61"/>
      <c r="DV308" s="61"/>
      <c r="DW308" s="61"/>
      <c r="DX308" s="61"/>
      <c r="DY308" s="61"/>
      <c r="DZ308" s="61"/>
      <c r="EA308" s="61"/>
      <c r="EB308" s="61"/>
      <c r="EC308" s="61"/>
      <c r="ED308" s="61"/>
      <c r="EE308" s="61"/>
      <c r="EF308" s="61"/>
      <c r="EG308" s="61"/>
      <c r="EH308" s="61"/>
      <c r="EI308" s="61"/>
      <c r="EJ308" s="61"/>
      <c r="EK308" s="61"/>
      <c r="EL308" s="61"/>
      <c r="EM308" s="61"/>
      <c r="EN308" s="61"/>
      <c r="EO308" s="61"/>
      <c r="EP308" s="61"/>
      <c r="EQ308" s="61"/>
      <c r="ER308" s="61"/>
      <c r="ES308" s="61"/>
      <c r="ET308" s="61"/>
      <c r="EU308" s="61"/>
      <c r="EV308" s="61"/>
      <c r="EW308" s="61"/>
    </row>
    <row r="309" spans="1:153">
      <c r="A309" s="56">
        <v>35977</v>
      </c>
      <c r="B309" s="57"/>
      <c r="C309" s="7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71"/>
      <c r="P309" s="60">
        <v>184.548</v>
      </c>
      <c r="Q309" s="61">
        <v>15.64</v>
      </c>
      <c r="R309" s="61">
        <v>246.32599999999999</v>
      </c>
      <c r="S309" s="61">
        <v>565.99400000000003</v>
      </c>
      <c r="T309" s="61">
        <v>292.23700000000002</v>
      </c>
      <c r="U309" s="61">
        <v>14.565</v>
      </c>
      <c r="V309" s="61">
        <v>7.2839999999999998</v>
      </c>
      <c r="W309" s="61">
        <v>5.5819999999999999</v>
      </c>
      <c r="X309" s="61">
        <v>184.548</v>
      </c>
      <c r="Y309" s="61">
        <v>46.139000000000003</v>
      </c>
      <c r="Z309" s="61">
        <v>15.375999999999999</v>
      </c>
      <c r="AA309" s="61">
        <v>246.06200000000001</v>
      </c>
      <c r="AB309" s="60">
        <v>565.73</v>
      </c>
      <c r="AC309" s="62"/>
      <c r="AD309" s="61"/>
      <c r="AE309" s="61"/>
      <c r="AF309" s="61"/>
      <c r="AG309" s="61"/>
      <c r="AH309" s="61"/>
      <c r="AI309" s="61"/>
      <c r="AJ309" s="61"/>
      <c r="AK309" s="62"/>
      <c r="AL309" s="63"/>
      <c r="AM309" s="64"/>
      <c r="AN309" s="65" t="e">
        <v>#N/A</v>
      </c>
      <c r="AO309" s="61" t="e">
        <v>#N/A</v>
      </c>
      <c r="AP309" s="61" t="e">
        <v>#N/A</v>
      </c>
      <c r="AQ309" s="61" t="e">
        <v>#N/A</v>
      </c>
      <c r="AR309" s="61" t="e">
        <v>#N/A</v>
      </c>
      <c r="AS309" s="61" t="e">
        <v>#N/A</v>
      </c>
      <c r="AT309" s="61" t="e">
        <v>#N/A</v>
      </c>
      <c r="AU309" s="61" t="e">
        <v>#N/A</v>
      </c>
      <c r="AV309" s="61" t="e">
        <v>#N/A</v>
      </c>
      <c r="AW309" s="61" t="e">
        <v>#N/A</v>
      </c>
      <c r="AX309" s="65" t="e">
        <v>#N/A</v>
      </c>
      <c r="AY309" s="66">
        <v>0.65400000000000003</v>
      </c>
      <c r="AZ309" s="61">
        <v>6.4059999999999997</v>
      </c>
      <c r="BA309" s="61">
        <v>32.274000000000001</v>
      </c>
      <c r="BB309" s="61">
        <v>39.334000000000003</v>
      </c>
      <c r="BC309" s="61">
        <v>0.109</v>
      </c>
      <c r="BD309" s="61">
        <v>0.60299999999999998</v>
      </c>
      <c r="BE309" s="61">
        <v>4.2999999999999997E-2</v>
      </c>
      <c r="BF309" s="61" t="s">
        <v>122</v>
      </c>
      <c r="BG309" s="61">
        <v>5.4359999999999999</v>
      </c>
      <c r="BH309" s="61">
        <v>4.6109999999999998</v>
      </c>
      <c r="BI309" s="61">
        <v>2.1999999999999999E-2</v>
      </c>
      <c r="BJ309" s="61">
        <v>10.068</v>
      </c>
      <c r="BK309" s="66">
        <v>10.823</v>
      </c>
      <c r="BL309" s="67">
        <v>8.5660000000000007</v>
      </c>
      <c r="BM309" s="61" t="s">
        <v>121</v>
      </c>
      <c r="BN309" s="61" t="s">
        <v>121</v>
      </c>
      <c r="BO309" s="61" t="s">
        <v>121</v>
      </c>
      <c r="BP309" s="61">
        <v>8.5660000000000007</v>
      </c>
      <c r="BQ309" s="61">
        <v>287.29399999999998</v>
      </c>
      <c r="BR309" s="61">
        <v>13.053000000000001</v>
      </c>
      <c r="BS309" s="61">
        <v>0.82599999999999996</v>
      </c>
      <c r="BT309" s="61">
        <v>5.5819999999999999</v>
      </c>
      <c r="BU309" s="61">
        <v>11.513999999999999</v>
      </c>
      <c r="BV309" s="61">
        <v>26.202999999999999</v>
      </c>
      <c r="BW309" s="61">
        <v>37.716000000000001</v>
      </c>
      <c r="BX309" s="67">
        <v>344.471</v>
      </c>
      <c r="BY309" s="68">
        <v>110625</v>
      </c>
      <c r="BZ309" s="68">
        <v>102123</v>
      </c>
      <c r="CA309" s="69">
        <v>7104</v>
      </c>
      <c r="CB309" s="68">
        <v>146952</v>
      </c>
      <c r="CC309" s="68">
        <v>4984</v>
      </c>
      <c r="CD309" s="61"/>
      <c r="CE309" s="64"/>
      <c r="CF309" s="64"/>
      <c r="CG309" s="70">
        <f t="shared" si="21"/>
        <v>6171.9840000000004</v>
      </c>
      <c r="CH309" s="70">
        <f t="shared" si="22"/>
        <v>298.36799999999999</v>
      </c>
      <c r="CI309" s="70">
        <f t="shared" si="23"/>
        <v>209.328</v>
      </c>
      <c r="CJ309" s="70">
        <f t="shared" si="25"/>
        <v>4646.25</v>
      </c>
      <c r="CK309" s="70">
        <f t="shared" si="25"/>
        <v>4289.1660000000002</v>
      </c>
      <c r="CL309" s="70">
        <f t="shared" si="24"/>
        <v>209.328</v>
      </c>
      <c r="CM309" s="61"/>
      <c r="CN309" s="61"/>
      <c r="CO309" s="61"/>
      <c r="CP309" s="61"/>
      <c r="CQ309" s="61"/>
      <c r="CR309" s="61"/>
      <c r="CS309" s="61"/>
      <c r="CT309" s="61"/>
      <c r="CU309" s="61"/>
      <c r="CV309" s="61"/>
      <c r="CW309" s="61"/>
      <c r="CX309" s="61"/>
      <c r="CY309" s="61"/>
      <c r="CZ309" s="61"/>
      <c r="DA309" s="61"/>
      <c r="DB309" s="61"/>
      <c r="DC309" s="61"/>
      <c r="DD309" s="61"/>
      <c r="DE309" s="61"/>
      <c r="DF309" s="61"/>
      <c r="DG309" s="61"/>
      <c r="DH309" s="61"/>
      <c r="DI309" s="61"/>
      <c r="DJ309" s="61"/>
      <c r="DK309" s="61"/>
      <c r="DL309" s="61"/>
      <c r="DM309" s="61"/>
      <c r="DN309" s="61"/>
      <c r="DO309" s="61"/>
      <c r="DP309" s="61"/>
      <c r="DQ309" s="61"/>
      <c r="DR309" s="61"/>
      <c r="DS309" s="61"/>
      <c r="DT309" s="61"/>
      <c r="DU309" s="61"/>
      <c r="DV309" s="61"/>
      <c r="DW309" s="61"/>
      <c r="DX309" s="61"/>
      <c r="DY309" s="61"/>
      <c r="DZ309" s="61"/>
      <c r="EA309" s="61"/>
      <c r="EB309" s="61"/>
      <c r="EC309" s="61"/>
      <c r="ED309" s="61"/>
      <c r="EE309" s="61"/>
      <c r="EF309" s="61"/>
      <c r="EG309" s="61"/>
      <c r="EH309" s="61"/>
      <c r="EI309" s="61"/>
      <c r="EJ309" s="61"/>
      <c r="EK309" s="61"/>
      <c r="EL309" s="61"/>
      <c r="EM309" s="61"/>
      <c r="EN309" s="61"/>
      <c r="EO309" s="61"/>
      <c r="EP309" s="61"/>
      <c r="EQ309" s="61"/>
      <c r="ER309" s="61"/>
      <c r="ES309" s="61"/>
      <c r="ET309" s="61"/>
      <c r="EU309" s="61"/>
      <c r="EV309" s="61"/>
      <c r="EW309" s="61"/>
    </row>
    <row r="310" spans="1:153">
      <c r="A310" s="56">
        <v>36008</v>
      </c>
      <c r="B310" s="57"/>
      <c r="C310" s="7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71"/>
      <c r="P310" s="60">
        <v>191.75800000000001</v>
      </c>
      <c r="Q310" s="61">
        <v>16.268999999999998</v>
      </c>
      <c r="R310" s="61">
        <v>254.23699999999999</v>
      </c>
      <c r="S310" s="61">
        <v>537.28300000000002</v>
      </c>
      <c r="T310" s="61">
        <v>256.05500000000001</v>
      </c>
      <c r="U310" s="61">
        <v>15.558</v>
      </c>
      <c r="V310" s="61">
        <v>7.1340000000000003</v>
      </c>
      <c r="W310" s="61">
        <v>4.2990000000000004</v>
      </c>
      <c r="X310" s="61">
        <v>191.75800000000001</v>
      </c>
      <c r="Y310" s="61">
        <v>46.21</v>
      </c>
      <c r="Z310" s="61">
        <v>16.221</v>
      </c>
      <c r="AA310" s="61">
        <v>254.18899999999999</v>
      </c>
      <c r="AB310" s="60">
        <v>537.23500000000001</v>
      </c>
      <c r="AC310" s="62"/>
      <c r="AD310" s="61"/>
      <c r="AE310" s="61"/>
      <c r="AF310" s="61"/>
      <c r="AG310" s="61"/>
      <c r="AH310" s="61"/>
      <c r="AI310" s="61"/>
      <c r="AJ310" s="61"/>
      <c r="AK310" s="62"/>
      <c r="AL310" s="63"/>
      <c r="AM310" s="64"/>
      <c r="AN310" s="65" t="e">
        <v>#N/A</v>
      </c>
      <c r="AO310" s="61" t="e">
        <v>#N/A</v>
      </c>
      <c r="AP310" s="61" t="e">
        <v>#N/A</v>
      </c>
      <c r="AQ310" s="61" t="e">
        <v>#N/A</v>
      </c>
      <c r="AR310" s="61" t="e">
        <v>#N/A</v>
      </c>
      <c r="AS310" s="61" t="e">
        <v>#N/A</v>
      </c>
      <c r="AT310" s="61" t="e">
        <v>#N/A</v>
      </c>
      <c r="AU310" s="61" t="e">
        <v>#N/A</v>
      </c>
      <c r="AV310" s="61" t="e">
        <v>#N/A</v>
      </c>
      <c r="AW310" s="61" t="e">
        <v>#N/A</v>
      </c>
      <c r="AX310" s="65" t="e">
        <v>#N/A</v>
      </c>
      <c r="AY310" s="66">
        <v>0.65400000000000003</v>
      </c>
      <c r="AZ310" s="61">
        <v>6.3390000000000004</v>
      </c>
      <c r="BA310" s="61">
        <v>32.274000000000001</v>
      </c>
      <c r="BB310" s="61">
        <v>39.267000000000003</v>
      </c>
      <c r="BC310" s="61">
        <v>9.5000000000000001E-2</v>
      </c>
      <c r="BD310" s="61">
        <v>0.60299999999999998</v>
      </c>
      <c r="BE310" s="61">
        <v>4.2000000000000003E-2</v>
      </c>
      <c r="BF310" s="61" t="s">
        <v>122</v>
      </c>
      <c r="BG310" s="61">
        <v>5.444</v>
      </c>
      <c r="BH310" s="61">
        <v>4.62</v>
      </c>
      <c r="BI310" s="61">
        <v>2.3E-2</v>
      </c>
      <c r="BJ310" s="61">
        <v>10.087999999999999</v>
      </c>
      <c r="BK310" s="66">
        <v>10.829000000000001</v>
      </c>
      <c r="BL310" s="67">
        <v>9.1329999999999991</v>
      </c>
      <c r="BM310" s="61" t="s">
        <v>121</v>
      </c>
      <c r="BN310" s="61" t="s">
        <v>121</v>
      </c>
      <c r="BO310" s="61" t="s">
        <v>121</v>
      </c>
      <c r="BP310" s="61">
        <v>9.1329999999999991</v>
      </c>
      <c r="BQ310" s="61">
        <v>251.72399999999999</v>
      </c>
      <c r="BR310" s="61">
        <v>14.047000000000001</v>
      </c>
      <c r="BS310" s="61">
        <v>0.74299999999999999</v>
      </c>
      <c r="BT310" s="61">
        <v>4.2990000000000004</v>
      </c>
      <c r="BU310" s="61">
        <v>12.244</v>
      </c>
      <c r="BV310" s="61">
        <v>26.257000000000001</v>
      </c>
      <c r="BW310" s="61">
        <v>38.500999999999998</v>
      </c>
      <c r="BX310" s="67">
        <v>309.31400000000002</v>
      </c>
      <c r="BY310" s="68">
        <v>107943</v>
      </c>
      <c r="BZ310" s="68">
        <v>106838</v>
      </c>
      <c r="CA310" s="69">
        <v>5624</v>
      </c>
      <c r="CB310" s="68">
        <v>149042</v>
      </c>
      <c r="CC310" s="68">
        <v>4639</v>
      </c>
      <c r="CD310" s="61"/>
      <c r="CE310" s="64"/>
      <c r="CF310" s="64"/>
      <c r="CG310" s="70">
        <f t="shared" si="21"/>
        <v>6259.7640000000001</v>
      </c>
      <c r="CH310" s="70">
        <f t="shared" si="22"/>
        <v>236.208</v>
      </c>
      <c r="CI310" s="70">
        <f t="shared" si="23"/>
        <v>194.83799999999999</v>
      </c>
      <c r="CJ310" s="70">
        <f t="shared" si="25"/>
        <v>4533.6059999999998</v>
      </c>
      <c r="CK310" s="70">
        <f t="shared" si="25"/>
        <v>4487.1959999999999</v>
      </c>
      <c r="CL310" s="70">
        <f t="shared" si="24"/>
        <v>194.83799999999999</v>
      </c>
      <c r="CM310" s="61"/>
      <c r="CN310" s="61"/>
      <c r="CO310" s="61"/>
      <c r="CP310" s="61"/>
      <c r="CQ310" s="61"/>
      <c r="CR310" s="61"/>
      <c r="CS310" s="61"/>
      <c r="CT310" s="61"/>
      <c r="CU310" s="61"/>
      <c r="CV310" s="61"/>
      <c r="CW310" s="61"/>
      <c r="CX310" s="61"/>
      <c r="CY310" s="61"/>
      <c r="CZ310" s="61"/>
      <c r="DA310" s="61"/>
      <c r="DB310" s="61"/>
      <c r="DC310" s="61"/>
      <c r="DD310" s="61"/>
      <c r="DE310" s="61"/>
      <c r="DF310" s="61"/>
      <c r="DG310" s="61"/>
      <c r="DH310" s="61"/>
      <c r="DI310" s="61"/>
      <c r="DJ310" s="61"/>
      <c r="DK310" s="61"/>
      <c r="DL310" s="61"/>
      <c r="DM310" s="61"/>
      <c r="DN310" s="61"/>
      <c r="DO310" s="61"/>
      <c r="DP310" s="61"/>
      <c r="DQ310" s="61"/>
      <c r="DR310" s="61"/>
      <c r="DS310" s="61"/>
      <c r="DT310" s="61"/>
      <c r="DU310" s="61"/>
      <c r="DV310" s="61"/>
      <c r="DW310" s="61"/>
      <c r="DX310" s="61"/>
      <c r="DY310" s="61"/>
      <c r="DZ310" s="61"/>
      <c r="EA310" s="61"/>
      <c r="EB310" s="61"/>
      <c r="EC310" s="61"/>
      <c r="ED310" s="61"/>
      <c r="EE310" s="61"/>
      <c r="EF310" s="61"/>
      <c r="EG310" s="61"/>
      <c r="EH310" s="61"/>
      <c r="EI310" s="61"/>
      <c r="EJ310" s="61"/>
      <c r="EK310" s="61"/>
      <c r="EL310" s="61"/>
      <c r="EM310" s="61"/>
      <c r="EN310" s="61"/>
      <c r="EO310" s="61"/>
      <c r="EP310" s="61"/>
      <c r="EQ310" s="61"/>
      <c r="ER310" s="61"/>
      <c r="ES310" s="61"/>
      <c r="ET310" s="61"/>
      <c r="EU310" s="61"/>
      <c r="EV310" s="61"/>
      <c r="EW310" s="61"/>
    </row>
    <row r="311" spans="1:153">
      <c r="A311" s="56">
        <v>36039</v>
      </c>
      <c r="B311" s="57"/>
      <c r="C311" s="7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71"/>
      <c r="P311" s="60">
        <v>186.47900000000001</v>
      </c>
      <c r="Q311" s="61">
        <v>17.262</v>
      </c>
      <c r="R311" s="61">
        <v>248.27</v>
      </c>
      <c r="S311" s="61">
        <v>487.10599999999999</v>
      </c>
      <c r="T311" s="61">
        <v>212.36799999999999</v>
      </c>
      <c r="U311" s="61">
        <v>15.259</v>
      </c>
      <c r="V311" s="61">
        <v>6.3579999999999997</v>
      </c>
      <c r="W311" s="61">
        <v>4.8520000000000003</v>
      </c>
      <c r="X311" s="61">
        <v>186.47900000000001</v>
      </c>
      <c r="Y311" s="61">
        <v>44.53</v>
      </c>
      <c r="Z311" s="61">
        <v>16.908000000000001</v>
      </c>
      <c r="AA311" s="61">
        <v>247.917</v>
      </c>
      <c r="AB311" s="60">
        <v>486.75299999999999</v>
      </c>
      <c r="AC311" s="62"/>
      <c r="AD311" s="61"/>
      <c r="AE311" s="61"/>
      <c r="AF311" s="61"/>
      <c r="AG311" s="61"/>
      <c r="AH311" s="61"/>
      <c r="AI311" s="61"/>
      <c r="AJ311" s="61"/>
      <c r="AK311" s="62"/>
      <c r="AL311" s="63"/>
      <c r="AM311" s="64"/>
      <c r="AN311" s="65" t="e">
        <v>#N/A</v>
      </c>
      <c r="AO311" s="61" t="e">
        <v>#N/A</v>
      </c>
      <c r="AP311" s="61" t="e">
        <v>#N/A</v>
      </c>
      <c r="AQ311" s="61" t="e">
        <v>#N/A</v>
      </c>
      <c r="AR311" s="61" t="e">
        <v>#N/A</v>
      </c>
      <c r="AS311" s="61" t="e">
        <v>#N/A</v>
      </c>
      <c r="AT311" s="61" t="e">
        <v>#N/A</v>
      </c>
      <c r="AU311" s="61" t="e">
        <v>#N/A</v>
      </c>
      <c r="AV311" s="61" t="e">
        <v>#N/A</v>
      </c>
      <c r="AW311" s="61" t="e">
        <v>#N/A</v>
      </c>
      <c r="AX311" s="65" t="e">
        <v>#N/A</v>
      </c>
      <c r="AY311" s="66">
        <v>0.63300000000000001</v>
      </c>
      <c r="AZ311" s="61">
        <v>5.782</v>
      </c>
      <c r="BA311" s="61">
        <v>31.233000000000001</v>
      </c>
      <c r="BB311" s="61">
        <v>37.646999999999998</v>
      </c>
      <c r="BC311" s="61">
        <v>7.9000000000000001E-2</v>
      </c>
      <c r="BD311" s="61">
        <v>0.58399999999999996</v>
      </c>
      <c r="BE311" s="61">
        <v>3.9E-2</v>
      </c>
      <c r="BF311" s="61" t="s">
        <v>122</v>
      </c>
      <c r="BG311" s="61">
        <v>5.27</v>
      </c>
      <c r="BH311" s="61">
        <v>4.4459999999999997</v>
      </c>
      <c r="BI311" s="61">
        <v>2.4E-2</v>
      </c>
      <c r="BJ311" s="61">
        <v>9.7390000000000008</v>
      </c>
      <c r="BK311" s="66">
        <v>10.441000000000001</v>
      </c>
      <c r="BL311" s="67">
        <v>9.3930000000000007</v>
      </c>
      <c r="BM311" s="61" t="s">
        <v>121</v>
      </c>
      <c r="BN311" s="61" t="s">
        <v>121</v>
      </c>
      <c r="BO311" s="61" t="s">
        <v>121</v>
      </c>
      <c r="BP311" s="61">
        <v>9.3930000000000007</v>
      </c>
      <c r="BQ311" s="61">
        <v>208.77500000000001</v>
      </c>
      <c r="BR311" s="61">
        <v>13.795999999999999</v>
      </c>
      <c r="BS311" s="61">
        <v>0.52900000000000003</v>
      </c>
      <c r="BT311" s="61">
        <v>4.8520000000000003</v>
      </c>
      <c r="BU311" s="61">
        <v>11.941000000000001</v>
      </c>
      <c r="BV311" s="61">
        <v>25.265999999999998</v>
      </c>
      <c r="BW311" s="61">
        <v>37.207000000000001</v>
      </c>
      <c r="BX311" s="67">
        <v>265.15899999999999</v>
      </c>
      <c r="BY311" s="68">
        <v>101964</v>
      </c>
      <c r="BZ311" s="68">
        <v>101296</v>
      </c>
      <c r="CA311" s="69">
        <v>6103</v>
      </c>
      <c r="CB311" s="68">
        <v>152592</v>
      </c>
      <c r="CC311" s="68">
        <v>3221</v>
      </c>
      <c r="CD311" s="61"/>
      <c r="CE311" s="64"/>
      <c r="CF311" s="64"/>
      <c r="CG311" s="70">
        <f t="shared" si="21"/>
        <v>6408.8639999999996</v>
      </c>
      <c r="CH311" s="70">
        <f t="shared" si="22"/>
        <v>256.32600000000002</v>
      </c>
      <c r="CI311" s="70">
        <f t="shared" si="23"/>
        <v>135.28200000000001</v>
      </c>
      <c r="CJ311" s="70">
        <f t="shared" si="25"/>
        <v>4282.4880000000003</v>
      </c>
      <c r="CK311" s="70">
        <f t="shared" si="25"/>
        <v>4254.4319999999998</v>
      </c>
      <c r="CL311" s="70">
        <f t="shared" si="24"/>
        <v>135.28200000000001</v>
      </c>
      <c r="CM311" s="61"/>
      <c r="CN311" s="61"/>
      <c r="CO311" s="61"/>
      <c r="CP311" s="61"/>
      <c r="CQ311" s="61"/>
      <c r="CR311" s="61"/>
      <c r="CS311" s="61"/>
      <c r="CT311" s="61"/>
      <c r="CU311" s="61"/>
      <c r="CV311" s="61"/>
      <c r="CW311" s="61"/>
      <c r="CX311" s="61"/>
      <c r="CY311" s="61"/>
      <c r="CZ311" s="61"/>
      <c r="DA311" s="61"/>
      <c r="DB311" s="61"/>
      <c r="DC311" s="61"/>
      <c r="DD311" s="61"/>
      <c r="DE311" s="61"/>
      <c r="DF311" s="61"/>
      <c r="DG311" s="61"/>
      <c r="DH311" s="61"/>
      <c r="DI311" s="61"/>
      <c r="DJ311" s="61"/>
      <c r="DK311" s="61"/>
      <c r="DL311" s="61"/>
      <c r="DM311" s="61"/>
      <c r="DN311" s="61"/>
      <c r="DO311" s="61"/>
      <c r="DP311" s="61"/>
      <c r="DQ311" s="61"/>
      <c r="DR311" s="61"/>
      <c r="DS311" s="61"/>
      <c r="DT311" s="61"/>
      <c r="DU311" s="61"/>
      <c r="DV311" s="61"/>
      <c r="DW311" s="61"/>
      <c r="DX311" s="61"/>
      <c r="DY311" s="61"/>
      <c r="DZ311" s="61"/>
      <c r="EA311" s="61"/>
      <c r="EB311" s="61"/>
      <c r="EC311" s="61"/>
      <c r="ED311" s="61"/>
      <c r="EE311" s="61"/>
      <c r="EF311" s="61"/>
      <c r="EG311" s="61"/>
      <c r="EH311" s="61"/>
      <c r="EI311" s="61"/>
      <c r="EJ311" s="61"/>
      <c r="EK311" s="61"/>
      <c r="EL311" s="61"/>
      <c r="EM311" s="61"/>
      <c r="EN311" s="61"/>
      <c r="EO311" s="61"/>
      <c r="EP311" s="61"/>
      <c r="EQ311" s="61"/>
      <c r="ER311" s="61"/>
      <c r="ES311" s="61"/>
      <c r="ET311" s="61"/>
      <c r="EU311" s="61"/>
      <c r="EV311" s="61"/>
      <c r="EW311" s="61"/>
    </row>
    <row r="312" spans="1:153">
      <c r="A312" s="56">
        <v>36069</v>
      </c>
      <c r="B312" s="57"/>
      <c r="C312" s="7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71"/>
      <c r="P312" s="60">
        <v>202.005</v>
      </c>
      <c r="Q312" s="61">
        <v>17.655000000000001</v>
      </c>
      <c r="R312" s="61">
        <v>267.92200000000003</v>
      </c>
      <c r="S312" s="61">
        <v>485.97399999999999</v>
      </c>
      <c r="T312" s="61">
        <v>192.56700000000001</v>
      </c>
      <c r="U312" s="61">
        <v>16.742999999999999</v>
      </c>
      <c r="V312" s="61">
        <v>5.6950000000000003</v>
      </c>
      <c r="W312" s="61">
        <v>3.0470000000000002</v>
      </c>
      <c r="X312" s="61">
        <v>202.005</v>
      </c>
      <c r="Y312" s="61">
        <v>48.262</v>
      </c>
      <c r="Z312" s="61">
        <v>18.484000000000002</v>
      </c>
      <c r="AA312" s="61">
        <v>268.75099999999998</v>
      </c>
      <c r="AB312" s="60">
        <v>486.803</v>
      </c>
      <c r="AC312" s="62"/>
      <c r="AD312" s="61"/>
      <c r="AE312" s="61"/>
      <c r="AF312" s="61"/>
      <c r="AG312" s="61"/>
      <c r="AH312" s="61"/>
      <c r="AI312" s="61"/>
      <c r="AJ312" s="61"/>
      <c r="AK312" s="62"/>
      <c r="AL312" s="63"/>
      <c r="AM312" s="64"/>
      <c r="AN312" s="65" t="e">
        <v>#N/A</v>
      </c>
      <c r="AO312" s="61" t="e">
        <v>#N/A</v>
      </c>
      <c r="AP312" s="61" t="e">
        <v>#N/A</v>
      </c>
      <c r="AQ312" s="61" t="e">
        <v>#N/A</v>
      </c>
      <c r="AR312" s="61" t="e">
        <v>#N/A</v>
      </c>
      <c r="AS312" s="61" t="e">
        <v>#N/A</v>
      </c>
      <c r="AT312" s="61" t="e">
        <v>#N/A</v>
      </c>
      <c r="AU312" s="61" t="e">
        <v>#N/A</v>
      </c>
      <c r="AV312" s="61" t="e">
        <v>#N/A</v>
      </c>
      <c r="AW312" s="61" t="e">
        <v>#N/A</v>
      </c>
      <c r="AX312" s="65" t="e">
        <v>#N/A</v>
      </c>
      <c r="AY312" s="66">
        <v>0.65400000000000003</v>
      </c>
      <c r="AZ312" s="61">
        <v>5.2690000000000001</v>
      </c>
      <c r="BA312" s="61">
        <v>32.274000000000001</v>
      </c>
      <c r="BB312" s="61">
        <v>38.197000000000003</v>
      </c>
      <c r="BC312" s="61">
        <v>7.1999999999999995E-2</v>
      </c>
      <c r="BD312" s="61">
        <v>0.60299999999999998</v>
      </c>
      <c r="BE312" s="61">
        <v>3.5000000000000003E-2</v>
      </c>
      <c r="BF312" s="61" t="s">
        <v>122</v>
      </c>
      <c r="BG312" s="61">
        <v>5.4569999999999999</v>
      </c>
      <c r="BH312" s="61">
        <v>4.8959999999999999</v>
      </c>
      <c r="BI312" s="61">
        <v>2.7E-2</v>
      </c>
      <c r="BJ312" s="61">
        <v>10.379</v>
      </c>
      <c r="BK312" s="66">
        <v>11.089</v>
      </c>
      <c r="BL312" s="67">
        <v>10.779</v>
      </c>
      <c r="BM312" s="61" t="s">
        <v>121</v>
      </c>
      <c r="BN312" s="61" t="s">
        <v>121</v>
      </c>
      <c r="BO312" s="61" t="s">
        <v>121</v>
      </c>
      <c r="BP312" s="61">
        <v>10.779</v>
      </c>
      <c r="BQ312" s="61">
        <v>189.31</v>
      </c>
      <c r="BR312" s="61">
        <v>15.231</v>
      </c>
      <c r="BS312" s="61">
        <v>0.38300000000000001</v>
      </c>
      <c r="BT312" s="61">
        <v>3.0470000000000002</v>
      </c>
      <c r="BU312" s="61">
        <v>13.282999999999999</v>
      </c>
      <c r="BV312" s="61">
        <v>27.82</v>
      </c>
      <c r="BW312" s="61">
        <v>41.103000000000002</v>
      </c>
      <c r="BX312" s="67">
        <v>249.07300000000001</v>
      </c>
      <c r="BY312" s="68">
        <v>99667</v>
      </c>
      <c r="BZ312" s="68">
        <v>109969</v>
      </c>
      <c r="CA312" s="69">
        <v>7397</v>
      </c>
      <c r="CB312" s="68">
        <v>147356</v>
      </c>
      <c r="CC312" s="68">
        <v>2331</v>
      </c>
      <c r="CD312" s="61"/>
      <c r="CE312" s="64"/>
      <c r="CF312" s="64"/>
      <c r="CG312" s="70">
        <f t="shared" si="21"/>
        <v>6188.9520000000002</v>
      </c>
      <c r="CH312" s="70">
        <f t="shared" si="22"/>
        <v>310.67399999999998</v>
      </c>
      <c r="CI312" s="70">
        <f t="shared" si="23"/>
        <v>97.902000000000001</v>
      </c>
      <c r="CJ312" s="70">
        <f t="shared" si="25"/>
        <v>4186.0140000000001</v>
      </c>
      <c r="CK312" s="70">
        <f t="shared" si="25"/>
        <v>4618.6980000000003</v>
      </c>
      <c r="CL312" s="70">
        <f t="shared" si="24"/>
        <v>97.902000000000001</v>
      </c>
      <c r="CM312" s="61"/>
      <c r="CN312" s="61"/>
      <c r="CO312" s="61"/>
      <c r="CP312" s="61"/>
      <c r="CQ312" s="61"/>
      <c r="CR312" s="61"/>
      <c r="CS312" s="61"/>
      <c r="CT312" s="61"/>
      <c r="CU312" s="61"/>
      <c r="CV312" s="61"/>
      <c r="CW312" s="61"/>
      <c r="CX312" s="61"/>
      <c r="CY312" s="61"/>
      <c r="CZ312" s="61"/>
      <c r="DA312" s="61"/>
      <c r="DB312" s="61"/>
      <c r="DC312" s="61"/>
      <c r="DD312" s="61"/>
      <c r="DE312" s="61"/>
      <c r="DF312" s="61"/>
      <c r="DG312" s="61"/>
      <c r="DH312" s="61"/>
      <c r="DI312" s="61"/>
      <c r="DJ312" s="61"/>
      <c r="DK312" s="61"/>
      <c r="DL312" s="61"/>
      <c r="DM312" s="61"/>
      <c r="DN312" s="61"/>
      <c r="DO312" s="61"/>
      <c r="DP312" s="61"/>
      <c r="DQ312" s="61"/>
      <c r="DR312" s="61"/>
      <c r="DS312" s="61"/>
      <c r="DT312" s="61"/>
      <c r="DU312" s="61"/>
      <c r="DV312" s="61"/>
      <c r="DW312" s="61"/>
      <c r="DX312" s="61"/>
      <c r="DY312" s="61"/>
      <c r="DZ312" s="61"/>
      <c r="EA312" s="61"/>
      <c r="EB312" s="61"/>
      <c r="EC312" s="61"/>
      <c r="ED312" s="61"/>
      <c r="EE312" s="61"/>
      <c r="EF312" s="61"/>
      <c r="EG312" s="61"/>
      <c r="EH312" s="61"/>
      <c r="EI312" s="61"/>
      <c r="EJ312" s="61"/>
      <c r="EK312" s="61"/>
      <c r="EL312" s="61"/>
      <c r="EM312" s="61"/>
      <c r="EN312" s="61"/>
      <c r="EO312" s="61"/>
      <c r="EP312" s="61"/>
      <c r="EQ312" s="61"/>
      <c r="ER312" s="61"/>
      <c r="ES312" s="61"/>
      <c r="ET312" s="61"/>
      <c r="EU312" s="61"/>
      <c r="EV312" s="61"/>
      <c r="EW312" s="61"/>
    </row>
    <row r="313" spans="1:153">
      <c r="A313" s="56">
        <v>36100</v>
      </c>
      <c r="B313" s="57"/>
      <c r="C313" s="7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71"/>
      <c r="P313" s="60">
        <v>171.31</v>
      </c>
      <c r="Q313" s="61">
        <v>17.794</v>
      </c>
      <c r="R313" s="61">
        <v>230.488</v>
      </c>
      <c r="S313" s="61">
        <v>456.08300000000003</v>
      </c>
      <c r="T313" s="61">
        <v>204.15</v>
      </c>
      <c r="U313" s="61">
        <v>15.035</v>
      </c>
      <c r="V313" s="61">
        <v>4.5629999999999997</v>
      </c>
      <c r="W313" s="61">
        <v>1.847</v>
      </c>
      <c r="X313" s="61">
        <v>171.31</v>
      </c>
      <c r="Y313" s="61">
        <v>41.384</v>
      </c>
      <c r="Z313" s="61">
        <v>17.350000000000001</v>
      </c>
      <c r="AA313" s="61">
        <v>230.04400000000001</v>
      </c>
      <c r="AB313" s="60">
        <v>455.63900000000001</v>
      </c>
      <c r="AC313" s="62"/>
      <c r="AD313" s="61"/>
      <c r="AE313" s="61"/>
      <c r="AF313" s="61"/>
      <c r="AG313" s="61"/>
      <c r="AH313" s="61"/>
      <c r="AI313" s="61"/>
      <c r="AJ313" s="61"/>
      <c r="AK313" s="62"/>
      <c r="AL313" s="63"/>
      <c r="AM313" s="64"/>
      <c r="AN313" s="65" t="e">
        <v>#N/A</v>
      </c>
      <c r="AO313" s="61" t="e">
        <v>#N/A</v>
      </c>
      <c r="AP313" s="61" t="e">
        <v>#N/A</v>
      </c>
      <c r="AQ313" s="61" t="e">
        <v>#N/A</v>
      </c>
      <c r="AR313" s="61" t="e">
        <v>#N/A</v>
      </c>
      <c r="AS313" s="61" t="e">
        <v>#N/A</v>
      </c>
      <c r="AT313" s="61" t="e">
        <v>#N/A</v>
      </c>
      <c r="AU313" s="61" t="e">
        <v>#N/A</v>
      </c>
      <c r="AV313" s="61" t="e">
        <v>#N/A</v>
      </c>
      <c r="AW313" s="61" t="e">
        <v>#N/A</v>
      </c>
      <c r="AX313" s="65" t="e">
        <v>#N/A</v>
      </c>
      <c r="AY313" s="66">
        <v>0.63300000000000001</v>
      </c>
      <c r="AZ313" s="61">
        <v>4.3220000000000001</v>
      </c>
      <c r="BA313" s="61">
        <v>31.233000000000001</v>
      </c>
      <c r="BB313" s="61">
        <v>36.188000000000002</v>
      </c>
      <c r="BC313" s="61">
        <v>7.5999999999999998E-2</v>
      </c>
      <c r="BD313" s="61">
        <v>0.58399999999999996</v>
      </c>
      <c r="BE313" s="61">
        <v>2.9000000000000001E-2</v>
      </c>
      <c r="BF313" s="61" t="s">
        <v>122</v>
      </c>
      <c r="BG313" s="61">
        <v>5.2519999999999998</v>
      </c>
      <c r="BH313" s="61">
        <v>4.024</v>
      </c>
      <c r="BI313" s="61">
        <v>2.4E-2</v>
      </c>
      <c r="BJ313" s="61">
        <v>9.3000000000000007</v>
      </c>
      <c r="BK313" s="66">
        <v>9.9890000000000008</v>
      </c>
      <c r="BL313" s="67">
        <v>9.6050000000000004</v>
      </c>
      <c r="BM313" s="61" t="s">
        <v>121</v>
      </c>
      <c r="BN313" s="61" t="s">
        <v>121</v>
      </c>
      <c r="BO313" s="61" t="s">
        <v>121</v>
      </c>
      <c r="BP313" s="61">
        <v>9.6050000000000004</v>
      </c>
      <c r="BQ313" s="61">
        <v>200.697</v>
      </c>
      <c r="BR313" s="61">
        <v>13.571999999999999</v>
      </c>
      <c r="BS313" s="61">
        <v>0.20599999999999999</v>
      </c>
      <c r="BT313" s="61">
        <v>1.847</v>
      </c>
      <c r="BU313" s="61">
        <v>10.404</v>
      </c>
      <c r="BV313" s="61">
        <v>22.869</v>
      </c>
      <c r="BW313" s="61">
        <v>33.273000000000003</v>
      </c>
      <c r="BX313" s="67">
        <v>249.59399999999999</v>
      </c>
      <c r="BY313" s="68">
        <v>103148</v>
      </c>
      <c r="BZ313" s="68">
        <v>99615</v>
      </c>
      <c r="CA313" s="69">
        <v>5370</v>
      </c>
      <c r="CB313" s="68">
        <v>154625</v>
      </c>
      <c r="CC313" s="68">
        <v>1634</v>
      </c>
      <c r="CD313" s="61"/>
      <c r="CE313" s="64"/>
      <c r="CF313" s="64"/>
      <c r="CG313" s="70">
        <f t="shared" si="21"/>
        <v>6494.25</v>
      </c>
      <c r="CH313" s="70">
        <f t="shared" si="22"/>
        <v>225.54</v>
      </c>
      <c r="CI313" s="70">
        <f t="shared" si="23"/>
        <v>68.628</v>
      </c>
      <c r="CJ313" s="70">
        <f t="shared" si="25"/>
        <v>4332.2160000000003</v>
      </c>
      <c r="CK313" s="70">
        <f t="shared" si="25"/>
        <v>4183.83</v>
      </c>
      <c r="CL313" s="70">
        <f t="shared" si="24"/>
        <v>68.628</v>
      </c>
      <c r="CM313" s="61"/>
      <c r="CN313" s="61"/>
      <c r="CO313" s="61"/>
      <c r="CP313" s="61"/>
      <c r="CQ313" s="61"/>
      <c r="CR313" s="61"/>
      <c r="CS313" s="61"/>
      <c r="CT313" s="61"/>
      <c r="CU313" s="61"/>
      <c r="CV313" s="61"/>
      <c r="CW313" s="61"/>
      <c r="CX313" s="61"/>
      <c r="CY313" s="61"/>
      <c r="CZ313" s="61"/>
      <c r="DA313" s="61"/>
      <c r="DB313" s="61"/>
      <c r="DC313" s="61"/>
      <c r="DD313" s="61"/>
      <c r="DE313" s="61"/>
      <c r="DF313" s="61"/>
      <c r="DG313" s="61"/>
      <c r="DH313" s="61"/>
      <c r="DI313" s="61"/>
      <c r="DJ313" s="61"/>
      <c r="DK313" s="61"/>
      <c r="DL313" s="61"/>
      <c r="DM313" s="61"/>
      <c r="DN313" s="61"/>
      <c r="DO313" s="61"/>
      <c r="DP313" s="61"/>
      <c r="DQ313" s="61"/>
      <c r="DR313" s="61"/>
      <c r="DS313" s="61"/>
      <c r="DT313" s="61"/>
      <c r="DU313" s="61"/>
      <c r="DV313" s="61"/>
      <c r="DW313" s="61"/>
      <c r="DX313" s="61"/>
      <c r="DY313" s="61"/>
      <c r="DZ313" s="61"/>
      <c r="EA313" s="61"/>
      <c r="EB313" s="61"/>
      <c r="EC313" s="61"/>
      <c r="ED313" s="61"/>
      <c r="EE313" s="61"/>
      <c r="EF313" s="61"/>
      <c r="EG313" s="61"/>
      <c r="EH313" s="61"/>
      <c r="EI313" s="61"/>
      <c r="EJ313" s="61"/>
      <c r="EK313" s="61"/>
      <c r="EL313" s="61"/>
      <c r="EM313" s="61"/>
      <c r="EN313" s="61"/>
      <c r="EO313" s="61"/>
      <c r="EP313" s="61"/>
      <c r="EQ313" s="61"/>
      <c r="ER313" s="61"/>
      <c r="ES313" s="61"/>
      <c r="ET313" s="61"/>
      <c r="EU313" s="61"/>
      <c r="EV313" s="61"/>
      <c r="EW313" s="61"/>
    </row>
    <row r="314" spans="1:153">
      <c r="A314" s="56">
        <v>36130</v>
      </c>
      <c r="B314" s="57"/>
      <c r="C314" s="7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71"/>
      <c r="P314" s="60">
        <v>198.74700000000001</v>
      </c>
      <c r="Q314" s="61">
        <v>20.765999999999998</v>
      </c>
      <c r="R314" s="61">
        <v>273.36200000000002</v>
      </c>
      <c r="S314" s="61">
        <v>553.63699999999994</v>
      </c>
      <c r="T314" s="61">
        <v>256.82900000000001</v>
      </c>
      <c r="U314" s="61">
        <v>14.632999999999999</v>
      </c>
      <c r="V314" s="61">
        <v>4.2750000000000004</v>
      </c>
      <c r="W314" s="61">
        <v>4.5389999999999997</v>
      </c>
      <c r="X314" s="61">
        <v>198.74700000000001</v>
      </c>
      <c r="Y314" s="61">
        <v>53.848999999999997</v>
      </c>
      <c r="Z314" s="61">
        <v>21.341999999999999</v>
      </c>
      <c r="AA314" s="61">
        <v>273.93799999999999</v>
      </c>
      <c r="AB314" s="60">
        <v>554.21299999999997</v>
      </c>
      <c r="AC314" s="62"/>
      <c r="AD314" s="61"/>
      <c r="AE314" s="61"/>
      <c r="AF314" s="61"/>
      <c r="AG314" s="61"/>
      <c r="AH314" s="61"/>
      <c r="AI314" s="61"/>
      <c r="AJ314" s="61"/>
      <c r="AK314" s="62"/>
      <c r="AL314" s="63"/>
      <c r="AM314" s="64"/>
      <c r="AN314" s="65" t="e">
        <v>#N/A</v>
      </c>
      <c r="AO314" s="61" t="e">
        <v>#N/A</v>
      </c>
      <c r="AP314" s="61" t="e">
        <v>#N/A</v>
      </c>
      <c r="AQ314" s="61" t="e">
        <v>#N/A</v>
      </c>
      <c r="AR314" s="61" t="e">
        <v>#N/A</v>
      </c>
      <c r="AS314" s="61" t="e">
        <v>#N/A</v>
      </c>
      <c r="AT314" s="61" t="e">
        <v>#N/A</v>
      </c>
      <c r="AU314" s="61" t="e">
        <v>#N/A</v>
      </c>
      <c r="AV314" s="61" t="e">
        <v>#N/A</v>
      </c>
      <c r="AW314" s="61" t="e">
        <v>#N/A</v>
      </c>
      <c r="AX314" s="65" t="e">
        <v>#N/A</v>
      </c>
      <c r="AY314" s="66">
        <v>0.65400000000000003</v>
      </c>
      <c r="AZ314" s="61">
        <v>4.1029999999999998</v>
      </c>
      <c r="BA314" s="61">
        <v>32.274000000000001</v>
      </c>
      <c r="BB314" s="61">
        <v>37.030999999999999</v>
      </c>
      <c r="BC314" s="61">
        <v>9.6000000000000002E-2</v>
      </c>
      <c r="BD314" s="61">
        <v>0.60299999999999998</v>
      </c>
      <c r="BE314" s="61">
        <v>2.7E-2</v>
      </c>
      <c r="BF314" s="61" t="s">
        <v>122</v>
      </c>
      <c r="BG314" s="61">
        <v>5.4530000000000003</v>
      </c>
      <c r="BH314" s="61">
        <v>5.6449999999999996</v>
      </c>
      <c r="BI314" s="61">
        <v>3.1E-2</v>
      </c>
      <c r="BJ314" s="61">
        <v>11.128</v>
      </c>
      <c r="BK314" s="66">
        <v>11.853999999999999</v>
      </c>
      <c r="BL314" s="67">
        <v>12.286</v>
      </c>
      <c r="BM314" s="61" t="s">
        <v>121</v>
      </c>
      <c r="BN314" s="61" t="s">
        <v>121</v>
      </c>
      <c r="BO314" s="61" t="s">
        <v>121</v>
      </c>
      <c r="BP314" s="61">
        <v>12.286</v>
      </c>
      <c r="BQ314" s="61">
        <v>252.48400000000001</v>
      </c>
      <c r="BR314" s="61">
        <v>13.121</v>
      </c>
      <c r="BS314" s="61">
        <v>0.13800000000000001</v>
      </c>
      <c r="BT314" s="61">
        <v>4.5389999999999997</v>
      </c>
      <c r="BU314" s="61">
        <v>12.952999999999999</v>
      </c>
      <c r="BV314" s="61">
        <v>32.076999999999998</v>
      </c>
      <c r="BW314" s="61">
        <v>45.03</v>
      </c>
      <c r="BX314" s="67">
        <v>315.31200000000001</v>
      </c>
      <c r="BY314" s="68">
        <v>106367</v>
      </c>
      <c r="BZ314" s="68">
        <v>108017</v>
      </c>
      <c r="CA314" s="69">
        <v>7606</v>
      </c>
      <c r="CB314" s="68">
        <v>156075</v>
      </c>
      <c r="CC314" s="68">
        <v>4506</v>
      </c>
      <c r="CD314" s="61"/>
      <c r="CE314" s="64"/>
      <c r="CF314" s="64"/>
      <c r="CG314" s="70">
        <f t="shared" si="21"/>
        <v>6555.15</v>
      </c>
      <c r="CH314" s="70">
        <f t="shared" si="22"/>
        <v>319.452</v>
      </c>
      <c r="CI314" s="70">
        <f t="shared" si="23"/>
        <v>189.25200000000001</v>
      </c>
      <c r="CJ314" s="70">
        <f t="shared" si="25"/>
        <v>4467.4139999999998</v>
      </c>
      <c r="CK314" s="70">
        <f t="shared" si="25"/>
        <v>4536.7139999999999</v>
      </c>
      <c r="CL314" s="70">
        <f t="shared" si="24"/>
        <v>189.25200000000001</v>
      </c>
      <c r="CM314" s="61"/>
      <c r="CN314" s="61"/>
      <c r="CO314" s="61"/>
      <c r="CP314" s="61"/>
      <c r="CQ314" s="61"/>
      <c r="CR314" s="61"/>
      <c r="CS314" s="61"/>
      <c r="CT314" s="61"/>
      <c r="CU314" s="61"/>
      <c r="CV314" s="61"/>
      <c r="CW314" s="61"/>
      <c r="CX314" s="61"/>
      <c r="CY314" s="61"/>
      <c r="CZ314" s="61"/>
      <c r="DA314" s="61"/>
      <c r="DB314" s="61"/>
      <c r="DC314" s="61"/>
      <c r="DD314" s="61"/>
      <c r="DE314" s="61"/>
      <c r="DF314" s="61"/>
      <c r="DG314" s="61"/>
      <c r="DH314" s="61"/>
      <c r="DI314" s="61"/>
      <c r="DJ314" s="61"/>
      <c r="DK314" s="61"/>
      <c r="DL314" s="61"/>
      <c r="DM314" s="61"/>
      <c r="DN314" s="61"/>
      <c r="DO314" s="61"/>
      <c r="DP314" s="61"/>
      <c r="DQ314" s="61"/>
      <c r="DR314" s="61"/>
      <c r="DS314" s="61"/>
      <c r="DT314" s="61"/>
      <c r="DU314" s="61"/>
      <c r="DV314" s="61"/>
      <c r="DW314" s="61"/>
      <c r="DX314" s="61"/>
      <c r="DY314" s="61"/>
      <c r="DZ314" s="61"/>
      <c r="EA314" s="61"/>
      <c r="EB314" s="61"/>
      <c r="EC314" s="61"/>
      <c r="ED314" s="61"/>
      <c r="EE314" s="61"/>
      <c r="EF314" s="61"/>
      <c r="EG314" s="61"/>
      <c r="EH314" s="61"/>
      <c r="EI314" s="61"/>
      <c r="EJ314" s="61"/>
      <c r="EK314" s="61"/>
      <c r="EL314" s="61"/>
      <c r="EM314" s="61"/>
      <c r="EN314" s="61"/>
      <c r="EO314" s="61"/>
      <c r="EP314" s="61"/>
      <c r="EQ314" s="61"/>
      <c r="ER314" s="61"/>
      <c r="ES314" s="61"/>
      <c r="ET314" s="61"/>
      <c r="EU314" s="61"/>
      <c r="EV314" s="61"/>
      <c r="EW314" s="61"/>
    </row>
    <row r="315" spans="1:153">
      <c r="A315" s="56">
        <v>36161</v>
      </c>
      <c r="B315" s="57"/>
      <c r="C315" s="7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71"/>
      <c r="P315" s="60">
        <v>210.99600000000001</v>
      </c>
      <c r="Q315" s="61">
        <v>19.158000000000001</v>
      </c>
      <c r="R315" s="61">
        <v>272.26</v>
      </c>
      <c r="S315" s="61">
        <v>596.13499999999999</v>
      </c>
      <c r="T315" s="61">
        <v>301.87700000000001</v>
      </c>
      <c r="U315" s="61">
        <v>15.170999999999999</v>
      </c>
      <c r="V315" s="61">
        <v>3.38</v>
      </c>
      <c r="W315" s="61">
        <v>3.4460000000000002</v>
      </c>
      <c r="X315" s="61">
        <v>210.99600000000001</v>
      </c>
      <c r="Y315" s="61">
        <v>42.104999999999997</v>
      </c>
      <c r="Z315" s="61">
        <v>18.585999999999999</v>
      </c>
      <c r="AA315" s="61">
        <v>271.68799999999999</v>
      </c>
      <c r="AB315" s="60">
        <v>595.56299999999999</v>
      </c>
      <c r="AC315" s="62"/>
      <c r="AD315" s="61"/>
      <c r="AE315" s="61"/>
      <c r="AF315" s="61"/>
      <c r="AG315" s="61"/>
      <c r="AH315" s="61"/>
      <c r="AI315" s="61"/>
      <c r="AJ315" s="61"/>
      <c r="AK315" s="62"/>
      <c r="AL315" s="63"/>
      <c r="AM315" s="64"/>
      <c r="AN315" s="65" t="e">
        <v>#N/A</v>
      </c>
      <c r="AO315" s="61" t="e">
        <v>#N/A</v>
      </c>
      <c r="AP315" s="61" t="e">
        <v>#N/A</v>
      </c>
      <c r="AQ315" s="61" t="e">
        <v>#N/A</v>
      </c>
      <c r="AR315" s="61" t="e">
        <v>#N/A</v>
      </c>
      <c r="AS315" s="61" t="e">
        <v>#N/A</v>
      </c>
      <c r="AT315" s="61" t="e">
        <v>#N/A</v>
      </c>
      <c r="AU315" s="61" t="e">
        <v>#N/A</v>
      </c>
      <c r="AV315" s="61" t="e">
        <v>#N/A</v>
      </c>
      <c r="AW315" s="61" t="e">
        <v>#N/A</v>
      </c>
      <c r="AX315" s="65" t="e">
        <v>#N/A</v>
      </c>
      <c r="AY315" s="66">
        <v>0.72199999999999998</v>
      </c>
      <c r="AZ315" s="61">
        <v>3.27</v>
      </c>
      <c r="BA315" s="61">
        <v>33.122999999999998</v>
      </c>
      <c r="BB315" s="61">
        <v>37.115000000000002</v>
      </c>
      <c r="BC315" s="61">
        <v>0.108</v>
      </c>
      <c r="BD315" s="61">
        <v>0.56899999999999995</v>
      </c>
      <c r="BE315" s="61">
        <v>2.5999999999999999E-2</v>
      </c>
      <c r="BF315" s="61" t="s">
        <v>122</v>
      </c>
      <c r="BG315" s="61">
        <v>5.6749999999999998</v>
      </c>
      <c r="BH315" s="61">
        <v>4.0709999999999997</v>
      </c>
      <c r="BI315" s="61">
        <v>1.7999999999999999E-2</v>
      </c>
      <c r="BJ315" s="61">
        <v>9.7650000000000006</v>
      </c>
      <c r="BK315" s="66">
        <v>10.468</v>
      </c>
      <c r="BL315" s="67">
        <v>10.305</v>
      </c>
      <c r="BM315" s="61" t="s">
        <v>121</v>
      </c>
      <c r="BN315" s="61" t="s">
        <v>121</v>
      </c>
      <c r="BO315" s="61" t="s">
        <v>121</v>
      </c>
      <c r="BP315" s="61">
        <v>10.305</v>
      </c>
      <c r="BQ315" s="61">
        <v>297.274</v>
      </c>
      <c r="BR315" s="61">
        <v>13.532</v>
      </c>
      <c r="BS315" s="61">
        <v>7.8E-2</v>
      </c>
      <c r="BT315" s="61">
        <v>3.4460000000000002</v>
      </c>
      <c r="BU315" s="61">
        <v>14.064</v>
      </c>
      <c r="BV315" s="61">
        <v>23.800999999999998</v>
      </c>
      <c r="BW315" s="61">
        <v>37.865000000000002</v>
      </c>
      <c r="BX315" s="67">
        <v>352.19499999999999</v>
      </c>
      <c r="BY315" s="68">
        <v>98453</v>
      </c>
      <c r="BZ315" s="68">
        <v>117434</v>
      </c>
      <c r="CA315" s="69">
        <v>9409</v>
      </c>
      <c r="CB315" s="68">
        <v>142861</v>
      </c>
      <c r="CC315" s="68">
        <v>3642</v>
      </c>
      <c r="CD315" s="61"/>
      <c r="CE315" s="64"/>
      <c r="CF315" s="64"/>
      <c r="CG315" s="70">
        <f t="shared" si="21"/>
        <v>6000.1620000000003</v>
      </c>
      <c r="CH315" s="70">
        <f t="shared" si="22"/>
        <v>395.178</v>
      </c>
      <c r="CI315" s="70">
        <f t="shared" si="23"/>
        <v>152.964</v>
      </c>
      <c r="CJ315" s="70">
        <f t="shared" si="25"/>
        <v>4135.0259999999998</v>
      </c>
      <c r="CK315" s="70">
        <f t="shared" si="25"/>
        <v>4932.2280000000001</v>
      </c>
      <c r="CL315" s="70">
        <f t="shared" si="24"/>
        <v>152.964</v>
      </c>
      <c r="CM315" s="61"/>
      <c r="CN315" s="61"/>
      <c r="CO315" s="61"/>
      <c r="CP315" s="61"/>
      <c r="CQ315" s="61"/>
      <c r="CR315" s="61"/>
      <c r="CS315" s="61"/>
      <c r="CT315" s="61"/>
      <c r="CU315" s="61"/>
      <c r="CV315" s="61"/>
      <c r="CW315" s="61"/>
      <c r="CX315" s="61"/>
      <c r="CY315" s="61"/>
      <c r="CZ315" s="61"/>
      <c r="DA315" s="61"/>
      <c r="DB315" s="61"/>
      <c r="DC315" s="61"/>
      <c r="DD315" s="61"/>
      <c r="DE315" s="61"/>
      <c r="DF315" s="61"/>
      <c r="DG315" s="61"/>
      <c r="DH315" s="61"/>
      <c r="DI315" s="61"/>
      <c r="DJ315" s="61"/>
      <c r="DK315" s="61"/>
      <c r="DL315" s="61"/>
      <c r="DM315" s="61"/>
      <c r="DN315" s="61"/>
      <c r="DO315" s="61"/>
      <c r="DP315" s="61"/>
      <c r="DQ315" s="61"/>
      <c r="DR315" s="61"/>
      <c r="DS315" s="61"/>
      <c r="DT315" s="61"/>
      <c r="DU315" s="61"/>
      <c r="DV315" s="61"/>
      <c r="DW315" s="61"/>
      <c r="DX315" s="61"/>
      <c r="DY315" s="61"/>
      <c r="DZ315" s="61"/>
      <c r="EA315" s="61"/>
      <c r="EB315" s="61"/>
      <c r="EC315" s="61"/>
      <c r="ED315" s="61"/>
      <c r="EE315" s="61"/>
      <c r="EF315" s="61"/>
      <c r="EG315" s="61"/>
      <c r="EH315" s="61"/>
      <c r="EI315" s="61"/>
      <c r="EJ315" s="61"/>
      <c r="EK315" s="61"/>
      <c r="EL315" s="61"/>
      <c r="EM315" s="61"/>
      <c r="EN315" s="61"/>
      <c r="EO315" s="61"/>
      <c r="EP315" s="61"/>
      <c r="EQ315" s="61"/>
      <c r="ER315" s="61"/>
      <c r="ES315" s="61"/>
      <c r="ET315" s="61"/>
      <c r="EU315" s="61"/>
      <c r="EV315" s="61"/>
      <c r="EW315" s="61"/>
    </row>
    <row r="316" spans="1:153">
      <c r="A316" s="56">
        <v>36192</v>
      </c>
      <c r="B316" s="57"/>
      <c r="C316" s="7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71"/>
      <c r="P316" s="60">
        <v>162.352</v>
      </c>
      <c r="Q316" s="61">
        <v>15.417</v>
      </c>
      <c r="R316" s="61">
        <v>220.53899999999999</v>
      </c>
      <c r="S316" s="61">
        <v>533.202</v>
      </c>
      <c r="T316" s="61">
        <v>293.41899999999998</v>
      </c>
      <c r="U316" s="61">
        <v>12.382999999999999</v>
      </c>
      <c r="V316" s="61">
        <v>3.7029999999999998</v>
      </c>
      <c r="W316" s="61">
        <v>3.1589999999999998</v>
      </c>
      <c r="X316" s="61">
        <v>162.352</v>
      </c>
      <c r="Y316" s="61">
        <v>42.77</v>
      </c>
      <c r="Z316" s="61">
        <v>15.313000000000001</v>
      </c>
      <c r="AA316" s="61">
        <v>220.435</v>
      </c>
      <c r="AB316" s="60">
        <v>533.09799999999996</v>
      </c>
      <c r="AC316" s="62"/>
      <c r="AD316" s="61"/>
      <c r="AE316" s="61"/>
      <c r="AF316" s="61"/>
      <c r="AG316" s="61"/>
      <c r="AH316" s="61"/>
      <c r="AI316" s="61"/>
      <c r="AJ316" s="61"/>
      <c r="AK316" s="62"/>
      <c r="AL316" s="63"/>
      <c r="AM316" s="64"/>
      <c r="AN316" s="65" t="e">
        <v>#N/A</v>
      </c>
      <c r="AO316" s="61" t="e">
        <v>#N/A</v>
      </c>
      <c r="AP316" s="61" t="e">
        <v>#N/A</v>
      </c>
      <c r="AQ316" s="61" t="e">
        <v>#N/A</v>
      </c>
      <c r="AR316" s="61" t="e">
        <v>#N/A</v>
      </c>
      <c r="AS316" s="61" t="e">
        <v>#N/A</v>
      </c>
      <c r="AT316" s="61" t="e">
        <v>#N/A</v>
      </c>
      <c r="AU316" s="61" t="e">
        <v>#N/A</v>
      </c>
      <c r="AV316" s="61" t="e">
        <v>#N/A</v>
      </c>
      <c r="AW316" s="61" t="e">
        <v>#N/A</v>
      </c>
      <c r="AX316" s="65" t="e">
        <v>#N/A</v>
      </c>
      <c r="AY316" s="66">
        <v>0.65200000000000002</v>
      </c>
      <c r="AZ316" s="61">
        <v>3.5249999999999999</v>
      </c>
      <c r="BA316" s="61">
        <v>29.917999999999999</v>
      </c>
      <c r="BB316" s="61">
        <v>34.094999999999999</v>
      </c>
      <c r="BC316" s="61">
        <v>0.105</v>
      </c>
      <c r="BD316" s="61">
        <v>0.51400000000000001</v>
      </c>
      <c r="BE316" s="61">
        <v>2.8000000000000001E-2</v>
      </c>
      <c r="BF316" s="61" t="s">
        <v>122</v>
      </c>
      <c r="BG316" s="61">
        <v>5.1050000000000004</v>
      </c>
      <c r="BH316" s="61">
        <v>4.3159999999999998</v>
      </c>
      <c r="BI316" s="61">
        <v>1.4999999999999999E-2</v>
      </c>
      <c r="BJ316" s="61">
        <v>9.4359999999999999</v>
      </c>
      <c r="BK316" s="66">
        <v>10.084</v>
      </c>
      <c r="BL316" s="67">
        <v>8.6449999999999996</v>
      </c>
      <c r="BM316" s="61" t="s">
        <v>121</v>
      </c>
      <c r="BN316" s="61" t="s">
        <v>121</v>
      </c>
      <c r="BO316" s="61" t="s">
        <v>121</v>
      </c>
      <c r="BP316" s="61">
        <v>8.6449999999999996</v>
      </c>
      <c r="BQ316" s="61">
        <v>288.94499999999999</v>
      </c>
      <c r="BR316" s="61">
        <v>10.901999999999999</v>
      </c>
      <c r="BS316" s="61">
        <v>0.14299999999999999</v>
      </c>
      <c r="BT316" s="61">
        <v>3.1589999999999998</v>
      </c>
      <c r="BU316" s="61">
        <v>9.8230000000000004</v>
      </c>
      <c r="BV316" s="61">
        <v>25.228999999999999</v>
      </c>
      <c r="BW316" s="61">
        <v>35.052</v>
      </c>
      <c r="BX316" s="67">
        <v>338.20100000000002</v>
      </c>
      <c r="BY316" s="68">
        <v>91086</v>
      </c>
      <c r="BZ316" s="68">
        <v>99189</v>
      </c>
      <c r="CA316" s="69">
        <v>9022</v>
      </c>
      <c r="CB316" s="68">
        <v>140524</v>
      </c>
      <c r="CC316" s="68">
        <v>3256</v>
      </c>
      <c r="CD316" s="61"/>
      <c r="CE316" s="64"/>
      <c r="CF316" s="64"/>
      <c r="CG316" s="70">
        <f t="shared" si="21"/>
        <v>5902.0079999999998</v>
      </c>
      <c r="CH316" s="70">
        <f t="shared" si="22"/>
        <v>378.92399999999998</v>
      </c>
      <c r="CI316" s="70">
        <f t="shared" si="23"/>
        <v>136.75200000000001</v>
      </c>
      <c r="CJ316" s="70">
        <f t="shared" si="25"/>
        <v>3825.6120000000001</v>
      </c>
      <c r="CK316" s="70">
        <f t="shared" si="25"/>
        <v>4165.9380000000001</v>
      </c>
      <c r="CL316" s="70">
        <f>CD316*42/1000</f>
        <v>0</v>
      </c>
      <c r="CM316" s="61"/>
      <c r="CN316" s="61"/>
      <c r="CO316" s="61"/>
      <c r="CP316" s="61"/>
      <c r="CQ316" s="61"/>
      <c r="CR316" s="61"/>
      <c r="CS316" s="61"/>
      <c r="CT316" s="61"/>
      <c r="CU316" s="61"/>
      <c r="CV316" s="61"/>
      <c r="CW316" s="61"/>
      <c r="CX316" s="61"/>
      <c r="CY316" s="61"/>
      <c r="CZ316" s="61"/>
      <c r="DA316" s="61"/>
      <c r="DB316" s="61"/>
      <c r="DC316" s="61"/>
      <c r="DD316" s="61"/>
      <c r="DE316" s="61"/>
      <c r="DF316" s="61"/>
      <c r="DG316" s="61"/>
      <c r="DH316" s="61"/>
      <c r="DI316" s="61"/>
      <c r="DJ316" s="61"/>
      <c r="DK316" s="61"/>
      <c r="DL316" s="61"/>
      <c r="DM316" s="61"/>
      <c r="DN316" s="61"/>
      <c r="DO316" s="61"/>
      <c r="DP316" s="61"/>
      <c r="DQ316" s="61"/>
      <c r="DR316" s="61"/>
      <c r="DS316" s="61"/>
      <c r="DT316" s="61"/>
      <c r="DU316" s="61"/>
      <c r="DV316" s="61"/>
      <c r="DW316" s="61"/>
      <c r="DX316" s="61"/>
      <c r="DY316" s="61"/>
      <c r="DZ316" s="61"/>
      <c r="EA316" s="61"/>
      <c r="EB316" s="61"/>
      <c r="EC316" s="61"/>
      <c r="ED316" s="61"/>
      <c r="EE316" s="61"/>
      <c r="EF316" s="61"/>
      <c r="EG316" s="61"/>
      <c r="EH316" s="61"/>
      <c r="EI316" s="61"/>
      <c r="EJ316" s="61"/>
      <c r="EK316" s="61"/>
      <c r="EL316" s="61"/>
      <c r="EM316" s="61"/>
      <c r="EN316" s="61"/>
      <c r="EO316" s="61"/>
      <c r="EP316" s="61"/>
      <c r="EQ316" s="61"/>
      <c r="ER316" s="61"/>
      <c r="ES316" s="61"/>
      <c r="ET316" s="61"/>
      <c r="EU316" s="61"/>
      <c r="EV316" s="61"/>
      <c r="EW316" s="61"/>
    </row>
    <row r="317" spans="1:153">
      <c r="A317" s="56">
        <v>36220</v>
      </c>
      <c r="B317" s="57"/>
      <c r="C317" s="7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71"/>
      <c r="P317" s="60">
        <v>149.91200000000001</v>
      </c>
      <c r="Q317" s="61">
        <v>17.696000000000002</v>
      </c>
      <c r="R317" s="61">
        <v>212.17699999999999</v>
      </c>
      <c r="S317" s="61">
        <v>564.55899999999997</v>
      </c>
      <c r="T317" s="61">
        <v>328.04700000000003</v>
      </c>
      <c r="U317" s="61">
        <v>14.471</v>
      </c>
      <c r="V317" s="61">
        <v>5.2960000000000003</v>
      </c>
      <c r="W317" s="61">
        <v>4.5679999999999996</v>
      </c>
      <c r="X317" s="61">
        <v>149.91200000000001</v>
      </c>
      <c r="Y317" s="61">
        <v>44.57</v>
      </c>
      <c r="Z317" s="61">
        <v>16.867000000000001</v>
      </c>
      <c r="AA317" s="61">
        <v>211.34899999999999</v>
      </c>
      <c r="AB317" s="60">
        <v>563.73</v>
      </c>
      <c r="AC317" s="62"/>
      <c r="AD317" s="61"/>
      <c r="AE317" s="61"/>
      <c r="AF317" s="61"/>
      <c r="AG317" s="61"/>
      <c r="AH317" s="61"/>
      <c r="AI317" s="61"/>
      <c r="AJ317" s="61"/>
      <c r="AK317" s="62"/>
      <c r="AL317" s="63"/>
      <c r="AM317" s="64"/>
      <c r="AN317" s="65" t="e">
        <v>#N/A</v>
      </c>
      <c r="AO317" s="61" t="e">
        <v>#N/A</v>
      </c>
      <c r="AP317" s="61" t="e">
        <v>#N/A</v>
      </c>
      <c r="AQ317" s="61" t="e">
        <v>#N/A</v>
      </c>
      <c r="AR317" s="61" t="e">
        <v>#N/A</v>
      </c>
      <c r="AS317" s="61" t="e">
        <v>#N/A</v>
      </c>
      <c r="AT317" s="61" t="e">
        <v>#N/A</v>
      </c>
      <c r="AU317" s="61" t="e">
        <v>#N/A</v>
      </c>
      <c r="AV317" s="61" t="e">
        <v>#N/A</v>
      </c>
      <c r="AW317" s="61" t="e">
        <v>#N/A</v>
      </c>
      <c r="AX317" s="65" t="e">
        <v>#N/A</v>
      </c>
      <c r="AY317" s="66">
        <v>0.72199999999999998</v>
      </c>
      <c r="AZ317" s="61">
        <v>4.8559999999999999</v>
      </c>
      <c r="BA317" s="61">
        <v>33.122999999999998</v>
      </c>
      <c r="BB317" s="61">
        <v>38.701999999999998</v>
      </c>
      <c r="BC317" s="61">
        <v>0.11799999999999999</v>
      </c>
      <c r="BD317" s="61">
        <v>0.56899999999999995</v>
      </c>
      <c r="BE317" s="61">
        <v>3.9E-2</v>
      </c>
      <c r="BF317" s="61" t="s">
        <v>122</v>
      </c>
      <c r="BG317" s="61">
        <v>5.63</v>
      </c>
      <c r="BH317" s="61">
        <v>4.4029999999999996</v>
      </c>
      <c r="BI317" s="61">
        <v>1.7000000000000001E-2</v>
      </c>
      <c r="BJ317" s="61">
        <v>10.050000000000001</v>
      </c>
      <c r="BK317" s="66">
        <v>10.775</v>
      </c>
      <c r="BL317" s="67">
        <v>9.2210000000000001</v>
      </c>
      <c r="BM317" s="61" t="s">
        <v>121</v>
      </c>
      <c r="BN317" s="61" t="s">
        <v>121</v>
      </c>
      <c r="BO317" s="61" t="s">
        <v>121</v>
      </c>
      <c r="BP317" s="61">
        <v>9.2210000000000001</v>
      </c>
      <c r="BQ317" s="61">
        <v>323.04399999999998</v>
      </c>
      <c r="BR317" s="61">
        <v>12.832000000000001</v>
      </c>
      <c r="BS317" s="61">
        <v>0.39200000000000002</v>
      </c>
      <c r="BT317" s="61">
        <v>4.5679999999999996</v>
      </c>
      <c r="BU317" s="61">
        <v>7.83</v>
      </c>
      <c r="BV317" s="61">
        <v>25.741</v>
      </c>
      <c r="BW317" s="61">
        <v>33.570999999999998</v>
      </c>
      <c r="BX317" s="67">
        <v>374.40699999999998</v>
      </c>
      <c r="BY317" s="68">
        <v>98667</v>
      </c>
      <c r="BZ317" s="68">
        <v>117349</v>
      </c>
      <c r="CA317" s="69">
        <v>7693</v>
      </c>
      <c r="CB317" s="68">
        <v>124621</v>
      </c>
      <c r="CC317" s="68">
        <v>4914</v>
      </c>
      <c r="CD317" s="61"/>
      <c r="CE317" s="64"/>
      <c r="CF317" s="64"/>
      <c r="CG317" s="70">
        <f t="shared" si="21"/>
        <v>5234.0820000000003</v>
      </c>
      <c r="CH317" s="70">
        <f t="shared" si="22"/>
        <v>323.10599999999999</v>
      </c>
      <c r="CI317" s="70">
        <f t="shared" si="23"/>
        <v>206.38800000000001</v>
      </c>
      <c r="CJ317" s="70">
        <f t="shared" si="25"/>
        <v>4144.0140000000001</v>
      </c>
      <c r="CK317" s="70">
        <f t="shared" si="25"/>
        <v>4928.6580000000004</v>
      </c>
      <c r="CL317" s="70">
        <f t="shared" ref="CL317:CL380" si="26">CD317*42/1000</f>
        <v>0</v>
      </c>
      <c r="CM317" s="61"/>
      <c r="CN317" s="61"/>
      <c r="CO317" s="61"/>
      <c r="CP317" s="61"/>
      <c r="CQ317" s="61"/>
      <c r="CR317" s="61"/>
      <c r="CS317" s="61"/>
      <c r="CT317" s="61"/>
      <c r="CU317" s="61"/>
      <c r="CV317" s="61"/>
      <c r="CW317" s="61"/>
      <c r="CX317" s="61"/>
      <c r="CY317" s="61"/>
      <c r="CZ317" s="61"/>
      <c r="DA317" s="61"/>
      <c r="DB317" s="61"/>
      <c r="DC317" s="61"/>
      <c r="DD317" s="61"/>
      <c r="DE317" s="61"/>
      <c r="DF317" s="61"/>
      <c r="DG317" s="61"/>
      <c r="DH317" s="61"/>
      <c r="DI317" s="61"/>
      <c r="DJ317" s="61"/>
      <c r="DK317" s="61"/>
      <c r="DL317" s="61"/>
      <c r="DM317" s="61"/>
      <c r="DN317" s="61"/>
      <c r="DO317" s="61"/>
      <c r="DP317" s="61"/>
      <c r="DQ317" s="61"/>
      <c r="DR317" s="61"/>
      <c r="DS317" s="61"/>
      <c r="DT317" s="61"/>
      <c r="DU317" s="61"/>
      <c r="DV317" s="61"/>
      <c r="DW317" s="61"/>
      <c r="DX317" s="61"/>
      <c r="DY317" s="61"/>
      <c r="DZ317" s="61"/>
      <c r="EA317" s="61"/>
      <c r="EB317" s="61"/>
      <c r="EC317" s="61"/>
      <c r="ED317" s="61"/>
      <c r="EE317" s="61"/>
      <c r="EF317" s="61"/>
      <c r="EG317" s="61"/>
      <c r="EH317" s="61"/>
      <c r="EI317" s="61"/>
      <c r="EJ317" s="61"/>
      <c r="EK317" s="61"/>
      <c r="EL317" s="61"/>
      <c r="EM317" s="61"/>
      <c r="EN317" s="61"/>
      <c r="EO317" s="61"/>
      <c r="EP317" s="61"/>
      <c r="EQ317" s="61"/>
      <c r="ER317" s="61"/>
      <c r="ES317" s="61"/>
      <c r="ET317" s="61"/>
      <c r="EU317" s="61"/>
      <c r="EV317" s="61"/>
      <c r="EW317" s="61"/>
    </row>
    <row r="318" spans="1:153">
      <c r="A318" s="56">
        <v>36251</v>
      </c>
      <c r="B318" s="57"/>
      <c r="C318" s="7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71"/>
      <c r="P318" s="60">
        <v>183.53399999999999</v>
      </c>
      <c r="Q318" s="61">
        <v>19.152000000000001</v>
      </c>
      <c r="R318" s="61">
        <v>249.92</v>
      </c>
      <c r="S318" s="61">
        <v>551.65</v>
      </c>
      <c r="T318" s="61">
        <v>279.56599999999997</v>
      </c>
      <c r="U318" s="61">
        <v>12.382</v>
      </c>
      <c r="V318" s="61">
        <v>5.9649999999999999</v>
      </c>
      <c r="W318" s="61">
        <v>3.8180000000000001</v>
      </c>
      <c r="X318" s="61">
        <v>183.53399999999999</v>
      </c>
      <c r="Y318" s="61">
        <v>47.234000000000002</v>
      </c>
      <c r="Z318" s="61">
        <v>16.77</v>
      </c>
      <c r="AA318" s="61">
        <v>247.53700000000001</v>
      </c>
      <c r="AB318" s="60">
        <v>549.26800000000003</v>
      </c>
      <c r="AC318" s="62"/>
      <c r="AD318" s="61"/>
      <c r="AE318" s="61"/>
      <c r="AF318" s="61"/>
      <c r="AG318" s="61"/>
      <c r="AH318" s="61"/>
      <c r="AI318" s="61"/>
      <c r="AJ318" s="61"/>
      <c r="AK318" s="62"/>
      <c r="AL318" s="63"/>
      <c r="AM318" s="64"/>
      <c r="AN318" s="65" t="e">
        <v>#N/A</v>
      </c>
      <c r="AO318" s="61" t="e">
        <v>#N/A</v>
      </c>
      <c r="AP318" s="61" t="e">
        <v>#N/A</v>
      </c>
      <c r="AQ318" s="61" t="e">
        <v>#N/A</v>
      </c>
      <c r="AR318" s="61" t="e">
        <v>#N/A</v>
      </c>
      <c r="AS318" s="61" t="e">
        <v>#N/A</v>
      </c>
      <c r="AT318" s="61" t="e">
        <v>#N/A</v>
      </c>
      <c r="AU318" s="61" t="e">
        <v>#N/A</v>
      </c>
      <c r="AV318" s="61" t="e">
        <v>#N/A</v>
      </c>
      <c r="AW318" s="61" t="e">
        <v>#N/A</v>
      </c>
      <c r="AX318" s="65" t="e">
        <v>#N/A</v>
      </c>
      <c r="AY318" s="66">
        <v>0.69899999999999995</v>
      </c>
      <c r="AZ318" s="61">
        <v>5.3529999999999998</v>
      </c>
      <c r="BA318" s="61">
        <v>32.055</v>
      </c>
      <c r="BB318" s="61">
        <v>38.106000000000002</v>
      </c>
      <c r="BC318" s="61">
        <v>0.1</v>
      </c>
      <c r="BD318" s="61">
        <v>0.55100000000000005</v>
      </c>
      <c r="BE318" s="61">
        <v>4.2999999999999997E-2</v>
      </c>
      <c r="BF318" s="61" t="s">
        <v>122</v>
      </c>
      <c r="BG318" s="61">
        <v>5.4770000000000003</v>
      </c>
      <c r="BH318" s="61">
        <v>4.8140000000000001</v>
      </c>
      <c r="BI318" s="61">
        <v>1.4999999999999999E-2</v>
      </c>
      <c r="BJ318" s="61">
        <v>10.305999999999999</v>
      </c>
      <c r="BK318" s="66">
        <v>11</v>
      </c>
      <c r="BL318" s="67">
        <v>8.5109999999999992</v>
      </c>
      <c r="BM318" s="61" t="s">
        <v>121</v>
      </c>
      <c r="BN318" s="61" t="s">
        <v>121</v>
      </c>
      <c r="BO318" s="61" t="s">
        <v>121</v>
      </c>
      <c r="BP318" s="61">
        <v>8.5109999999999992</v>
      </c>
      <c r="BQ318" s="61">
        <v>275.30200000000002</v>
      </c>
      <c r="BR318" s="61">
        <v>10.795999999999999</v>
      </c>
      <c r="BS318" s="61">
        <v>0.56000000000000005</v>
      </c>
      <c r="BT318" s="61">
        <v>3.8180000000000001</v>
      </c>
      <c r="BU318" s="61">
        <v>11.503</v>
      </c>
      <c r="BV318" s="61">
        <v>28.140999999999998</v>
      </c>
      <c r="BW318" s="61">
        <v>39.643999999999998</v>
      </c>
      <c r="BX318" s="67">
        <v>330.12</v>
      </c>
      <c r="BY318" s="68">
        <v>102209</v>
      </c>
      <c r="BZ318" s="68">
        <v>102443</v>
      </c>
      <c r="CA318" s="69">
        <v>6376</v>
      </c>
      <c r="CB318" s="68">
        <v>125028</v>
      </c>
      <c r="CC318" s="68">
        <v>5735</v>
      </c>
      <c r="CD318" s="61"/>
      <c r="CE318" s="64"/>
      <c r="CF318" s="64"/>
      <c r="CG318" s="70">
        <f t="shared" si="21"/>
        <v>5251.1760000000004</v>
      </c>
      <c r="CH318" s="70">
        <f t="shared" si="22"/>
        <v>267.79199999999997</v>
      </c>
      <c r="CI318" s="70">
        <f t="shared" si="23"/>
        <v>240.87</v>
      </c>
      <c r="CJ318" s="70">
        <f t="shared" si="25"/>
        <v>4292.7780000000002</v>
      </c>
      <c r="CK318" s="70">
        <f t="shared" si="25"/>
        <v>4302.6059999999998</v>
      </c>
      <c r="CL318" s="70">
        <f t="shared" si="26"/>
        <v>0</v>
      </c>
      <c r="CM318" s="61"/>
      <c r="CN318" s="61"/>
      <c r="CO318" s="61"/>
      <c r="CP318" s="61"/>
      <c r="CQ318" s="61"/>
      <c r="CR318" s="61"/>
      <c r="CS318" s="61"/>
      <c r="CT318" s="61"/>
      <c r="CU318" s="61"/>
      <c r="CV318" s="61"/>
      <c r="CW318" s="61"/>
      <c r="CX318" s="61"/>
      <c r="CY318" s="61"/>
      <c r="CZ318" s="61"/>
      <c r="DA318" s="61"/>
      <c r="DB318" s="61"/>
      <c r="DC318" s="61"/>
      <c r="DD318" s="61"/>
      <c r="DE318" s="61"/>
      <c r="DF318" s="61"/>
      <c r="DG318" s="61"/>
      <c r="DH318" s="61"/>
      <c r="DI318" s="61"/>
      <c r="DJ318" s="61"/>
      <c r="DK318" s="61"/>
      <c r="DL318" s="61"/>
      <c r="DM318" s="61"/>
      <c r="DN318" s="61"/>
      <c r="DO318" s="61"/>
      <c r="DP318" s="61"/>
      <c r="DQ318" s="61"/>
      <c r="DR318" s="61"/>
      <c r="DS318" s="61"/>
      <c r="DT318" s="61"/>
      <c r="DU318" s="61"/>
      <c r="DV318" s="61"/>
      <c r="DW318" s="61"/>
      <c r="DX318" s="61"/>
      <c r="DY318" s="61"/>
      <c r="DZ318" s="61"/>
      <c r="EA318" s="61"/>
      <c r="EB318" s="61"/>
      <c r="EC318" s="61"/>
      <c r="ED318" s="61"/>
      <c r="EE318" s="61"/>
      <c r="EF318" s="61"/>
      <c r="EG318" s="61"/>
      <c r="EH318" s="61"/>
      <c r="EI318" s="61"/>
      <c r="EJ318" s="61"/>
      <c r="EK318" s="61"/>
      <c r="EL318" s="61"/>
      <c r="EM318" s="61"/>
      <c r="EN318" s="61"/>
      <c r="EO318" s="61"/>
      <c r="EP318" s="61"/>
      <c r="EQ318" s="61"/>
      <c r="ER318" s="61"/>
      <c r="ES318" s="61"/>
      <c r="ET318" s="61"/>
      <c r="EU318" s="61"/>
      <c r="EV318" s="61"/>
      <c r="EW318" s="61"/>
    </row>
    <row r="319" spans="1:153">
      <c r="A319" s="56">
        <v>36281</v>
      </c>
      <c r="B319" s="57"/>
      <c r="C319" s="7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71"/>
      <c r="P319" s="60">
        <v>222.166</v>
      </c>
      <c r="Q319" s="61">
        <v>17.388000000000002</v>
      </c>
      <c r="R319" s="61">
        <v>289.26400000000001</v>
      </c>
      <c r="S319" s="61">
        <v>610.24800000000005</v>
      </c>
      <c r="T319" s="61">
        <v>296.517</v>
      </c>
      <c r="U319" s="61">
        <v>15.035</v>
      </c>
      <c r="V319" s="61">
        <v>6.6139999999999999</v>
      </c>
      <c r="W319" s="61">
        <v>2.8180000000000001</v>
      </c>
      <c r="X319" s="61">
        <v>222.166</v>
      </c>
      <c r="Y319" s="61">
        <v>49.710999999999999</v>
      </c>
      <c r="Z319" s="61">
        <v>16.077000000000002</v>
      </c>
      <c r="AA319" s="61">
        <v>287.95299999999997</v>
      </c>
      <c r="AB319" s="60">
        <v>608.93700000000001</v>
      </c>
      <c r="AC319" s="62"/>
      <c r="AD319" s="61"/>
      <c r="AE319" s="61"/>
      <c r="AF319" s="61"/>
      <c r="AG319" s="61"/>
      <c r="AH319" s="61"/>
      <c r="AI319" s="61"/>
      <c r="AJ319" s="61"/>
      <c r="AK319" s="62"/>
      <c r="AL319" s="63"/>
      <c r="AM319" s="64"/>
      <c r="AN319" s="65" t="e">
        <v>#N/A</v>
      </c>
      <c r="AO319" s="61" t="e">
        <v>#N/A</v>
      </c>
      <c r="AP319" s="61" t="e">
        <v>#N/A</v>
      </c>
      <c r="AQ319" s="61" t="e">
        <v>#N/A</v>
      </c>
      <c r="AR319" s="61" t="e">
        <v>#N/A</v>
      </c>
      <c r="AS319" s="61" t="e">
        <v>#N/A</v>
      </c>
      <c r="AT319" s="61" t="e">
        <v>#N/A</v>
      </c>
      <c r="AU319" s="61" t="e">
        <v>#N/A</v>
      </c>
      <c r="AV319" s="61" t="e">
        <v>#N/A</v>
      </c>
      <c r="AW319" s="61" t="e">
        <v>#N/A</v>
      </c>
      <c r="AX319" s="65" t="e">
        <v>#N/A</v>
      </c>
      <c r="AY319" s="66">
        <v>0.72199999999999998</v>
      </c>
      <c r="AZ319" s="61">
        <v>5.9089999999999998</v>
      </c>
      <c r="BA319" s="61">
        <v>33.122999999999998</v>
      </c>
      <c r="BB319" s="61">
        <v>39.753999999999998</v>
      </c>
      <c r="BC319" s="61">
        <v>0.106</v>
      </c>
      <c r="BD319" s="61">
        <v>0.56899999999999995</v>
      </c>
      <c r="BE319" s="61">
        <v>4.7E-2</v>
      </c>
      <c r="BF319" s="61" t="s">
        <v>122</v>
      </c>
      <c r="BG319" s="61">
        <v>5.6840000000000002</v>
      </c>
      <c r="BH319" s="61">
        <v>5.0960000000000001</v>
      </c>
      <c r="BI319" s="61">
        <v>1.4999999999999999E-2</v>
      </c>
      <c r="BJ319" s="61">
        <v>10.795</v>
      </c>
      <c r="BK319" s="66">
        <v>11.516999999999999</v>
      </c>
      <c r="BL319" s="67">
        <v>8.57</v>
      </c>
      <c r="BM319" s="61" t="s">
        <v>121</v>
      </c>
      <c r="BN319" s="61" t="s">
        <v>121</v>
      </c>
      <c r="BO319" s="61" t="s">
        <v>121</v>
      </c>
      <c r="BP319" s="61">
        <v>8.57</v>
      </c>
      <c r="BQ319" s="61">
        <v>291.995</v>
      </c>
      <c r="BR319" s="61">
        <v>13.396000000000001</v>
      </c>
      <c r="BS319" s="61">
        <v>0.64700000000000002</v>
      </c>
      <c r="BT319" s="61">
        <v>2.8180000000000001</v>
      </c>
      <c r="BU319" s="61">
        <v>15.205</v>
      </c>
      <c r="BV319" s="61">
        <v>29.79</v>
      </c>
      <c r="BW319" s="61">
        <v>44.994</v>
      </c>
      <c r="BX319" s="67">
        <v>353.851</v>
      </c>
      <c r="BY319" s="68">
        <v>107194</v>
      </c>
      <c r="BZ319" s="68">
        <v>102735</v>
      </c>
      <c r="CA319" s="69">
        <v>8105</v>
      </c>
      <c r="CB319" s="68">
        <v>131803</v>
      </c>
      <c r="CC319" s="68">
        <v>5789</v>
      </c>
      <c r="CD319" s="61"/>
      <c r="CE319" s="64"/>
      <c r="CF319" s="64"/>
      <c r="CG319" s="70">
        <f t="shared" si="21"/>
        <v>5535.7259999999997</v>
      </c>
      <c r="CH319" s="70">
        <f t="shared" si="22"/>
        <v>340.41</v>
      </c>
      <c r="CI319" s="70">
        <f t="shared" si="23"/>
        <v>243.13800000000001</v>
      </c>
      <c r="CJ319" s="70">
        <f t="shared" si="25"/>
        <v>4502.1480000000001</v>
      </c>
      <c r="CK319" s="70">
        <f t="shared" si="25"/>
        <v>4314.87</v>
      </c>
      <c r="CL319" s="70">
        <f>CD319*42/1000</f>
        <v>0</v>
      </c>
      <c r="CM319" s="61"/>
      <c r="CN319" s="61"/>
      <c r="CO319" s="61"/>
      <c r="CP319" s="61"/>
      <c r="CQ319" s="61"/>
      <c r="CR319" s="61"/>
      <c r="CS319" s="61"/>
      <c r="CT319" s="61"/>
      <c r="CU319" s="61"/>
      <c r="CV319" s="61"/>
      <c r="CW319" s="61"/>
      <c r="CX319" s="61"/>
      <c r="CY319" s="61"/>
      <c r="CZ319" s="61"/>
      <c r="DA319" s="61"/>
      <c r="DB319" s="61"/>
      <c r="DC319" s="61"/>
      <c r="DD319" s="61"/>
      <c r="DE319" s="61"/>
      <c r="DF319" s="61"/>
      <c r="DG319" s="61"/>
      <c r="DH319" s="61"/>
      <c r="DI319" s="61"/>
      <c r="DJ319" s="61"/>
      <c r="DK319" s="61"/>
      <c r="DL319" s="61"/>
      <c r="DM319" s="61"/>
      <c r="DN319" s="61"/>
      <c r="DO319" s="61"/>
      <c r="DP319" s="61"/>
      <c r="DQ319" s="61"/>
      <c r="DR319" s="61"/>
      <c r="DS319" s="61"/>
      <c r="DT319" s="61"/>
      <c r="DU319" s="61"/>
      <c r="DV319" s="61"/>
      <c r="DW319" s="61"/>
      <c r="DX319" s="61"/>
      <c r="DY319" s="61"/>
      <c r="DZ319" s="61"/>
      <c r="EA319" s="61"/>
      <c r="EB319" s="61"/>
      <c r="EC319" s="61"/>
      <c r="ED319" s="61"/>
      <c r="EE319" s="61"/>
      <c r="EF319" s="61"/>
      <c r="EG319" s="61"/>
      <c r="EH319" s="61"/>
      <c r="EI319" s="61"/>
      <c r="EJ319" s="61"/>
      <c r="EK319" s="61"/>
      <c r="EL319" s="61"/>
      <c r="EM319" s="61"/>
      <c r="EN319" s="61"/>
      <c r="EO319" s="61"/>
      <c r="EP319" s="61"/>
      <c r="EQ319" s="61"/>
      <c r="ER319" s="61"/>
      <c r="ES319" s="61"/>
      <c r="ET319" s="61"/>
      <c r="EU319" s="61"/>
      <c r="EV319" s="61"/>
      <c r="EW319" s="61"/>
    </row>
    <row r="320" spans="1:153">
      <c r="A320" s="56">
        <v>36312</v>
      </c>
      <c r="B320" s="57"/>
      <c r="C320" s="7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71"/>
      <c r="P320" s="60">
        <v>173.90299999999999</v>
      </c>
      <c r="Q320" s="61">
        <v>14.336</v>
      </c>
      <c r="R320" s="61">
        <v>236.09</v>
      </c>
      <c r="S320" s="61">
        <v>571.94600000000003</v>
      </c>
      <c r="T320" s="61">
        <v>312.577</v>
      </c>
      <c r="U320" s="61">
        <v>13.986000000000001</v>
      </c>
      <c r="V320" s="61">
        <v>6.6959999999999997</v>
      </c>
      <c r="W320" s="61">
        <v>2.5960000000000001</v>
      </c>
      <c r="X320" s="61">
        <v>173.90299999999999</v>
      </c>
      <c r="Y320" s="61">
        <v>47.850999999999999</v>
      </c>
      <c r="Z320" s="61">
        <v>15.635999999999999</v>
      </c>
      <c r="AA320" s="61">
        <v>237.39</v>
      </c>
      <c r="AB320" s="60">
        <v>573.24599999999998</v>
      </c>
      <c r="AC320" s="62"/>
      <c r="AD320" s="61"/>
      <c r="AE320" s="61"/>
      <c r="AF320" s="61"/>
      <c r="AG320" s="61"/>
      <c r="AH320" s="61"/>
      <c r="AI320" s="61"/>
      <c r="AJ320" s="61"/>
      <c r="AK320" s="62"/>
      <c r="AL320" s="63"/>
      <c r="AM320" s="64"/>
      <c r="AN320" s="65" t="e">
        <v>#N/A</v>
      </c>
      <c r="AO320" s="61" t="e">
        <v>#N/A</v>
      </c>
      <c r="AP320" s="61" t="e">
        <v>#N/A</v>
      </c>
      <c r="AQ320" s="61" t="e">
        <v>#N/A</v>
      </c>
      <c r="AR320" s="61" t="e">
        <v>#N/A</v>
      </c>
      <c r="AS320" s="61" t="e">
        <v>#N/A</v>
      </c>
      <c r="AT320" s="61" t="e">
        <v>#N/A</v>
      </c>
      <c r="AU320" s="61" t="e">
        <v>#N/A</v>
      </c>
      <c r="AV320" s="61" t="e">
        <v>#N/A</v>
      </c>
      <c r="AW320" s="61" t="e">
        <v>#N/A</v>
      </c>
      <c r="AX320" s="65" t="e">
        <v>#N/A</v>
      </c>
      <c r="AY320" s="66">
        <v>0.69899999999999995</v>
      </c>
      <c r="AZ320" s="61">
        <v>5.9619999999999997</v>
      </c>
      <c r="BA320" s="61">
        <v>32.055</v>
      </c>
      <c r="BB320" s="61">
        <v>38.716000000000001</v>
      </c>
      <c r="BC320" s="61">
        <v>0.112</v>
      </c>
      <c r="BD320" s="61">
        <v>0.55100000000000005</v>
      </c>
      <c r="BE320" s="61">
        <v>4.8000000000000001E-2</v>
      </c>
      <c r="BF320" s="61" t="s">
        <v>122</v>
      </c>
      <c r="BG320" s="61">
        <v>5.47</v>
      </c>
      <c r="BH320" s="61">
        <v>4.8970000000000002</v>
      </c>
      <c r="BI320" s="61">
        <v>1.7000000000000001E-2</v>
      </c>
      <c r="BJ320" s="61">
        <v>10.382999999999999</v>
      </c>
      <c r="BK320" s="66">
        <v>11.093999999999999</v>
      </c>
      <c r="BL320" s="67">
        <v>9.42</v>
      </c>
      <c r="BM320" s="61" t="s">
        <v>121</v>
      </c>
      <c r="BN320" s="61" t="s">
        <v>121</v>
      </c>
      <c r="BO320" s="61" t="s">
        <v>121</v>
      </c>
      <c r="BP320" s="61">
        <v>9.42</v>
      </c>
      <c r="BQ320" s="61">
        <v>307.81099999999998</v>
      </c>
      <c r="BR320" s="61">
        <v>12.4</v>
      </c>
      <c r="BS320" s="61">
        <v>0.67600000000000005</v>
      </c>
      <c r="BT320" s="61">
        <v>2.5960000000000001</v>
      </c>
      <c r="BU320" s="61">
        <v>10.52</v>
      </c>
      <c r="BV320" s="61">
        <v>28.626999999999999</v>
      </c>
      <c r="BW320" s="61">
        <v>39.146999999999998</v>
      </c>
      <c r="BX320" s="67">
        <v>362.62900000000002</v>
      </c>
      <c r="BY320" s="68">
        <v>101210</v>
      </c>
      <c r="BZ320" s="68">
        <v>102224</v>
      </c>
      <c r="CA320" s="69">
        <v>7150</v>
      </c>
      <c r="CB320" s="68">
        <v>132545</v>
      </c>
      <c r="CC320" s="68">
        <v>5394</v>
      </c>
      <c r="CD320" s="61"/>
      <c r="CE320" s="64"/>
      <c r="CF320" s="64"/>
      <c r="CG320" s="70">
        <f t="shared" si="21"/>
        <v>5566.89</v>
      </c>
      <c r="CH320" s="70">
        <f t="shared" si="22"/>
        <v>300.3</v>
      </c>
      <c r="CI320" s="70">
        <f t="shared" si="23"/>
        <v>226.548</v>
      </c>
      <c r="CJ320" s="70">
        <f t="shared" si="25"/>
        <v>4250.82</v>
      </c>
      <c r="CK320" s="70">
        <f t="shared" si="25"/>
        <v>4293.4080000000004</v>
      </c>
      <c r="CL320" s="70">
        <f>CD320*42/1000</f>
        <v>0</v>
      </c>
      <c r="CM320" s="61"/>
      <c r="CN320" s="61"/>
      <c r="CO320" s="61"/>
      <c r="CP320" s="61"/>
      <c r="CQ320" s="61"/>
      <c r="CR320" s="61"/>
      <c r="CS320" s="61"/>
      <c r="CT320" s="61"/>
      <c r="CU320" s="61"/>
      <c r="CV320" s="61"/>
      <c r="CW320" s="61"/>
      <c r="CX320" s="61"/>
      <c r="CY320" s="61"/>
      <c r="CZ320" s="61"/>
      <c r="DA320" s="61"/>
      <c r="DB320" s="61"/>
      <c r="DC320" s="61"/>
      <c r="DD320" s="61"/>
      <c r="DE320" s="61"/>
      <c r="DF320" s="61"/>
      <c r="DG320" s="61"/>
      <c r="DH320" s="61"/>
      <c r="DI320" s="61"/>
      <c r="DJ320" s="61"/>
      <c r="DK320" s="61"/>
      <c r="DL320" s="61"/>
      <c r="DM320" s="61"/>
      <c r="DN320" s="61"/>
      <c r="DO320" s="61"/>
      <c r="DP320" s="61"/>
      <c r="DQ320" s="61"/>
      <c r="DR320" s="61"/>
      <c r="DS320" s="61"/>
      <c r="DT320" s="61"/>
      <c r="DU320" s="61"/>
      <c r="DV320" s="61"/>
      <c r="DW320" s="61"/>
      <c r="DX320" s="61"/>
      <c r="DY320" s="61"/>
      <c r="DZ320" s="61"/>
      <c r="EA320" s="61"/>
      <c r="EB320" s="61"/>
      <c r="EC320" s="61"/>
      <c r="ED320" s="61"/>
      <c r="EE320" s="61"/>
      <c r="EF320" s="61"/>
      <c r="EG320" s="61"/>
      <c r="EH320" s="61"/>
      <c r="EI320" s="61"/>
      <c r="EJ320" s="61"/>
      <c r="EK320" s="61"/>
      <c r="EL320" s="61"/>
      <c r="EM320" s="61"/>
      <c r="EN320" s="61"/>
      <c r="EO320" s="61"/>
      <c r="EP320" s="61"/>
      <c r="EQ320" s="61"/>
      <c r="ER320" s="61"/>
      <c r="ES320" s="61"/>
      <c r="ET320" s="61"/>
      <c r="EU320" s="61"/>
      <c r="EV320" s="61"/>
      <c r="EW320" s="61"/>
    </row>
    <row r="321" spans="1:153">
      <c r="A321" s="56">
        <v>36342</v>
      </c>
      <c r="B321" s="57"/>
      <c r="C321" s="7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71"/>
      <c r="P321" s="60">
        <v>203.953</v>
      </c>
      <c r="Q321" s="61">
        <v>14.275</v>
      </c>
      <c r="R321" s="61">
        <v>264.29199999999997</v>
      </c>
      <c r="S321" s="61">
        <v>593.67600000000004</v>
      </c>
      <c r="T321" s="61">
        <v>303.56700000000001</v>
      </c>
      <c r="U321" s="61">
        <v>14.153</v>
      </c>
      <c r="V321" s="61">
        <v>7.0010000000000003</v>
      </c>
      <c r="W321" s="61">
        <v>4.6639999999999997</v>
      </c>
      <c r="X321" s="61">
        <v>203.953</v>
      </c>
      <c r="Y321" s="61">
        <v>46.064</v>
      </c>
      <c r="Z321" s="61">
        <v>14.23</v>
      </c>
      <c r="AA321" s="61">
        <v>264.24700000000001</v>
      </c>
      <c r="AB321" s="60">
        <v>593.63099999999997</v>
      </c>
      <c r="AC321" s="62"/>
      <c r="AD321" s="61"/>
      <c r="AE321" s="61"/>
      <c r="AF321" s="61"/>
      <c r="AG321" s="61"/>
      <c r="AH321" s="61"/>
      <c r="AI321" s="61"/>
      <c r="AJ321" s="61"/>
      <c r="AK321" s="62"/>
      <c r="AL321" s="63"/>
      <c r="AM321" s="64"/>
      <c r="AN321" s="65" t="e">
        <v>#N/A</v>
      </c>
      <c r="AO321" s="61" t="e">
        <v>#N/A</v>
      </c>
      <c r="AP321" s="61" t="e">
        <v>#N/A</v>
      </c>
      <c r="AQ321" s="61" t="e">
        <v>#N/A</v>
      </c>
      <c r="AR321" s="61" t="e">
        <v>#N/A</v>
      </c>
      <c r="AS321" s="61" t="e">
        <v>#N/A</v>
      </c>
      <c r="AT321" s="61" t="e">
        <v>#N/A</v>
      </c>
      <c r="AU321" s="61" t="e">
        <v>#N/A</v>
      </c>
      <c r="AV321" s="61" t="e">
        <v>#N/A</v>
      </c>
      <c r="AW321" s="61" t="e">
        <v>#N/A</v>
      </c>
      <c r="AX321" s="65" t="e">
        <v>#N/A</v>
      </c>
      <c r="AY321" s="66">
        <v>0.72199999999999998</v>
      </c>
      <c r="AZ321" s="61">
        <v>6.2590000000000003</v>
      </c>
      <c r="BA321" s="61">
        <v>33.122999999999998</v>
      </c>
      <c r="BB321" s="61">
        <v>40.103999999999999</v>
      </c>
      <c r="BC321" s="61">
        <v>0.109</v>
      </c>
      <c r="BD321" s="61">
        <v>0.56899999999999995</v>
      </c>
      <c r="BE321" s="61">
        <v>0.05</v>
      </c>
      <c r="BF321" s="61" t="s">
        <v>122</v>
      </c>
      <c r="BG321" s="61">
        <v>5.67</v>
      </c>
      <c r="BH321" s="61">
        <v>4.6040000000000001</v>
      </c>
      <c r="BI321" s="61">
        <v>1.4E-2</v>
      </c>
      <c r="BJ321" s="61">
        <v>10.289</v>
      </c>
      <c r="BK321" s="66">
        <v>11.016999999999999</v>
      </c>
      <c r="BL321" s="67">
        <v>8.0549999999999997</v>
      </c>
      <c r="BM321" s="61" t="s">
        <v>121</v>
      </c>
      <c r="BN321" s="61" t="s">
        <v>121</v>
      </c>
      <c r="BO321" s="61" t="s">
        <v>121</v>
      </c>
      <c r="BP321" s="61">
        <v>8.0549999999999997</v>
      </c>
      <c r="BQ321" s="61">
        <v>298.93799999999999</v>
      </c>
      <c r="BR321" s="61">
        <v>12.513999999999999</v>
      </c>
      <c r="BS321" s="61">
        <v>0.68100000000000005</v>
      </c>
      <c r="BT321" s="61">
        <v>4.6639999999999997</v>
      </c>
      <c r="BU321" s="61">
        <v>13.346</v>
      </c>
      <c r="BV321" s="61">
        <v>26.917999999999999</v>
      </c>
      <c r="BW321" s="61">
        <v>40.262999999999998</v>
      </c>
      <c r="BX321" s="67">
        <v>357.05900000000003</v>
      </c>
      <c r="BY321" s="68">
        <v>109146</v>
      </c>
      <c r="BZ321" s="68">
        <v>107838</v>
      </c>
      <c r="CA321" s="69">
        <v>7251</v>
      </c>
      <c r="CB321" s="68">
        <v>137295</v>
      </c>
      <c r="CC321" s="68">
        <v>3809</v>
      </c>
      <c r="CD321" s="61"/>
      <c r="CE321" s="64"/>
      <c r="CF321" s="64"/>
      <c r="CG321" s="70">
        <f t="shared" si="21"/>
        <v>5766.39</v>
      </c>
      <c r="CH321" s="70">
        <f t="shared" si="22"/>
        <v>304.54199999999997</v>
      </c>
      <c r="CI321" s="70">
        <f t="shared" si="23"/>
        <v>159.97800000000001</v>
      </c>
      <c r="CJ321" s="70">
        <f t="shared" si="25"/>
        <v>4584.1319999999996</v>
      </c>
      <c r="CK321" s="70">
        <f t="shared" si="25"/>
        <v>4529.1959999999999</v>
      </c>
      <c r="CL321" s="70">
        <f t="shared" si="26"/>
        <v>0</v>
      </c>
      <c r="CM321" s="61"/>
      <c r="CN321" s="61"/>
      <c r="CO321" s="61"/>
      <c r="CP321" s="61"/>
      <c r="CQ321" s="61"/>
      <c r="CR321" s="61"/>
      <c r="CS321" s="61"/>
      <c r="CT321" s="61"/>
      <c r="CU321" s="61"/>
      <c r="CV321" s="61"/>
      <c r="CW321" s="61"/>
      <c r="CX321" s="61"/>
      <c r="CY321" s="61"/>
      <c r="CZ321" s="61"/>
      <c r="DA321" s="61"/>
      <c r="DB321" s="61"/>
      <c r="DC321" s="61"/>
      <c r="DD321" s="61"/>
      <c r="DE321" s="61"/>
      <c r="DF321" s="61"/>
      <c r="DG321" s="61"/>
      <c r="DH321" s="61"/>
      <c r="DI321" s="61"/>
      <c r="DJ321" s="61"/>
      <c r="DK321" s="61"/>
      <c r="DL321" s="61"/>
      <c r="DM321" s="61"/>
      <c r="DN321" s="61"/>
      <c r="DO321" s="61"/>
      <c r="DP321" s="61"/>
      <c r="DQ321" s="61"/>
      <c r="DR321" s="61"/>
      <c r="DS321" s="61"/>
      <c r="DT321" s="61"/>
      <c r="DU321" s="61"/>
      <c r="DV321" s="61"/>
      <c r="DW321" s="61"/>
      <c r="DX321" s="61"/>
      <c r="DY321" s="61"/>
      <c r="DZ321" s="61"/>
      <c r="EA321" s="61"/>
      <c r="EB321" s="61"/>
      <c r="EC321" s="61"/>
      <c r="ED321" s="61"/>
      <c r="EE321" s="61"/>
      <c r="EF321" s="61"/>
      <c r="EG321" s="61"/>
      <c r="EH321" s="61"/>
      <c r="EI321" s="61"/>
      <c r="EJ321" s="61"/>
      <c r="EK321" s="61"/>
      <c r="EL321" s="61"/>
      <c r="EM321" s="61"/>
      <c r="EN321" s="61"/>
      <c r="EO321" s="61"/>
      <c r="EP321" s="61"/>
      <c r="EQ321" s="61"/>
      <c r="ER321" s="61"/>
      <c r="ES321" s="61"/>
      <c r="ET321" s="61"/>
      <c r="EU321" s="61"/>
      <c r="EV321" s="61"/>
      <c r="EW321" s="61"/>
    </row>
    <row r="322" spans="1:153">
      <c r="A322" s="56">
        <v>36373</v>
      </c>
      <c r="B322" s="57"/>
      <c r="C322" s="7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71"/>
      <c r="P322" s="60">
        <v>197.76400000000001</v>
      </c>
      <c r="Q322" s="61">
        <v>17.11</v>
      </c>
      <c r="R322" s="61">
        <v>258.85399999999998</v>
      </c>
      <c r="S322" s="61">
        <v>547.07000000000005</v>
      </c>
      <c r="T322" s="61">
        <v>263.077</v>
      </c>
      <c r="U322" s="61">
        <v>14.417</v>
      </c>
      <c r="V322" s="61">
        <v>6.8129999999999997</v>
      </c>
      <c r="W322" s="61">
        <v>3.9089999999999998</v>
      </c>
      <c r="X322" s="61">
        <v>197.76400000000001</v>
      </c>
      <c r="Y322" s="61">
        <v>43.98</v>
      </c>
      <c r="Z322" s="61">
        <v>16.623999999999999</v>
      </c>
      <c r="AA322" s="61">
        <v>258.36799999999999</v>
      </c>
      <c r="AB322" s="60">
        <v>546.58500000000004</v>
      </c>
      <c r="AC322" s="62"/>
      <c r="AD322" s="61"/>
      <c r="AE322" s="61"/>
      <c r="AF322" s="61"/>
      <c r="AG322" s="61"/>
      <c r="AH322" s="61"/>
      <c r="AI322" s="61"/>
      <c r="AJ322" s="61"/>
      <c r="AK322" s="62"/>
      <c r="AL322" s="63"/>
      <c r="AM322" s="64"/>
      <c r="AN322" s="65" t="e">
        <v>#N/A</v>
      </c>
      <c r="AO322" s="61" t="e">
        <v>#N/A</v>
      </c>
      <c r="AP322" s="61" t="e">
        <v>#N/A</v>
      </c>
      <c r="AQ322" s="61" t="e">
        <v>#N/A</v>
      </c>
      <c r="AR322" s="61" t="e">
        <v>#N/A</v>
      </c>
      <c r="AS322" s="61" t="e">
        <v>#N/A</v>
      </c>
      <c r="AT322" s="61" t="e">
        <v>#N/A</v>
      </c>
      <c r="AU322" s="61" t="e">
        <v>#N/A</v>
      </c>
      <c r="AV322" s="61" t="e">
        <v>#N/A</v>
      </c>
      <c r="AW322" s="61" t="e">
        <v>#N/A</v>
      </c>
      <c r="AX322" s="65" t="e">
        <v>#N/A</v>
      </c>
      <c r="AY322" s="66">
        <v>0.72199999999999998</v>
      </c>
      <c r="AZ322" s="61">
        <v>6.194</v>
      </c>
      <c r="BA322" s="61">
        <v>33.122999999999998</v>
      </c>
      <c r="BB322" s="61">
        <v>40.039000000000001</v>
      </c>
      <c r="BC322" s="61">
        <v>9.4E-2</v>
      </c>
      <c r="BD322" s="61">
        <v>0.56899999999999995</v>
      </c>
      <c r="BE322" s="61">
        <v>4.9000000000000002E-2</v>
      </c>
      <c r="BF322" s="61" t="s">
        <v>122</v>
      </c>
      <c r="BG322" s="61">
        <v>5.665</v>
      </c>
      <c r="BH322" s="61">
        <v>4.3239999999999998</v>
      </c>
      <c r="BI322" s="61">
        <v>1.7000000000000001E-2</v>
      </c>
      <c r="BJ322" s="61">
        <v>10.006</v>
      </c>
      <c r="BK322" s="66">
        <v>10.718999999999999</v>
      </c>
      <c r="BL322" s="67">
        <v>9.2279999999999998</v>
      </c>
      <c r="BM322" s="61" t="s">
        <v>121</v>
      </c>
      <c r="BN322" s="61" t="s">
        <v>121</v>
      </c>
      <c r="BO322" s="61" t="s">
        <v>121</v>
      </c>
      <c r="BP322" s="61">
        <v>9.2279999999999998</v>
      </c>
      <c r="BQ322" s="61">
        <v>259.065</v>
      </c>
      <c r="BR322" s="61">
        <v>12.776999999999999</v>
      </c>
      <c r="BS322" s="61">
        <v>0.55900000000000005</v>
      </c>
      <c r="BT322" s="61">
        <v>3.9089999999999998</v>
      </c>
      <c r="BU322" s="61">
        <v>12.714</v>
      </c>
      <c r="BV322" s="61">
        <v>25.277000000000001</v>
      </c>
      <c r="BW322" s="61">
        <v>37.991</v>
      </c>
      <c r="BX322" s="67">
        <v>314.30099999999999</v>
      </c>
      <c r="BY322" s="68">
        <v>106003</v>
      </c>
      <c r="BZ322" s="68">
        <v>106547</v>
      </c>
      <c r="CA322" s="69">
        <v>8463</v>
      </c>
      <c r="CB322" s="68">
        <v>141191</v>
      </c>
      <c r="CC322" s="68">
        <v>4023</v>
      </c>
      <c r="CD322" s="61"/>
      <c r="CE322" s="64"/>
      <c r="CF322" s="64"/>
      <c r="CG322" s="70">
        <f t="shared" si="21"/>
        <v>5930.0219999999999</v>
      </c>
      <c r="CH322" s="70">
        <f t="shared" si="22"/>
        <v>355.44600000000003</v>
      </c>
      <c r="CI322" s="70">
        <f t="shared" si="23"/>
        <v>168.96600000000001</v>
      </c>
      <c r="CJ322" s="70">
        <f t="shared" si="25"/>
        <v>4452.1260000000002</v>
      </c>
      <c r="CK322" s="70">
        <f t="shared" si="25"/>
        <v>4474.9740000000002</v>
      </c>
      <c r="CL322" s="70">
        <f t="shared" si="26"/>
        <v>0</v>
      </c>
      <c r="CM322" s="61"/>
      <c r="CN322" s="61"/>
      <c r="CO322" s="61"/>
      <c r="CP322" s="61"/>
      <c r="CQ322" s="61"/>
      <c r="CR322" s="61"/>
      <c r="CS322" s="61"/>
      <c r="CT322" s="61"/>
      <c r="CU322" s="61"/>
      <c r="CV322" s="61"/>
      <c r="CW322" s="61"/>
      <c r="CX322" s="61"/>
      <c r="CY322" s="61"/>
      <c r="CZ322" s="61"/>
      <c r="DA322" s="61"/>
      <c r="DB322" s="61"/>
      <c r="DC322" s="61"/>
      <c r="DD322" s="61"/>
      <c r="DE322" s="61"/>
      <c r="DF322" s="61"/>
      <c r="DG322" s="61"/>
      <c r="DH322" s="61"/>
      <c r="DI322" s="61"/>
      <c r="DJ322" s="61"/>
      <c r="DK322" s="61"/>
      <c r="DL322" s="61"/>
      <c r="DM322" s="61"/>
      <c r="DN322" s="61"/>
      <c r="DO322" s="61"/>
      <c r="DP322" s="61"/>
      <c r="DQ322" s="61"/>
      <c r="DR322" s="61"/>
      <c r="DS322" s="61"/>
      <c r="DT322" s="61"/>
      <c r="DU322" s="61"/>
      <c r="DV322" s="61"/>
      <c r="DW322" s="61"/>
      <c r="DX322" s="61"/>
      <c r="DY322" s="61"/>
      <c r="DZ322" s="61"/>
      <c r="EA322" s="61"/>
      <c r="EB322" s="61"/>
      <c r="EC322" s="61"/>
      <c r="ED322" s="61"/>
      <c r="EE322" s="61"/>
      <c r="EF322" s="61"/>
      <c r="EG322" s="61"/>
      <c r="EH322" s="61"/>
      <c r="EI322" s="61"/>
      <c r="EJ322" s="61"/>
      <c r="EK322" s="61"/>
      <c r="EL322" s="61"/>
      <c r="EM322" s="61"/>
      <c r="EN322" s="61"/>
      <c r="EO322" s="61"/>
      <c r="EP322" s="61"/>
      <c r="EQ322" s="61"/>
      <c r="ER322" s="61"/>
      <c r="ES322" s="61"/>
      <c r="ET322" s="61"/>
      <c r="EU322" s="61"/>
      <c r="EV322" s="61"/>
      <c r="EW322" s="61"/>
    </row>
    <row r="323" spans="1:153">
      <c r="A323" s="56">
        <v>36404</v>
      </c>
      <c r="B323" s="57"/>
      <c r="C323" s="7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71"/>
      <c r="P323" s="60">
        <v>181.899</v>
      </c>
      <c r="Q323" s="61">
        <v>17.876999999999999</v>
      </c>
      <c r="R323" s="61">
        <v>244.14</v>
      </c>
      <c r="S323" s="61">
        <v>482.15800000000002</v>
      </c>
      <c r="T323" s="61">
        <v>213.64</v>
      </c>
      <c r="U323" s="61">
        <v>14.426</v>
      </c>
      <c r="V323" s="61">
        <v>6.093</v>
      </c>
      <c r="W323" s="61">
        <v>3.859</v>
      </c>
      <c r="X323" s="61">
        <v>181.899</v>
      </c>
      <c r="Y323" s="61">
        <v>44.363999999999997</v>
      </c>
      <c r="Z323" s="61">
        <v>16.972000000000001</v>
      </c>
      <c r="AA323" s="61">
        <v>243.23500000000001</v>
      </c>
      <c r="AB323" s="60">
        <v>481.25299999999999</v>
      </c>
      <c r="AC323" s="62"/>
      <c r="AD323" s="61"/>
      <c r="AE323" s="61"/>
      <c r="AF323" s="61"/>
      <c r="AG323" s="61"/>
      <c r="AH323" s="61"/>
      <c r="AI323" s="61"/>
      <c r="AJ323" s="61"/>
      <c r="AK323" s="62"/>
      <c r="AL323" s="63"/>
      <c r="AM323" s="64"/>
      <c r="AN323" s="65" t="e">
        <v>#N/A</v>
      </c>
      <c r="AO323" s="61" t="e">
        <v>#N/A</v>
      </c>
      <c r="AP323" s="61" t="e">
        <v>#N/A</v>
      </c>
      <c r="AQ323" s="61" t="e">
        <v>#N/A</v>
      </c>
      <c r="AR323" s="61" t="e">
        <v>#N/A</v>
      </c>
      <c r="AS323" s="61" t="e">
        <v>#N/A</v>
      </c>
      <c r="AT323" s="61" t="e">
        <v>#N/A</v>
      </c>
      <c r="AU323" s="61" t="e">
        <v>#N/A</v>
      </c>
      <c r="AV323" s="61" t="e">
        <v>#N/A</v>
      </c>
      <c r="AW323" s="61" t="e">
        <v>#N/A</v>
      </c>
      <c r="AX323" s="65" t="e">
        <v>#N/A</v>
      </c>
      <c r="AY323" s="66">
        <v>0.69899999999999995</v>
      </c>
      <c r="AZ323" s="61">
        <v>5.649</v>
      </c>
      <c r="BA323" s="61">
        <v>32.055</v>
      </c>
      <c r="BB323" s="61">
        <v>38.402999999999999</v>
      </c>
      <c r="BC323" s="61">
        <v>7.6999999999999999E-2</v>
      </c>
      <c r="BD323" s="61">
        <v>0.55100000000000005</v>
      </c>
      <c r="BE323" s="61">
        <v>4.4999999999999998E-2</v>
      </c>
      <c r="BF323" s="61" t="s">
        <v>122</v>
      </c>
      <c r="BG323" s="61">
        <v>5.476</v>
      </c>
      <c r="BH323" s="61">
        <v>4.4269999999999996</v>
      </c>
      <c r="BI323" s="61">
        <v>1.7000000000000001E-2</v>
      </c>
      <c r="BJ323" s="61">
        <v>9.9190000000000005</v>
      </c>
      <c r="BK323" s="66">
        <v>10.592000000000001</v>
      </c>
      <c r="BL323" s="67">
        <v>9.2490000000000006</v>
      </c>
      <c r="BM323" s="61" t="s">
        <v>121</v>
      </c>
      <c r="BN323" s="61" t="s">
        <v>121</v>
      </c>
      <c r="BO323" s="61" t="s">
        <v>121</v>
      </c>
      <c r="BP323" s="61">
        <v>9.2490000000000006</v>
      </c>
      <c r="BQ323" s="61">
        <v>210.38200000000001</v>
      </c>
      <c r="BR323" s="61">
        <v>12.84</v>
      </c>
      <c r="BS323" s="61">
        <v>0.38900000000000001</v>
      </c>
      <c r="BT323" s="61">
        <v>3.859</v>
      </c>
      <c r="BU323" s="61">
        <v>11.336</v>
      </c>
      <c r="BV323" s="61">
        <v>25.881</v>
      </c>
      <c r="BW323" s="61">
        <v>37.216999999999999</v>
      </c>
      <c r="BX323" s="67">
        <v>264.68599999999998</v>
      </c>
      <c r="BY323" s="68">
        <v>104450</v>
      </c>
      <c r="BZ323" s="68">
        <v>102926</v>
      </c>
      <c r="CA323" s="69">
        <v>7483</v>
      </c>
      <c r="CB323" s="68">
        <v>145347</v>
      </c>
      <c r="CC323" s="68">
        <v>4851</v>
      </c>
      <c r="CD323" s="61"/>
      <c r="CE323" s="64"/>
      <c r="CF323" s="64"/>
      <c r="CG323" s="70">
        <f t="shared" ref="CG323:CG386" si="27">CB323*42/1000</f>
        <v>6104.5739999999996</v>
      </c>
      <c r="CH323" s="70">
        <f t="shared" ref="CH323:CH386" si="28">CA323*42/1000</f>
        <v>314.286</v>
      </c>
      <c r="CI323" s="70">
        <f t="shared" ref="CI323:CI386" si="29">CC323*42/1000</f>
        <v>203.74199999999999</v>
      </c>
      <c r="CJ323" s="70">
        <f t="shared" si="25"/>
        <v>4386.8999999999996</v>
      </c>
      <c r="CK323" s="70">
        <f t="shared" si="25"/>
        <v>4322.8919999999998</v>
      </c>
      <c r="CL323" s="70">
        <f t="shared" si="26"/>
        <v>0</v>
      </c>
      <c r="CM323" s="61"/>
      <c r="CN323" s="61"/>
      <c r="CO323" s="61"/>
      <c r="CP323" s="61"/>
      <c r="CQ323" s="61"/>
      <c r="CR323" s="61"/>
      <c r="CS323" s="61"/>
      <c r="CT323" s="61"/>
      <c r="CU323" s="61"/>
      <c r="CV323" s="61"/>
      <c r="CW323" s="61"/>
      <c r="CX323" s="61"/>
      <c r="CY323" s="61"/>
      <c r="CZ323" s="61"/>
      <c r="DA323" s="61"/>
      <c r="DB323" s="61"/>
      <c r="DC323" s="61"/>
      <c r="DD323" s="61"/>
      <c r="DE323" s="61"/>
      <c r="DF323" s="61"/>
      <c r="DG323" s="61"/>
      <c r="DH323" s="61"/>
      <c r="DI323" s="61"/>
      <c r="DJ323" s="61"/>
      <c r="DK323" s="61"/>
      <c r="DL323" s="61"/>
      <c r="DM323" s="61"/>
      <c r="DN323" s="61"/>
      <c r="DO323" s="61"/>
      <c r="DP323" s="61"/>
      <c r="DQ323" s="61"/>
      <c r="DR323" s="61"/>
      <c r="DS323" s="61"/>
      <c r="DT323" s="61"/>
      <c r="DU323" s="61"/>
      <c r="DV323" s="61"/>
      <c r="DW323" s="61"/>
      <c r="DX323" s="61"/>
      <c r="DY323" s="61"/>
      <c r="DZ323" s="61"/>
      <c r="EA323" s="61"/>
      <c r="EB323" s="61"/>
      <c r="EC323" s="61"/>
      <c r="ED323" s="61"/>
      <c r="EE323" s="61"/>
      <c r="EF323" s="61"/>
      <c r="EG323" s="61"/>
      <c r="EH323" s="61"/>
      <c r="EI323" s="61"/>
      <c r="EJ323" s="61"/>
      <c r="EK323" s="61"/>
      <c r="EL323" s="61"/>
      <c r="EM323" s="61"/>
      <c r="EN323" s="61"/>
      <c r="EO323" s="61"/>
      <c r="EP323" s="61"/>
      <c r="EQ323" s="61"/>
      <c r="ER323" s="61"/>
      <c r="ES323" s="61"/>
      <c r="ET323" s="61"/>
      <c r="EU323" s="61"/>
      <c r="EV323" s="61"/>
      <c r="EW323" s="61"/>
    </row>
    <row r="324" spans="1:153">
      <c r="A324" s="56">
        <v>36434</v>
      </c>
      <c r="B324" s="57"/>
      <c r="C324" s="7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71"/>
      <c r="P324" s="60">
        <v>164.41300000000001</v>
      </c>
      <c r="Q324" s="61">
        <v>19.309000000000001</v>
      </c>
      <c r="R324" s="61">
        <v>228.256</v>
      </c>
      <c r="S324" s="61">
        <v>456.71199999999999</v>
      </c>
      <c r="T324" s="61">
        <v>203.52600000000001</v>
      </c>
      <c r="U324" s="61">
        <v>14.952999999999999</v>
      </c>
      <c r="V324" s="61">
        <v>5.6959999999999997</v>
      </c>
      <c r="W324" s="61">
        <v>4.2809999999999997</v>
      </c>
      <c r="X324" s="61">
        <v>164.41300000000001</v>
      </c>
      <c r="Y324" s="61">
        <v>44.533999999999999</v>
      </c>
      <c r="Z324" s="61">
        <v>19.844000000000001</v>
      </c>
      <c r="AA324" s="61">
        <v>228.79</v>
      </c>
      <c r="AB324" s="60">
        <v>457.24599999999998</v>
      </c>
      <c r="AC324" s="62"/>
      <c r="AD324" s="61"/>
      <c r="AE324" s="61"/>
      <c r="AF324" s="61"/>
      <c r="AG324" s="61"/>
      <c r="AH324" s="61"/>
      <c r="AI324" s="61"/>
      <c r="AJ324" s="61"/>
      <c r="AK324" s="62"/>
      <c r="AL324" s="63"/>
      <c r="AM324" s="64"/>
      <c r="AN324" s="65" t="e">
        <v>#N/A</v>
      </c>
      <c r="AO324" s="61" t="e">
        <v>#N/A</v>
      </c>
      <c r="AP324" s="61" t="e">
        <v>#N/A</v>
      </c>
      <c r="AQ324" s="61" t="e">
        <v>#N/A</v>
      </c>
      <c r="AR324" s="61" t="e">
        <v>#N/A</v>
      </c>
      <c r="AS324" s="61" t="e">
        <v>#N/A</v>
      </c>
      <c r="AT324" s="61" t="e">
        <v>#N/A</v>
      </c>
      <c r="AU324" s="61" t="e">
        <v>#N/A</v>
      </c>
      <c r="AV324" s="61" t="e">
        <v>#N/A</v>
      </c>
      <c r="AW324" s="61" t="e">
        <v>#N/A</v>
      </c>
      <c r="AX324" s="65" t="e">
        <v>#N/A</v>
      </c>
      <c r="AY324" s="66">
        <v>0.72199999999999998</v>
      </c>
      <c r="AZ324" s="61">
        <v>5.149</v>
      </c>
      <c r="BA324" s="61">
        <v>33.122999999999998</v>
      </c>
      <c r="BB324" s="61">
        <v>38.994</v>
      </c>
      <c r="BC324" s="61">
        <v>7.2999999999999995E-2</v>
      </c>
      <c r="BD324" s="61">
        <v>0.56899999999999995</v>
      </c>
      <c r="BE324" s="61">
        <v>4.1000000000000002E-2</v>
      </c>
      <c r="BF324" s="61" t="s">
        <v>122</v>
      </c>
      <c r="BG324" s="61">
        <v>5.641</v>
      </c>
      <c r="BH324" s="61">
        <v>4.3979999999999997</v>
      </c>
      <c r="BI324" s="61">
        <v>2.1000000000000001E-2</v>
      </c>
      <c r="BJ324" s="61">
        <v>10.06</v>
      </c>
      <c r="BK324" s="66">
        <v>10.743</v>
      </c>
      <c r="BL324" s="67">
        <v>11.484999999999999</v>
      </c>
      <c r="BM324" s="61" t="s">
        <v>121</v>
      </c>
      <c r="BN324" s="61" t="s">
        <v>121</v>
      </c>
      <c r="BO324" s="61" t="s">
        <v>121</v>
      </c>
      <c r="BP324" s="61">
        <v>11.484999999999999</v>
      </c>
      <c r="BQ324" s="61">
        <v>200.422</v>
      </c>
      <c r="BR324" s="61">
        <v>13.314</v>
      </c>
      <c r="BS324" s="61">
        <v>0.497</v>
      </c>
      <c r="BT324" s="61">
        <v>4.2809999999999997</v>
      </c>
      <c r="BU324" s="61">
        <v>9.31</v>
      </c>
      <c r="BV324" s="61">
        <v>25.713000000000001</v>
      </c>
      <c r="BW324" s="61">
        <v>35.023000000000003</v>
      </c>
      <c r="BX324" s="67">
        <v>253.53700000000001</v>
      </c>
      <c r="BY324" s="68">
        <v>108682</v>
      </c>
      <c r="BZ324" s="68">
        <v>116211</v>
      </c>
      <c r="CA324" s="69">
        <v>6697</v>
      </c>
      <c r="CB324" s="68">
        <v>138571</v>
      </c>
      <c r="CC324" s="68">
        <v>5944</v>
      </c>
      <c r="CD324" s="61"/>
      <c r="CE324" s="64"/>
      <c r="CF324" s="64"/>
      <c r="CG324" s="70">
        <f t="shared" si="27"/>
        <v>5819.982</v>
      </c>
      <c r="CH324" s="70">
        <f t="shared" si="28"/>
        <v>281.274</v>
      </c>
      <c r="CI324" s="70">
        <f t="shared" si="29"/>
        <v>249.648</v>
      </c>
      <c r="CJ324" s="70">
        <f t="shared" si="25"/>
        <v>4564.6440000000002</v>
      </c>
      <c r="CK324" s="70">
        <f t="shared" si="25"/>
        <v>4880.8620000000001</v>
      </c>
      <c r="CL324" s="70">
        <f t="shared" si="26"/>
        <v>0</v>
      </c>
      <c r="CM324" s="61"/>
      <c r="CN324" s="61"/>
      <c r="CO324" s="61"/>
      <c r="CP324" s="61"/>
      <c r="CQ324" s="61"/>
      <c r="CR324" s="61"/>
      <c r="CS324" s="61"/>
      <c r="CT324" s="61"/>
      <c r="CU324" s="61"/>
      <c r="CV324" s="61"/>
      <c r="CW324" s="61"/>
      <c r="CX324" s="61"/>
      <c r="CY324" s="61"/>
      <c r="CZ324" s="61"/>
      <c r="DA324" s="61"/>
      <c r="DB324" s="61"/>
      <c r="DC324" s="61"/>
      <c r="DD324" s="61"/>
      <c r="DE324" s="61"/>
      <c r="DF324" s="61"/>
      <c r="DG324" s="61"/>
      <c r="DH324" s="61"/>
      <c r="DI324" s="61"/>
      <c r="DJ324" s="61"/>
      <c r="DK324" s="61"/>
      <c r="DL324" s="61"/>
      <c r="DM324" s="61"/>
      <c r="DN324" s="61"/>
      <c r="DO324" s="61"/>
      <c r="DP324" s="61"/>
      <c r="DQ324" s="61"/>
      <c r="DR324" s="61"/>
      <c r="DS324" s="61"/>
      <c r="DT324" s="61"/>
      <c r="DU324" s="61"/>
      <c r="DV324" s="61"/>
      <c r="DW324" s="61"/>
      <c r="DX324" s="61"/>
      <c r="DY324" s="61"/>
      <c r="DZ324" s="61"/>
      <c r="EA324" s="61"/>
      <c r="EB324" s="61"/>
      <c r="EC324" s="61"/>
      <c r="ED324" s="61"/>
      <c r="EE324" s="61"/>
      <c r="EF324" s="61"/>
      <c r="EG324" s="61"/>
      <c r="EH324" s="61"/>
      <c r="EI324" s="61"/>
      <c r="EJ324" s="61"/>
      <c r="EK324" s="61"/>
      <c r="EL324" s="61"/>
      <c r="EM324" s="61"/>
      <c r="EN324" s="61"/>
      <c r="EO324" s="61"/>
      <c r="EP324" s="61"/>
      <c r="EQ324" s="61"/>
      <c r="ER324" s="61"/>
      <c r="ES324" s="61"/>
      <c r="ET324" s="61"/>
      <c r="EU324" s="61"/>
      <c r="EV324" s="61"/>
      <c r="EW324" s="61"/>
    </row>
    <row r="325" spans="1:153">
      <c r="A325" s="56">
        <v>36465</v>
      </c>
      <c r="B325" s="57"/>
      <c r="C325" s="7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71"/>
      <c r="P325" s="60">
        <v>192.21899999999999</v>
      </c>
      <c r="Q325" s="61">
        <v>18.100999999999999</v>
      </c>
      <c r="R325" s="61">
        <v>254.125</v>
      </c>
      <c r="S325" s="61">
        <v>492.90199999999999</v>
      </c>
      <c r="T325" s="61">
        <v>216.417</v>
      </c>
      <c r="U325" s="61">
        <v>14.215999999999999</v>
      </c>
      <c r="V325" s="61">
        <v>4.5220000000000002</v>
      </c>
      <c r="W325" s="61">
        <v>3.6219999999999999</v>
      </c>
      <c r="X325" s="61">
        <v>192.21899999999999</v>
      </c>
      <c r="Y325" s="61">
        <v>43.805</v>
      </c>
      <c r="Z325" s="61">
        <v>19.651</v>
      </c>
      <c r="AA325" s="61">
        <v>255.67500000000001</v>
      </c>
      <c r="AB325" s="60">
        <v>494.452</v>
      </c>
      <c r="AC325" s="62"/>
      <c r="AD325" s="61"/>
      <c r="AE325" s="61"/>
      <c r="AF325" s="61"/>
      <c r="AG325" s="61"/>
      <c r="AH325" s="61"/>
      <c r="AI325" s="61"/>
      <c r="AJ325" s="61"/>
      <c r="AK325" s="62"/>
      <c r="AL325" s="63"/>
      <c r="AM325" s="64"/>
      <c r="AN325" s="65" t="e">
        <v>#N/A</v>
      </c>
      <c r="AO325" s="61" t="e">
        <v>#N/A</v>
      </c>
      <c r="AP325" s="61" t="e">
        <v>#N/A</v>
      </c>
      <c r="AQ325" s="61" t="e">
        <v>#N/A</v>
      </c>
      <c r="AR325" s="61" t="e">
        <v>#N/A</v>
      </c>
      <c r="AS325" s="61" t="e">
        <v>#N/A</v>
      </c>
      <c r="AT325" s="61" t="e">
        <v>#N/A</v>
      </c>
      <c r="AU325" s="61" t="e">
        <v>#N/A</v>
      </c>
      <c r="AV325" s="61" t="e">
        <v>#N/A</v>
      </c>
      <c r="AW325" s="61" t="e">
        <v>#N/A</v>
      </c>
      <c r="AX325" s="65" t="e">
        <v>#N/A</v>
      </c>
      <c r="AY325" s="66">
        <v>0.69899999999999995</v>
      </c>
      <c r="AZ325" s="61">
        <v>4.2229999999999999</v>
      </c>
      <c r="BA325" s="61">
        <v>32.055</v>
      </c>
      <c r="BB325" s="61">
        <v>36.976999999999997</v>
      </c>
      <c r="BC325" s="61">
        <v>7.8E-2</v>
      </c>
      <c r="BD325" s="61">
        <v>0.55100000000000005</v>
      </c>
      <c r="BE325" s="61">
        <v>3.4000000000000002E-2</v>
      </c>
      <c r="BF325" s="61" t="s">
        <v>122</v>
      </c>
      <c r="BG325" s="61">
        <v>5.4829999999999997</v>
      </c>
      <c r="BH325" s="61">
        <v>4.3520000000000003</v>
      </c>
      <c r="BI325" s="61">
        <v>2.1000000000000001E-2</v>
      </c>
      <c r="BJ325" s="61">
        <v>9.8559999999999999</v>
      </c>
      <c r="BK325" s="66">
        <v>10.518000000000001</v>
      </c>
      <c r="BL325" s="67">
        <v>11.804</v>
      </c>
      <c r="BM325" s="61" t="s">
        <v>121</v>
      </c>
      <c r="BN325" s="61" t="s">
        <v>121</v>
      </c>
      <c r="BO325" s="61" t="s">
        <v>121</v>
      </c>
      <c r="BP325" s="61">
        <v>11.804</v>
      </c>
      <c r="BQ325" s="61">
        <v>213.11699999999999</v>
      </c>
      <c r="BR325" s="61">
        <v>12.63</v>
      </c>
      <c r="BS325" s="61">
        <v>0.25700000000000001</v>
      </c>
      <c r="BT325" s="61">
        <v>3.6219999999999999</v>
      </c>
      <c r="BU325" s="61">
        <v>12.388999999999999</v>
      </c>
      <c r="BV325" s="61">
        <v>25.440999999999999</v>
      </c>
      <c r="BW325" s="61">
        <v>37.83</v>
      </c>
      <c r="BX325" s="67">
        <v>267.45600000000002</v>
      </c>
      <c r="BY325" s="68">
        <v>108241</v>
      </c>
      <c r="BZ325" s="68">
        <v>108243</v>
      </c>
      <c r="CA325" s="69">
        <v>7939</v>
      </c>
      <c r="CB325" s="68">
        <v>141405</v>
      </c>
      <c r="CC325" s="68">
        <v>5103</v>
      </c>
      <c r="CD325" s="61"/>
      <c r="CE325" s="64"/>
      <c r="CF325" s="64"/>
      <c r="CG325" s="70">
        <f t="shared" si="27"/>
        <v>5939.01</v>
      </c>
      <c r="CH325" s="70">
        <f t="shared" si="28"/>
        <v>333.43799999999999</v>
      </c>
      <c r="CI325" s="70">
        <f t="shared" si="29"/>
        <v>214.32599999999999</v>
      </c>
      <c r="CJ325" s="70">
        <f t="shared" si="25"/>
        <v>4546.1220000000003</v>
      </c>
      <c r="CK325" s="70">
        <f t="shared" si="25"/>
        <v>4546.2060000000001</v>
      </c>
      <c r="CL325" s="70">
        <f t="shared" si="26"/>
        <v>0</v>
      </c>
      <c r="CM325" s="61"/>
      <c r="CN325" s="61"/>
      <c r="CO325" s="61"/>
      <c r="CP325" s="61"/>
      <c r="CQ325" s="61"/>
      <c r="CR325" s="61"/>
      <c r="CS325" s="61"/>
      <c r="CT325" s="61"/>
      <c r="CU325" s="61"/>
      <c r="CV325" s="61"/>
      <c r="CW325" s="61"/>
      <c r="CX325" s="61"/>
      <c r="CY325" s="61"/>
      <c r="CZ325" s="61"/>
      <c r="DA325" s="61"/>
      <c r="DB325" s="61"/>
      <c r="DC325" s="61"/>
      <c r="DD325" s="61"/>
      <c r="DE325" s="61"/>
      <c r="DF325" s="61"/>
      <c r="DG325" s="61"/>
      <c r="DH325" s="61"/>
      <c r="DI325" s="61"/>
      <c r="DJ325" s="61"/>
      <c r="DK325" s="61"/>
      <c r="DL325" s="61"/>
      <c r="DM325" s="61"/>
      <c r="DN325" s="61"/>
      <c r="DO325" s="61"/>
      <c r="DP325" s="61"/>
      <c r="DQ325" s="61"/>
      <c r="DR325" s="61"/>
      <c r="DS325" s="61"/>
      <c r="DT325" s="61"/>
      <c r="DU325" s="61"/>
      <c r="DV325" s="61"/>
      <c r="DW325" s="61"/>
      <c r="DX325" s="61"/>
      <c r="DY325" s="61"/>
      <c r="DZ325" s="61"/>
      <c r="EA325" s="61"/>
      <c r="EB325" s="61"/>
      <c r="EC325" s="61"/>
      <c r="ED325" s="61"/>
      <c r="EE325" s="61"/>
      <c r="EF325" s="61"/>
      <c r="EG325" s="61"/>
      <c r="EH325" s="61"/>
      <c r="EI325" s="61"/>
      <c r="EJ325" s="61"/>
      <c r="EK325" s="61"/>
      <c r="EL325" s="61"/>
      <c r="EM325" s="61"/>
      <c r="EN325" s="61"/>
      <c r="EO325" s="61"/>
      <c r="EP325" s="61"/>
      <c r="EQ325" s="61"/>
      <c r="ER325" s="61"/>
      <c r="ES325" s="61"/>
      <c r="ET325" s="61"/>
      <c r="EU325" s="61"/>
      <c r="EV325" s="61"/>
      <c r="EW325" s="61"/>
    </row>
    <row r="326" spans="1:153">
      <c r="A326" s="56">
        <v>36495</v>
      </c>
      <c r="B326" s="57"/>
      <c r="C326" s="7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71"/>
      <c r="P326" s="60">
        <v>171.05600000000001</v>
      </c>
      <c r="Q326" s="61">
        <v>20.99</v>
      </c>
      <c r="R326" s="61">
        <v>235.215</v>
      </c>
      <c r="S326" s="61">
        <v>515.274</v>
      </c>
      <c r="T326" s="61">
        <v>255.34399999999999</v>
      </c>
      <c r="U326" s="61">
        <v>15.327999999999999</v>
      </c>
      <c r="V326" s="61">
        <v>4.2320000000000002</v>
      </c>
      <c r="W326" s="61">
        <v>5.1550000000000002</v>
      </c>
      <c r="X326" s="61">
        <v>171.05600000000001</v>
      </c>
      <c r="Y326" s="61">
        <v>43.17</v>
      </c>
      <c r="Z326" s="61">
        <v>22.398</v>
      </c>
      <c r="AA326" s="61">
        <v>236.62299999999999</v>
      </c>
      <c r="AB326" s="60">
        <v>516.68200000000002</v>
      </c>
      <c r="AC326" s="62"/>
      <c r="AD326" s="61"/>
      <c r="AE326" s="61"/>
      <c r="AF326" s="61"/>
      <c r="AG326" s="61"/>
      <c r="AH326" s="61"/>
      <c r="AI326" s="61"/>
      <c r="AJ326" s="61"/>
      <c r="AK326" s="62"/>
      <c r="AL326" s="63"/>
      <c r="AM326" s="64"/>
      <c r="AN326" s="65" t="e">
        <v>#N/A</v>
      </c>
      <c r="AO326" s="61" t="e">
        <v>#N/A</v>
      </c>
      <c r="AP326" s="61" t="e">
        <v>#N/A</v>
      </c>
      <c r="AQ326" s="61" t="e">
        <v>#N/A</v>
      </c>
      <c r="AR326" s="61" t="e">
        <v>#N/A</v>
      </c>
      <c r="AS326" s="61" t="e">
        <v>#N/A</v>
      </c>
      <c r="AT326" s="61" t="e">
        <v>#N/A</v>
      </c>
      <c r="AU326" s="61" t="e">
        <v>#N/A</v>
      </c>
      <c r="AV326" s="61" t="e">
        <v>#N/A</v>
      </c>
      <c r="AW326" s="61" t="e">
        <v>#N/A</v>
      </c>
      <c r="AX326" s="65" t="e">
        <v>#N/A</v>
      </c>
      <c r="AY326" s="66">
        <v>0.72199999999999998</v>
      </c>
      <c r="AZ326" s="61">
        <v>4.0090000000000003</v>
      </c>
      <c r="BA326" s="61">
        <v>33.122999999999998</v>
      </c>
      <c r="BB326" s="61">
        <v>37.853999999999999</v>
      </c>
      <c r="BC326" s="61">
        <v>9.1999999999999998E-2</v>
      </c>
      <c r="BD326" s="61">
        <v>0.56899999999999995</v>
      </c>
      <c r="BE326" s="61">
        <v>3.2000000000000001E-2</v>
      </c>
      <c r="BF326" s="61" t="s">
        <v>122</v>
      </c>
      <c r="BG326" s="61">
        <v>5.6459999999999999</v>
      </c>
      <c r="BH326" s="61">
        <v>4.2149999999999999</v>
      </c>
      <c r="BI326" s="61">
        <v>2.4E-2</v>
      </c>
      <c r="BJ326" s="61">
        <v>9.8840000000000003</v>
      </c>
      <c r="BK326" s="66">
        <v>10.577</v>
      </c>
      <c r="BL326" s="67">
        <v>13.302</v>
      </c>
      <c r="BM326" s="61" t="s">
        <v>121</v>
      </c>
      <c r="BN326" s="61" t="s">
        <v>121</v>
      </c>
      <c r="BO326" s="61" t="s">
        <v>121</v>
      </c>
      <c r="BP326" s="61">
        <v>13.302</v>
      </c>
      <c r="BQ326" s="61">
        <v>251.45</v>
      </c>
      <c r="BR326" s="61">
        <v>13.689</v>
      </c>
      <c r="BS326" s="61">
        <v>0.183</v>
      </c>
      <c r="BT326" s="61">
        <v>5.1550000000000002</v>
      </c>
      <c r="BU326" s="61">
        <v>9.9879999999999995</v>
      </c>
      <c r="BV326" s="61">
        <v>24.638999999999999</v>
      </c>
      <c r="BW326" s="61">
        <v>34.627000000000002</v>
      </c>
      <c r="BX326" s="67">
        <v>305.10399999999998</v>
      </c>
      <c r="BY326" s="68">
        <v>105442</v>
      </c>
      <c r="BZ326" s="68">
        <v>120641</v>
      </c>
      <c r="CA326" s="69">
        <v>5840</v>
      </c>
      <c r="CB326" s="68">
        <v>125463</v>
      </c>
      <c r="CC326" s="68">
        <v>6583</v>
      </c>
      <c r="CD326" s="61"/>
      <c r="CE326" s="64"/>
      <c r="CF326" s="64"/>
      <c r="CG326" s="70">
        <f t="shared" si="27"/>
        <v>5269.4459999999999</v>
      </c>
      <c r="CH326" s="70">
        <f t="shared" si="28"/>
        <v>245.28</v>
      </c>
      <c r="CI326" s="70">
        <f t="shared" si="29"/>
        <v>276.48599999999999</v>
      </c>
      <c r="CJ326" s="70">
        <f t="shared" si="25"/>
        <v>4428.5640000000003</v>
      </c>
      <c r="CK326" s="70">
        <f t="shared" si="25"/>
        <v>5066.9219999999996</v>
      </c>
      <c r="CL326" s="70">
        <f t="shared" si="26"/>
        <v>0</v>
      </c>
      <c r="CM326" s="61"/>
      <c r="CN326" s="61"/>
      <c r="CO326" s="61"/>
      <c r="CP326" s="61"/>
      <c r="CQ326" s="61"/>
      <c r="CR326" s="61"/>
      <c r="CS326" s="61"/>
      <c r="CT326" s="61"/>
      <c r="CU326" s="61"/>
      <c r="CV326" s="61"/>
      <c r="CW326" s="61"/>
      <c r="CX326" s="61"/>
      <c r="CY326" s="61"/>
      <c r="CZ326" s="61"/>
      <c r="DA326" s="61"/>
      <c r="DB326" s="61"/>
      <c r="DC326" s="61"/>
      <c r="DD326" s="61"/>
      <c r="DE326" s="61"/>
      <c r="DF326" s="61"/>
      <c r="DG326" s="61"/>
      <c r="DH326" s="61"/>
      <c r="DI326" s="61"/>
      <c r="DJ326" s="61"/>
      <c r="DK326" s="61"/>
      <c r="DL326" s="61"/>
      <c r="DM326" s="61"/>
      <c r="DN326" s="61"/>
      <c r="DO326" s="61"/>
      <c r="DP326" s="61"/>
      <c r="DQ326" s="61"/>
      <c r="DR326" s="61"/>
      <c r="DS326" s="61"/>
      <c r="DT326" s="61"/>
      <c r="DU326" s="61"/>
      <c r="DV326" s="61"/>
      <c r="DW326" s="61"/>
      <c r="DX326" s="61"/>
      <c r="DY326" s="61"/>
      <c r="DZ326" s="61"/>
      <c r="EA326" s="61"/>
      <c r="EB326" s="61"/>
      <c r="EC326" s="61"/>
      <c r="ED326" s="61"/>
      <c r="EE326" s="61"/>
      <c r="EF326" s="61"/>
      <c r="EG326" s="61"/>
      <c r="EH326" s="61"/>
      <c r="EI326" s="61"/>
      <c r="EJ326" s="61"/>
      <c r="EK326" s="61"/>
      <c r="EL326" s="61"/>
      <c r="EM326" s="61"/>
      <c r="EN326" s="61"/>
      <c r="EO326" s="61"/>
      <c r="EP326" s="61"/>
      <c r="EQ326" s="61"/>
      <c r="ER326" s="61"/>
      <c r="ES326" s="61"/>
      <c r="ET326" s="61"/>
      <c r="EU326" s="61"/>
      <c r="EV326" s="61"/>
      <c r="EW326" s="61"/>
    </row>
    <row r="327" spans="1:153">
      <c r="A327" s="56">
        <v>36526</v>
      </c>
      <c r="B327" s="57"/>
      <c r="C327" s="7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71"/>
      <c r="P327" s="60">
        <v>160.708</v>
      </c>
      <c r="Q327" s="61">
        <v>19.338999999999999</v>
      </c>
      <c r="R327" s="61">
        <v>222.06700000000001</v>
      </c>
      <c r="S327" s="61">
        <v>505.14699999999999</v>
      </c>
      <c r="T327" s="61">
        <v>258.51799999999997</v>
      </c>
      <c r="U327" s="61">
        <v>14.724</v>
      </c>
      <c r="V327" s="61">
        <v>3.2549999999999999</v>
      </c>
      <c r="W327" s="61">
        <v>6.5830000000000002</v>
      </c>
      <c r="X327" s="61">
        <v>160.708</v>
      </c>
      <c r="Y327" s="61">
        <v>42.021000000000001</v>
      </c>
      <c r="Z327" s="61">
        <v>19.713000000000001</v>
      </c>
      <c r="AA327" s="61">
        <v>222.44200000000001</v>
      </c>
      <c r="AB327" s="60">
        <v>505.52199999999999</v>
      </c>
      <c r="AC327" s="62"/>
      <c r="AD327" s="61"/>
      <c r="AE327" s="61"/>
      <c r="AF327" s="61"/>
      <c r="AG327" s="61"/>
      <c r="AH327" s="61"/>
      <c r="AI327" s="61"/>
      <c r="AJ327" s="61"/>
      <c r="AK327" s="62"/>
      <c r="AL327" s="63"/>
      <c r="AM327" s="64"/>
      <c r="AN327" s="65" t="e">
        <v>#N/A</v>
      </c>
      <c r="AO327" s="61" t="e">
        <v>#N/A</v>
      </c>
      <c r="AP327" s="61" t="e">
        <v>#N/A</v>
      </c>
      <c r="AQ327" s="61" t="e">
        <v>#N/A</v>
      </c>
      <c r="AR327" s="61" t="e">
        <v>#N/A</v>
      </c>
      <c r="AS327" s="61" t="e">
        <v>#N/A</v>
      </c>
      <c r="AT327" s="61" t="e">
        <v>#N/A</v>
      </c>
      <c r="AU327" s="61" t="e">
        <v>#N/A</v>
      </c>
      <c r="AV327" s="61" t="e">
        <v>#N/A</v>
      </c>
      <c r="AW327" s="61" t="e">
        <v>#N/A</v>
      </c>
      <c r="AX327" s="65" t="e">
        <v>#N/A</v>
      </c>
      <c r="AY327" s="66">
        <v>0.72799999999999998</v>
      </c>
      <c r="AZ327" s="61">
        <v>3.1259999999999999</v>
      </c>
      <c r="BA327" s="61">
        <v>35.573999999999998</v>
      </c>
      <c r="BB327" s="61">
        <v>39.427999999999997</v>
      </c>
      <c r="BC327" s="61">
        <v>9.4E-2</v>
      </c>
      <c r="BD327" s="61">
        <v>0.64400000000000002</v>
      </c>
      <c r="BE327" s="61">
        <v>0.03</v>
      </c>
      <c r="BF327" s="61" t="s">
        <v>122</v>
      </c>
      <c r="BG327" s="61">
        <v>6.0250000000000004</v>
      </c>
      <c r="BH327" s="61">
        <v>3.8559999999999999</v>
      </c>
      <c r="BI327" s="61">
        <v>3.2000000000000001E-2</v>
      </c>
      <c r="BJ327" s="61">
        <v>9.9130000000000003</v>
      </c>
      <c r="BK327" s="66">
        <v>10.68</v>
      </c>
      <c r="BL327" s="67">
        <v>11.348000000000001</v>
      </c>
      <c r="BM327" s="61" t="s">
        <v>121</v>
      </c>
      <c r="BN327" s="61" t="s">
        <v>121</v>
      </c>
      <c r="BO327" s="61" t="s">
        <v>121</v>
      </c>
      <c r="BP327" s="61">
        <v>11.348000000000001</v>
      </c>
      <c r="BQ327" s="61">
        <v>254.54499999999999</v>
      </c>
      <c r="BR327" s="61">
        <v>12.978999999999999</v>
      </c>
      <c r="BS327" s="61">
        <v>9.2999999999999999E-2</v>
      </c>
      <c r="BT327" s="61">
        <v>6.5830000000000002</v>
      </c>
      <c r="BU327" s="61">
        <v>8.3729999999999993</v>
      </c>
      <c r="BV327" s="61">
        <v>25.983000000000001</v>
      </c>
      <c r="BW327" s="61">
        <v>34.356000000000002</v>
      </c>
      <c r="BX327" s="67">
        <v>308.55500000000001</v>
      </c>
      <c r="BY327" s="68">
        <v>96816</v>
      </c>
      <c r="BZ327" s="68">
        <v>118350</v>
      </c>
      <c r="CA327" s="69">
        <v>6746</v>
      </c>
      <c r="CB327" s="68">
        <v>106577</v>
      </c>
      <c r="CC327" s="68">
        <v>4098</v>
      </c>
      <c r="CD327" s="61"/>
      <c r="CE327" s="64"/>
      <c r="CF327" s="64"/>
      <c r="CG327" s="70">
        <f t="shared" si="27"/>
        <v>4476.2340000000004</v>
      </c>
      <c r="CH327" s="70">
        <f t="shared" si="28"/>
        <v>283.33199999999999</v>
      </c>
      <c r="CI327" s="70">
        <f t="shared" si="29"/>
        <v>172.11600000000001</v>
      </c>
      <c r="CJ327" s="70">
        <f t="shared" ref="CJ327:CK390" si="30">BY327*42/1000</f>
        <v>4066.2719999999999</v>
      </c>
      <c r="CK327" s="70">
        <f t="shared" si="30"/>
        <v>4970.7</v>
      </c>
      <c r="CL327" s="70">
        <f t="shared" si="26"/>
        <v>0</v>
      </c>
      <c r="CM327" s="61"/>
      <c r="CN327" s="61"/>
      <c r="CO327" s="61"/>
      <c r="CP327" s="61"/>
      <c r="CQ327" s="61"/>
      <c r="CR327" s="61"/>
      <c r="CS327" s="61"/>
      <c r="CT327" s="61"/>
      <c r="CU327" s="61"/>
      <c r="CV327" s="61"/>
      <c r="CW327" s="61"/>
      <c r="CX327" s="61"/>
      <c r="CY327" s="61"/>
      <c r="CZ327" s="61"/>
      <c r="DA327" s="61"/>
      <c r="DB327" s="61"/>
      <c r="DC327" s="61"/>
      <c r="DD327" s="61"/>
      <c r="DE327" s="61"/>
      <c r="DF327" s="61"/>
      <c r="DG327" s="61"/>
      <c r="DH327" s="61"/>
      <c r="DI327" s="61"/>
      <c r="DJ327" s="61"/>
      <c r="DK327" s="61"/>
      <c r="DL327" s="61"/>
      <c r="DM327" s="61"/>
      <c r="DN327" s="61"/>
      <c r="DO327" s="61"/>
      <c r="DP327" s="61"/>
      <c r="DQ327" s="61"/>
      <c r="DR327" s="61"/>
      <c r="DS327" s="61"/>
      <c r="DT327" s="61"/>
      <c r="DU327" s="61"/>
      <c r="DV327" s="61"/>
      <c r="DW327" s="61"/>
      <c r="DX327" s="61"/>
      <c r="DY327" s="61"/>
      <c r="DZ327" s="61"/>
      <c r="EA327" s="61"/>
      <c r="EB327" s="61"/>
      <c r="EC327" s="61"/>
      <c r="ED327" s="61"/>
      <c r="EE327" s="61"/>
      <c r="EF327" s="61"/>
      <c r="EG327" s="61"/>
      <c r="EH327" s="61"/>
      <c r="EI327" s="61"/>
      <c r="EJ327" s="61"/>
      <c r="EK327" s="61"/>
      <c r="EL327" s="61"/>
      <c r="EM327" s="61"/>
      <c r="EN327" s="61"/>
      <c r="EO327" s="61"/>
      <c r="EP327" s="61"/>
      <c r="EQ327" s="61"/>
      <c r="ER327" s="61"/>
      <c r="ES327" s="61"/>
      <c r="ET327" s="61"/>
      <c r="EU327" s="61"/>
      <c r="EV327" s="61"/>
      <c r="EW327" s="61"/>
    </row>
    <row r="328" spans="1:153">
      <c r="A328" s="56">
        <v>36557</v>
      </c>
      <c r="B328" s="57"/>
      <c r="C328" s="7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71"/>
      <c r="P328" s="60">
        <v>185.25899999999999</v>
      </c>
      <c r="Q328" s="61">
        <v>18.257999999999999</v>
      </c>
      <c r="R328" s="61">
        <v>246.16900000000001</v>
      </c>
      <c r="S328" s="61">
        <v>499.95499999999998</v>
      </c>
      <c r="T328" s="61">
        <v>229.35400000000001</v>
      </c>
      <c r="U328" s="61">
        <v>13.606</v>
      </c>
      <c r="V328" s="61">
        <v>3.625</v>
      </c>
      <c r="W328" s="61">
        <v>7.2009999999999996</v>
      </c>
      <c r="X328" s="61">
        <v>185.25899999999999</v>
      </c>
      <c r="Y328" s="61">
        <v>42.652000000000001</v>
      </c>
      <c r="Z328" s="61">
        <v>17.294</v>
      </c>
      <c r="AA328" s="61">
        <v>245.20500000000001</v>
      </c>
      <c r="AB328" s="60">
        <v>498.99099999999999</v>
      </c>
      <c r="AC328" s="62"/>
      <c r="AD328" s="61"/>
      <c r="AE328" s="61"/>
      <c r="AF328" s="61"/>
      <c r="AG328" s="61"/>
      <c r="AH328" s="61"/>
      <c r="AI328" s="61"/>
      <c r="AJ328" s="61"/>
      <c r="AK328" s="62"/>
      <c r="AL328" s="63"/>
      <c r="AM328" s="64"/>
      <c r="AN328" s="65" t="e">
        <v>#N/A</v>
      </c>
      <c r="AO328" s="61" t="e">
        <v>#N/A</v>
      </c>
      <c r="AP328" s="61" t="e">
        <v>#N/A</v>
      </c>
      <c r="AQ328" s="61" t="e">
        <v>#N/A</v>
      </c>
      <c r="AR328" s="61" t="e">
        <v>#N/A</v>
      </c>
      <c r="AS328" s="61" t="e">
        <v>#N/A</v>
      </c>
      <c r="AT328" s="61" t="e">
        <v>#N/A</v>
      </c>
      <c r="AU328" s="61" t="e">
        <v>#N/A</v>
      </c>
      <c r="AV328" s="61" t="e">
        <v>#N/A</v>
      </c>
      <c r="AW328" s="61" t="e">
        <v>#N/A</v>
      </c>
      <c r="AX328" s="65" t="e">
        <v>#N/A</v>
      </c>
      <c r="AY328" s="66">
        <v>0.68100000000000005</v>
      </c>
      <c r="AZ328" s="61">
        <v>3.37</v>
      </c>
      <c r="BA328" s="61">
        <v>33.279000000000003</v>
      </c>
      <c r="BB328" s="61">
        <v>37.33</v>
      </c>
      <c r="BC328" s="61">
        <v>8.3000000000000004E-2</v>
      </c>
      <c r="BD328" s="61">
        <v>0.60199999999999998</v>
      </c>
      <c r="BE328" s="61">
        <v>3.2000000000000001E-2</v>
      </c>
      <c r="BF328" s="61" t="s">
        <v>122</v>
      </c>
      <c r="BG328" s="61">
        <v>5.6680000000000001</v>
      </c>
      <c r="BH328" s="61">
        <v>4.0010000000000003</v>
      </c>
      <c r="BI328" s="61">
        <v>2.5999999999999999E-2</v>
      </c>
      <c r="BJ328" s="61">
        <v>9.6959999999999997</v>
      </c>
      <c r="BK328" s="66">
        <v>10.413</v>
      </c>
      <c r="BL328" s="67">
        <v>9.4120000000000008</v>
      </c>
      <c r="BM328" s="61" t="s">
        <v>121</v>
      </c>
      <c r="BN328" s="61" t="s">
        <v>121</v>
      </c>
      <c r="BO328" s="61" t="s">
        <v>121</v>
      </c>
      <c r="BP328" s="61">
        <v>9.4120000000000008</v>
      </c>
      <c r="BQ328" s="61">
        <v>225.83</v>
      </c>
      <c r="BR328" s="61">
        <v>11.974</v>
      </c>
      <c r="BS328" s="61">
        <v>0.216</v>
      </c>
      <c r="BT328" s="61">
        <v>7.2009999999999996</v>
      </c>
      <c r="BU328" s="61">
        <v>11.231999999999999</v>
      </c>
      <c r="BV328" s="61">
        <v>26.963000000000001</v>
      </c>
      <c r="BW328" s="61">
        <v>38.195</v>
      </c>
      <c r="BX328" s="67">
        <v>283.41500000000002</v>
      </c>
      <c r="BY328" s="68">
        <v>97084</v>
      </c>
      <c r="BZ328" s="68">
        <v>110040</v>
      </c>
      <c r="CA328" s="69">
        <v>14780</v>
      </c>
      <c r="CB328" s="68">
        <v>105152</v>
      </c>
      <c r="CC328" s="68">
        <v>3249</v>
      </c>
      <c r="CD328" s="61"/>
      <c r="CE328" s="64"/>
      <c r="CF328" s="64"/>
      <c r="CG328" s="70">
        <f t="shared" si="27"/>
        <v>4416.384</v>
      </c>
      <c r="CH328" s="70">
        <f t="shared" si="28"/>
        <v>620.76</v>
      </c>
      <c r="CI328" s="70">
        <f t="shared" si="29"/>
        <v>136.458</v>
      </c>
      <c r="CJ328" s="70">
        <f t="shared" si="30"/>
        <v>4077.5279999999998</v>
      </c>
      <c r="CK328" s="70">
        <f t="shared" si="30"/>
        <v>4621.68</v>
      </c>
      <c r="CL328" s="70">
        <f t="shared" si="26"/>
        <v>0</v>
      </c>
      <c r="CM328" s="61"/>
      <c r="CN328" s="61"/>
      <c r="CO328" s="61"/>
      <c r="CP328" s="61"/>
      <c r="CQ328" s="61"/>
      <c r="CR328" s="61"/>
      <c r="CS328" s="61"/>
      <c r="CT328" s="61"/>
      <c r="CU328" s="61"/>
      <c r="CV328" s="61"/>
      <c r="CW328" s="61"/>
      <c r="CX328" s="61"/>
      <c r="CY328" s="61"/>
      <c r="CZ328" s="61"/>
      <c r="DA328" s="61"/>
      <c r="DB328" s="61"/>
      <c r="DC328" s="61"/>
      <c r="DD328" s="61"/>
      <c r="DE328" s="61"/>
      <c r="DF328" s="61"/>
      <c r="DG328" s="61"/>
      <c r="DH328" s="61"/>
      <c r="DI328" s="61"/>
      <c r="DJ328" s="61"/>
      <c r="DK328" s="61"/>
      <c r="DL328" s="61"/>
      <c r="DM328" s="61"/>
      <c r="DN328" s="61"/>
      <c r="DO328" s="61"/>
      <c r="DP328" s="61"/>
      <c r="DQ328" s="61"/>
      <c r="DR328" s="61"/>
      <c r="DS328" s="61"/>
      <c r="DT328" s="61"/>
      <c r="DU328" s="61"/>
      <c r="DV328" s="61"/>
      <c r="DW328" s="61"/>
      <c r="DX328" s="61"/>
      <c r="DY328" s="61"/>
      <c r="DZ328" s="61"/>
      <c r="EA328" s="61"/>
      <c r="EB328" s="61"/>
      <c r="EC328" s="61"/>
      <c r="ED328" s="61"/>
      <c r="EE328" s="61"/>
      <c r="EF328" s="61"/>
      <c r="EG328" s="61"/>
      <c r="EH328" s="61"/>
      <c r="EI328" s="61"/>
      <c r="EJ328" s="61"/>
      <c r="EK328" s="61"/>
      <c r="EL328" s="61"/>
      <c r="EM328" s="61"/>
      <c r="EN328" s="61"/>
      <c r="EO328" s="61"/>
      <c r="EP328" s="61"/>
      <c r="EQ328" s="61"/>
      <c r="ER328" s="61"/>
      <c r="ES328" s="61"/>
      <c r="ET328" s="61"/>
      <c r="EU328" s="61"/>
      <c r="EV328" s="61"/>
      <c r="EW328" s="61"/>
    </row>
    <row r="329" spans="1:153">
      <c r="A329" s="56">
        <v>36586</v>
      </c>
      <c r="B329" s="57"/>
      <c r="C329" s="7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71"/>
      <c r="P329" s="60">
        <v>195.714</v>
      </c>
      <c r="Q329" s="61">
        <v>19.501999999999999</v>
      </c>
      <c r="R329" s="61">
        <v>263.209</v>
      </c>
      <c r="S329" s="61">
        <v>558</v>
      </c>
      <c r="T329" s="61">
        <v>272.39699999999999</v>
      </c>
      <c r="U329" s="61">
        <v>13.848000000000001</v>
      </c>
      <c r="V329" s="61">
        <v>4.976</v>
      </c>
      <c r="W329" s="61">
        <v>3.5710000000000002</v>
      </c>
      <c r="X329" s="61">
        <v>195.714</v>
      </c>
      <c r="Y329" s="61">
        <v>47.994</v>
      </c>
      <c r="Z329" s="61">
        <v>19.972999999999999</v>
      </c>
      <c r="AA329" s="61">
        <v>263.68099999999998</v>
      </c>
      <c r="AB329" s="60">
        <v>558.47199999999998</v>
      </c>
      <c r="AC329" s="62"/>
      <c r="AD329" s="61"/>
      <c r="AE329" s="61"/>
      <c r="AF329" s="61"/>
      <c r="AG329" s="61"/>
      <c r="AH329" s="61"/>
      <c r="AI329" s="61"/>
      <c r="AJ329" s="61"/>
      <c r="AK329" s="62"/>
      <c r="AL329" s="63"/>
      <c r="AM329" s="64"/>
      <c r="AN329" s="65" t="e">
        <v>#N/A</v>
      </c>
      <c r="AO329" s="61" t="e">
        <v>#N/A</v>
      </c>
      <c r="AP329" s="61" t="e">
        <v>#N/A</v>
      </c>
      <c r="AQ329" s="61" t="e">
        <v>#N/A</v>
      </c>
      <c r="AR329" s="61" t="e">
        <v>#N/A</v>
      </c>
      <c r="AS329" s="61" t="e">
        <v>#N/A</v>
      </c>
      <c r="AT329" s="61" t="e">
        <v>#N/A</v>
      </c>
      <c r="AU329" s="61" t="e">
        <v>#N/A</v>
      </c>
      <c r="AV329" s="61" t="e">
        <v>#N/A</v>
      </c>
      <c r="AW329" s="61" t="e">
        <v>#N/A</v>
      </c>
      <c r="AX329" s="65" t="e">
        <v>#N/A</v>
      </c>
      <c r="AY329" s="66">
        <v>0.72799999999999998</v>
      </c>
      <c r="AZ329" s="61">
        <v>4.6429999999999998</v>
      </c>
      <c r="BA329" s="61">
        <v>35.573999999999998</v>
      </c>
      <c r="BB329" s="61">
        <v>40.945</v>
      </c>
      <c r="BC329" s="61">
        <v>9.9000000000000005E-2</v>
      </c>
      <c r="BD329" s="61">
        <v>0.64400000000000002</v>
      </c>
      <c r="BE329" s="61">
        <v>4.3999999999999997E-2</v>
      </c>
      <c r="BF329" s="61" t="s">
        <v>122</v>
      </c>
      <c r="BG329" s="61">
        <v>6.0570000000000004</v>
      </c>
      <c r="BH329" s="61">
        <v>4.5599999999999996</v>
      </c>
      <c r="BI329" s="61">
        <v>3.2000000000000001E-2</v>
      </c>
      <c r="BJ329" s="61">
        <v>10.65</v>
      </c>
      <c r="BK329" s="66">
        <v>11.436</v>
      </c>
      <c r="BL329" s="67">
        <v>11.537000000000001</v>
      </c>
      <c r="BM329" s="61" t="s">
        <v>121</v>
      </c>
      <c r="BN329" s="61" t="s">
        <v>121</v>
      </c>
      <c r="BO329" s="61" t="s">
        <v>121</v>
      </c>
      <c r="BP329" s="61">
        <v>11.537000000000001</v>
      </c>
      <c r="BQ329" s="61">
        <v>268.20999999999998</v>
      </c>
      <c r="BR329" s="61">
        <v>12.103</v>
      </c>
      <c r="BS329" s="61">
        <v>0.27900000000000003</v>
      </c>
      <c r="BT329" s="61">
        <v>3.5710000000000002</v>
      </c>
      <c r="BU329" s="61">
        <v>11.781000000000001</v>
      </c>
      <c r="BV329" s="61">
        <v>30.73</v>
      </c>
      <c r="BW329" s="61">
        <v>42.51</v>
      </c>
      <c r="BX329" s="67">
        <v>326.67399999999998</v>
      </c>
      <c r="BY329" s="68">
        <v>103617</v>
      </c>
      <c r="BZ329" s="68">
        <v>114495</v>
      </c>
      <c r="CA329" s="69">
        <v>8060</v>
      </c>
      <c r="CB329" s="68">
        <v>95802</v>
      </c>
      <c r="CC329" s="68">
        <v>6532</v>
      </c>
      <c r="CD329" s="61"/>
      <c r="CE329" s="64"/>
      <c r="CF329" s="64"/>
      <c r="CG329" s="70">
        <f t="shared" si="27"/>
        <v>4023.6840000000002</v>
      </c>
      <c r="CH329" s="70">
        <f t="shared" si="28"/>
        <v>338.52</v>
      </c>
      <c r="CI329" s="70">
        <f t="shared" si="29"/>
        <v>274.34399999999999</v>
      </c>
      <c r="CJ329" s="70">
        <f t="shared" si="30"/>
        <v>4351.9139999999998</v>
      </c>
      <c r="CK329" s="70">
        <f t="shared" si="30"/>
        <v>4808.79</v>
      </c>
      <c r="CL329" s="70">
        <f t="shared" si="26"/>
        <v>0</v>
      </c>
      <c r="CM329" s="61"/>
      <c r="CN329" s="61"/>
      <c r="CO329" s="61"/>
      <c r="CP329" s="61"/>
      <c r="CQ329" s="61"/>
      <c r="CR329" s="61"/>
      <c r="CS329" s="61"/>
      <c r="CT329" s="61"/>
      <c r="CU329" s="61"/>
      <c r="CV329" s="61"/>
      <c r="CW329" s="61"/>
      <c r="CX329" s="61"/>
      <c r="CY329" s="61"/>
      <c r="CZ329" s="61"/>
      <c r="DA329" s="61"/>
      <c r="DB329" s="61"/>
      <c r="DC329" s="61"/>
      <c r="DD329" s="61"/>
      <c r="DE329" s="61"/>
      <c r="DF329" s="61"/>
      <c r="DG329" s="61"/>
      <c r="DH329" s="61"/>
      <c r="DI329" s="61"/>
      <c r="DJ329" s="61"/>
      <c r="DK329" s="61"/>
      <c r="DL329" s="61"/>
      <c r="DM329" s="61"/>
      <c r="DN329" s="61"/>
      <c r="DO329" s="61"/>
      <c r="DP329" s="61"/>
      <c r="DQ329" s="61"/>
      <c r="DR329" s="61"/>
      <c r="DS329" s="61"/>
      <c r="DT329" s="61"/>
      <c r="DU329" s="61"/>
      <c r="DV329" s="61"/>
      <c r="DW329" s="61"/>
      <c r="DX329" s="61"/>
      <c r="DY329" s="61"/>
      <c r="DZ329" s="61"/>
      <c r="EA329" s="61"/>
      <c r="EB329" s="61"/>
      <c r="EC329" s="61"/>
      <c r="ED329" s="61"/>
      <c r="EE329" s="61"/>
      <c r="EF329" s="61"/>
      <c r="EG329" s="61"/>
      <c r="EH329" s="61"/>
      <c r="EI329" s="61"/>
      <c r="EJ329" s="61"/>
      <c r="EK329" s="61"/>
      <c r="EL329" s="61"/>
      <c r="EM329" s="61"/>
      <c r="EN329" s="61"/>
      <c r="EO329" s="61"/>
      <c r="EP329" s="61"/>
      <c r="EQ329" s="61"/>
      <c r="ER329" s="61"/>
      <c r="ES329" s="61"/>
      <c r="ET329" s="61"/>
      <c r="EU329" s="61"/>
      <c r="EV329" s="61"/>
      <c r="EW329" s="61"/>
    </row>
    <row r="330" spans="1:153">
      <c r="A330" s="56">
        <v>36617</v>
      </c>
      <c r="B330" s="57"/>
      <c r="C330" s="7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71"/>
      <c r="P330" s="60">
        <v>187.07</v>
      </c>
      <c r="Q330" s="61">
        <v>19.984999999999999</v>
      </c>
      <c r="R330" s="61">
        <v>254.60900000000001</v>
      </c>
      <c r="S330" s="61">
        <v>568.51800000000003</v>
      </c>
      <c r="T330" s="61">
        <v>290.62299999999999</v>
      </c>
      <c r="U330" s="61">
        <v>14.367000000000001</v>
      </c>
      <c r="V330" s="61">
        <v>5.5529999999999999</v>
      </c>
      <c r="W330" s="61">
        <v>3.367</v>
      </c>
      <c r="X330" s="61">
        <v>187.07</v>
      </c>
      <c r="Y330" s="61">
        <v>47.555</v>
      </c>
      <c r="Z330" s="61">
        <v>18.611000000000001</v>
      </c>
      <c r="AA330" s="61">
        <v>253.23500000000001</v>
      </c>
      <c r="AB330" s="60">
        <v>567.14499999999998</v>
      </c>
      <c r="AC330" s="62"/>
      <c r="AD330" s="61"/>
      <c r="AE330" s="61"/>
      <c r="AF330" s="61"/>
      <c r="AG330" s="61"/>
      <c r="AH330" s="61"/>
      <c r="AI330" s="61"/>
      <c r="AJ330" s="61"/>
      <c r="AK330" s="62"/>
      <c r="AL330" s="63"/>
      <c r="AM330" s="64"/>
      <c r="AN330" s="65" t="e">
        <v>#N/A</v>
      </c>
      <c r="AO330" s="61" t="e">
        <v>#N/A</v>
      </c>
      <c r="AP330" s="61" t="e">
        <v>#N/A</v>
      </c>
      <c r="AQ330" s="61" t="e">
        <v>#N/A</v>
      </c>
      <c r="AR330" s="61" t="e">
        <v>#N/A</v>
      </c>
      <c r="AS330" s="61" t="e">
        <v>#N/A</v>
      </c>
      <c r="AT330" s="61" t="e">
        <v>#N/A</v>
      </c>
      <c r="AU330" s="61" t="e">
        <v>#N/A</v>
      </c>
      <c r="AV330" s="61" t="e">
        <v>#N/A</v>
      </c>
      <c r="AW330" s="61" t="e">
        <v>#N/A</v>
      </c>
      <c r="AX330" s="65" t="e">
        <v>#N/A</v>
      </c>
      <c r="AY330" s="66">
        <v>0.70499999999999996</v>
      </c>
      <c r="AZ330" s="61">
        <v>5.117</v>
      </c>
      <c r="BA330" s="61">
        <v>34.426000000000002</v>
      </c>
      <c r="BB330" s="61">
        <v>40.249000000000002</v>
      </c>
      <c r="BC330" s="61">
        <v>0.105</v>
      </c>
      <c r="BD330" s="61">
        <v>0.623</v>
      </c>
      <c r="BE330" s="61">
        <v>4.8000000000000001E-2</v>
      </c>
      <c r="BF330" s="61" t="s">
        <v>122</v>
      </c>
      <c r="BG330" s="61">
        <v>5.86</v>
      </c>
      <c r="BH330" s="61">
        <v>4.5439999999999996</v>
      </c>
      <c r="BI330" s="61">
        <v>2.8000000000000001E-2</v>
      </c>
      <c r="BJ330" s="61">
        <v>10.430999999999999</v>
      </c>
      <c r="BK330" s="66">
        <v>11.208</v>
      </c>
      <c r="BL330" s="67">
        <v>9.9879999999999995</v>
      </c>
      <c r="BM330" s="61" t="s">
        <v>121</v>
      </c>
      <c r="BN330" s="61" t="s">
        <v>121</v>
      </c>
      <c r="BO330" s="61" t="s">
        <v>121</v>
      </c>
      <c r="BP330" s="61">
        <v>9.9879999999999995</v>
      </c>
      <c r="BQ330" s="61">
        <v>286.15699999999998</v>
      </c>
      <c r="BR330" s="61">
        <v>12.679</v>
      </c>
      <c r="BS330" s="61">
        <v>0.376</v>
      </c>
      <c r="BT330" s="61">
        <v>3.367</v>
      </c>
      <c r="BU330" s="61">
        <v>11.173999999999999</v>
      </c>
      <c r="BV330" s="61">
        <v>30.619</v>
      </c>
      <c r="BW330" s="61">
        <v>41.792999999999999</v>
      </c>
      <c r="BX330" s="67">
        <v>344.37200000000001</v>
      </c>
      <c r="BY330" s="68">
        <v>105984</v>
      </c>
      <c r="BZ330" s="68">
        <v>103645</v>
      </c>
      <c r="CA330" s="69">
        <v>7032</v>
      </c>
      <c r="CB330" s="68">
        <v>99837</v>
      </c>
      <c r="CC330" s="68">
        <v>5336</v>
      </c>
      <c r="CD330" s="61"/>
      <c r="CE330" s="64"/>
      <c r="CF330" s="64"/>
      <c r="CG330" s="70">
        <f t="shared" si="27"/>
        <v>4193.1540000000005</v>
      </c>
      <c r="CH330" s="70">
        <f t="shared" si="28"/>
        <v>295.34399999999999</v>
      </c>
      <c r="CI330" s="70">
        <f t="shared" si="29"/>
        <v>224.11199999999999</v>
      </c>
      <c r="CJ330" s="70">
        <f t="shared" si="30"/>
        <v>4451.3280000000004</v>
      </c>
      <c r="CK330" s="70">
        <f t="shared" si="30"/>
        <v>4353.09</v>
      </c>
      <c r="CL330" s="70">
        <f t="shared" si="26"/>
        <v>0</v>
      </c>
      <c r="CM330" s="61"/>
      <c r="CN330" s="61"/>
      <c r="CO330" s="61"/>
      <c r="CP330" s="61"/>
      <c r="CQ330" s="61"/>
      <c r="CR330" s="61"/>
      <c r="CS330" s="61"/>
      <c r="CT330" s="61"/>
      <c r="CU330" s="61"/>
      <c r="CV330" s="61"/>
      <c r="CW330" s="61"/>
      <c r="CX330" s="61"/>
      <c r="CY330" s="61"/>
      <c r="CZ330" s="61"/>
      <c r="DA330" s="61"/>
      <c r="DB330" s="61"/>
      <c r="DC330" s="61"/>
      <c r="DD330" s="61"/>
      <c r="DE330" s="61"/>
      <c r="DF330" s="61"/>
      <c r="DG330" s="61"/>
      <c r="DH330" s="61"/>
      <c r="DI330" s="61"/>
      <c r="DJ330" s="61"/>
      <c r="DK330" s="61"/>
      <c r="DL330" s="61"/>
      <c r="DM330" s="61"/>
      <c r="DN330" s="61"/>
      <c r="DO330" s="61"/>
      <c r="DP330" s="61"/>
      <c r="DQ330" s="61"/>
      <c r="DR330" s="61"/>
      <c r="DS330" s="61"/>
      <c r="DT330" s="61"/>
      <c r="DU330" s="61"/>
      <c r="DV330" s="61"/>
      <c r="DW330" s="61"/>
      <c r="DX330" s="61"/>
      <c r="DY330" s="61"/>
      <c r="DZ330" s="61"/>
      <c r="EA330" s="61"/>
      <c r="EB330" s="61"/>
      <c r="EC330" s="61"/>
      <c r="ED330" s="61"/>
      <c r="EE330" s="61"/>
      <c r="EF330" s="61"/>
      <c r="EG330" s="61"/>
      <c r="EH330" s="61"/>
      <c r="EI330" s="61"/>
      <c r="EJ330" s="61"/>
      <c r="EK330" s="61"/>
      <c r="EL330" s="61"/>
      <c r="EM330" s="61"/>
      <c r="EN330" s="61"/>
      <c r="EO330" s="61"/>
      <c r="EP330" s="61"/>
      <c r="EQ330" s="61"/>
      <c r="ER330" s="61"/>
      <c r="ES330" s="61"/>
      <c r="ET330" s="61"/>
      <c r="EU330" s="61"/>
      <c r="EV330" s="61"/>
      <c r="EW330" s="61"/>
    </row>
    <row r="331" spans="1:153">
      <c r="A331" s="56">
        <v>36647</v>
      </c>
      <c r="B331" s="57"/>
      <c r="C331" s="7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71"/>
      <c r="P331" s="60">
        <v>184.011</v>
      </c>
      <c r="Q331" s="61">
        <v>19.972999999999999</v>
      </c>
      <c r="R331" s="61">
        <v>254.678</v>
      </c>
      <c r="S331" s="61">
        <v>558.71699999999998</v>
      </c>
      <c r="T331" s="61">
        <v>279.71899999999999</v>
      </c>
      <c r="U331" s="61">
        <v>13.885</v>
      </c>
      <c r="V331" s="61">
        <v>6.2729999999999997</v>
      </c>
      <c r="W331" s="61">
        <v>4.1630000000000003</v>
      </c>
      <c r="X331" s="61">
        <v>184.011</v>
      </c>
      <c r="Y331" s="61">
        <v>50.694000000000003</v>
      </c>
      <c r="Z331" s="61">
        <v>20.077000000000002</v>
      </c>
      <c r="AA331" s="61">
        <v>254.78200000000001</v>
      </c>
      <c r="AB331" s="60">
        <v>558.822</v>
      </c>
      <c r="AC331" s="62"/>
      <c r="AD331" s="61"/>
      <c r="AE331" s="61"/>
      <c r="AF331" s="61"/>
      <c r="AG331" s="61"/>
      <c r="AH331" s="61"/>
      <c r="AI331" s="61"/>
      <c r="AJ331" s="61"/>
      <c r="AK331" s="62"/>
      <c r="AL331" s="63"/>
      <c r="AM331" s="64"/>
      <c r="AN331" s="65" t="e">
        <v>#N/A</v>
      </c>
      <c r="AO331" s="61" t="e">
        <v>#N/A</v>
      </c>
      <c r="AP331" s="61" t="e">
        <v>#N/A</v>
      </c>
      <c r="AQ331" s="61" t="e">
        <v>#N/A</v>
      </c>
      <c r="AR331" s="61" t="e">
        <v>#N/A</v>
      </c>
      <c r="AS331" s="61" t="e">
        <v>#N/A</v>
      </c>
      <c r="AT331" s="61" t="e">
        <v>#N/A</v>
      </c>
      <c r="AU331" s="61" t="e">
        <v>#N/A</v>
      </c>
      <c r="AV331" s="61" t="e">
        <v>#N/A</v>
      </c>
      <c r="AW331" s="61" t="e">
        <v>#N/A</v>
      </c>
      <c r="AX331" s="65" t="e">
        <v>#N/A</v>
      </c>
      <c r="AY331" s="66">
        <v>0.72799999999999998</v>
      </c>
      <c r="AZ331" s="61">
        <v>5.649</v>
      </c>
      <c r="BA331" s="61">
        <v>35.573999999999998</v>
      </c>
      <c r="BB331" s="61">
        <v>41.951999999999998</v>
      </c>
      <c r="BC331" s="61">
        <v>0.10100000000000001</v>
      </c>
      <c r="BD331" s="61">
        <v>0.64400000000000002</v>
      </c>
      <c r="BE331" s="61">
        <v>5.2999999999999999E-2</v>
      </c>
      <c r="BF331" s="61" t="s">
        <v>122</v>
      </c>
      <c r="BG331" s="61">
        <v>6.0469999999999997</v>
      </c>
      <c r="BH331" s="61">
        <v>4.8789999999999996</v>
      </c>
      <c r="BI331" s="61">
        <v>3.2000000000000001E-2</v>
      </c>
      <c r="BJ331" s="61">
        <v>10.957000000000001</v>
      </c>
      <c r="BK331" s="66">
        <v>11.756</v>
      </c>
      <c r="BL331" s="67">
        <v>11.441000000000001</v>
      </c>
      <c r="BM331" s="61" t="s">
        <v>121</v>
      </c>
      <c r="BN331" s="61" t="s">
        <v>121</v>
      </c>
      <c r="BO331" s="61" t="s">
        <v>121</v>
      </c>
      <c r="BP331" s="61">
        <v>11.441000000000001</v>
      </c>
      <c r="BQ331" s="61">
        <v>275.42</v>
      </c>
      <c r="BR331" s="61">
        <v>12.14</v>
      </c>
      <c r="BS331" s="61">
        <v>0.55800000000000005</v>
      </c>
      <c r="BT331" s="61">
        <v>4.1630000000000003</v>
      </c>
      <c r="BU331" s="61">
        <v>10.641</v>
      </c>
      <c r="BV331" s="61">
        <v>32.875</v>
      </c>
      <c r="BW331" s="61">
        <v>43.517000000000003</v>
      </c>
      <c r="BX331" s="67">
        <v>335.79899999999998</v>
      </c>
      <c r="BY331" s="68">
        <v>113154</v>
      </c>
      <c r="BZ331" s="68">
        <v>114109</v>
      </c>
      <c r="CA331" s="69">
        <v>9801</v>
      </c>
      <c r="CB331" s="68">
        <v>104735</v>
      </c>
      <c r="CC331" s="68">
        <v>3948</v>
      </c>
      <c r="CD331" s="61"/>
      <c r="CE331" s="64"/>
      <c r="CF331" s="64"/>
      <c r="CG331" s="70">
        <f t="shared" si="27"/>
        <v>4398.87</v>
      </c>
      <c r="CH331" s="70">
        <f t="shared" si="28"/>
        <v>411.642</v>
      </c>
      <c r="CI331" s="70">
        <f t="shared" si="29"/>
        <v>165.816</v>
      </c>
      <c r="CJ331" s="70">
        <f t="shared" si="30"/>
        <v>4752.4679999999998</v>
      </c>
      <c r="CK331" s="70">
        <f t="shared" si="30"/>
        <v>4792.5780000000004</v>
      </c>
      <c r="CL331" s="70">
        <f t="shared" si="26"/>
        <v>0</v>
      </c>
      <c r="CM331" s="61"/>
      <c r="CN331" s="61"/>
      <c r="CO331" s="61"/>
      <c r="CP331" s="61"/>
      <c r="CQ331" s="61"/>
      <c r="CR331" s="61"/>
      <c r="CS331" s="61"/>
      <c r="CT331" s="61"/>
      <c r="CU331" s="61"/>
      <c r="CV331" s="61"/>
      <c r="CW331" s="61"/>
      <c r="CX331" s="61"/>
      <c r="CY331" s="61"/>
      <c r="CZ331" s="61"/>
      <c r="DA331" s="61"/>
      <c r="DB331" s="61"/>
      <c r="DC331" s="61"/>
      <c r="DD331" s="61"/>
      <c r="DE331" s="61"/>
      <c r="DF331" s="61"/>
      <c r="DG331" s="61"/>
      <c r="DH331" s="61"/>
      <c r="DI331" s="61"/>
      <c r="DJ331" s="61"/>
      <c r="DK331" s="61"/>
      <c r="DL331" s="61"/>
      <c r="DM331" s="61"/>
      <c r="DN331" s="61"/>
      <c r="DO331" s="61"/>
      <c r="DP331" s="61"/>
      <c r="DQ331" s="61"/>
      <c r="DR331" s="61"/>
      <c r="DS331" s="61"/>
      <c r="DT331" s="61"/>
      <c r="DU331" s="61"/>
      <c r="DV331" s="61"/>
      <c r="DW331" s="61"/>
      <c r="DX331" s="61"/>
      <c r="DY331" s="61"/>
      <c r="DZ331" s="61"/>
      <c r="EA331" s="61"/>
      <c r="EB331" s="61"/>
      <c r="EC331" s="61"/>
      <c r="ED331" s="61"/>
      <c r="EE331" s="61"/>
      <c r="EF331" s="61"/>
      <c r="EG331" s="61"/>
      <c r="EH331" s="61"/>
      <c r="EI331" s="61"/>
      <c r="EJ331" s="61"/>
      <c r="EK331" s="61"/>
      <c r="EL331" s="61"/>
      <c r="EM331" s="61"/>
      <c r="EN331" s="61"/>
      <c r="EO331" s="61"/>
      <c r="EP331" s="61"/>
      <c r="EQ331" s="61"/>
      <c r="ER331" s="61"/>
      <c r="ES331" s="61"/>
      <c r="ET331" s="61"/>
      <c r="EU331" s="61"/>
      <c r="EV331" s="61"/>
      <c r="EW331" s="61"/>
    </row>
    <row r="332" spans="1:153">
      <c r="A332" s="56">
        <v>36678</v>
      </c>
      <c r="B332" s="57"/>
      <c r="C332" s="7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71"/>
      <c r="P332" s="60">
        <v>167.726</v>
      </c>
      <c r="Q332" s="61">
        <v>17.672999999999998</v>
      </c>
      <c r="R332" s="61">
        <v>227.71199999999999</v>
      </c>
      <c r="S332" s="61">
        <v>509.108</v>
      </c>
      <c r="T332" s="61">
        <v>256.91300000000001</v>
      </c>
      <c r="U332" s="61">
        <v>13.563000000000001</v>
      </c>
      <c r="V332" s="61">
        <v>6.36</v>
      </c>
      <c r="W332" s="61">
        <v>4.5599999999999996</v>
      </c>
      <c r="X332" s="61">
        <v>167.726</v>
      </c>
      <c r="Y332" s="61">
        <v>42.314</v>
      </c>
      <c r="Z332" s="61">
        <v>16.306000000000001</v>
      </c>
      <c r="AA332" s="61">
        <v>226.346</v>
      </c>
      <c r="AB332" s="60">
        <v>507.74099999999999</v>
      </c>
      <c r="AC332" s="62"/>
      <c r="AD332" s="61"/>
      <c r="AE332" s="61"/>
      <c r="AF332" s="61"/>
      <c r="AG332" s="61"/>
      <c r="AH332" s="61"/>
      <c r="AI332" s="61"/>
      <c r="AJ332" s="61"/>
      <c r="AK332" s="62"/>
      <c r="AL332" s="63"/>
      <c r="AM332" s="64"/>
      <c r="AN332" s="65" t="e">
        <v>#N/A</v>
      </c>
      <c r="AO332" s="61" t="e">
        <v>#N/A</v>
      </c>
      <c r="AP332" s="61" t="e">
        <v>#N/A</v>
      </c>
      <c r="AQ332" s="61" t="e">
        <v>#N/A</v>
      </c>
      <c r="AR332" s="61" t="e">
        <v>#N/A</v>
      </c>
      <c r="AS332" s="61" t="e">
        <v>#N/A</v>
      </c>
      <c r="AT332" s="61" t="e">
        <v>#N/A</v>
      </c>
      <c r="AU332" s="61" t="e">
        <v>#N/A</v>
      </c>
      <c r="AV332" s="61" t="e">
        <v>#N/A</v>
      </c>
      <c r="AW332" s="61" t="e">
        <v>#N/A</v>
      </c>
      <c r="AX332" s="65" t="e">
        <v>#N/A</v>
      </c>
      <c r="AY332" s="66">
        <v>0.70499999999999996</v>
      </c>
      <c r="AZ332" s="61">
        <v>5.7</v>
      </c>
      <c r="BA332" s="61">
        <v>34.426000000000002</v>
      </c>
      <c r="BB332" s="61">
        <v>40.831000000000003</v>
      </c>
      <c r="BC332" s="61">
        <v>9.2999999999999999E-2</v>
      </c>
      <c r="BD332" s="61">
        <v>0.623</v>
      </c>
      <c r="BE332" s="61">
        <v>5.3999999999999999E-2</v>
      </c>
      <c r="BF332" s="61" t="s">
        <v>122</v>
      </c>
      <c r="BG332" s="61">
        <v>5.8419999999999996</v>
      </c>
      <c r="BH332" s="61">
        <v>3.9260000000000002</v>
      </c>
      <c r="BI332" s="61">
        <v>2.4E-2</v>
      </c>
      <c r="BJ332" s="61">
        <v>9.7919999999999998</v>
      </c>
      <c r="BK332" s="66">
        <v>10.561999999999999</v>
      </c>
      <c r="BL332" s="67">
        <v>8.6829999999999998</v>
      </c>
      <c r="BM332" s="61" t="s">
        <v>121</v>
      </c>
      <c r="BN332" s="61" t="s">
        <v>121</v>
      </c>
      <c r="BO332" s="61" t="s">
        <v>121</v>
      </c>
      <c r="BP332" s="61">
        <v>8.6829999999999998</v>
      </c>
      <c r="BQ332" s="61">
        <v>252.964</v>
      </c>
      <c r="BR332" s="61">
        <v>11.874000000000001</v>
      </c>
      <c r="BS332" s="61">
        <v>0.59399999999999997</v>
      </c>
      <c r="BT332" s="61">
        <v>4.5599999999999996</v>
      </c>
      <c r="BU332" s="61">
        <v>9.2910000000000004</v>
      </c>
      <c r="BV332" s="61">
        <v>26.454000000000001</v>
      </c>
      <c r="BW332" s="61">
        <v>35.744999999999997</v>
      </c>
      <c r="BX332" s="67">
        <v>305.738</v>
      </c>
      <c r="BY332" s="68">
        <v>104425</v>
      </c>
      <c r="BZ332" s="68">
        <v>106481</v>
      </c>
      <c r="CA332" s="69">
        <v>7751</v>
      </c>
      <c r="CB332" s="68">
        <v>105962</v>
      </c>
      <c r="CC332" s="68">
        <v>4468</v>
      </c>
      <c r="CD332" s="61"/>
      <c r="CE332" s="64"/>
      <c r="CF332" s="64"/>
      <c r="CG332" s="70">
        <f t="shared" si="27"/>
        <v>4450.4040000000005</v>
      </c>
      <c r="CH332" s="70">
        <f t="shared" si="28"/>
        <v>325.54199999999997</v>
      </c>
      <c r="CI332" s="70">
        <f t="shared" si="29"/>
        <v>187.65600000000001</v>
      </c>
      <c r="CJ332" s="70">
        <f t="shared" si="30"/>
        <v>4385.8500000000004</v>
      </c>
      <c r="CK332" s="70">
        <f t="shared" si="30"/>
        <v>4472.2020000000002</v>
      </c>
      <c r="CL332" s="70">
        <f t="shared" si="26"/>
        <v>0</v>
      </c>
      <c r="CM332" s="61"/>
      <c r="CN332" s="61"/>
      <c r="CO332" s="61"/>
      <c r="CP332" s="61"/>
      <c r="CQ332" s="61"/>
      <c r="CR332" s="61"/>
      <c r="CS332" s="61"/>
      <c r="CT332" s="61"/>
      <c r="CU332" s="61"/>
      <c r="CV332" s="61"/>
      <c r="CW332" s="61"/>
      <c r="CX332" s="61"/>
      <c r="CY332" s="61"/>
      <c r="CZ332" s="61"/>
      <c r="DA332" s="61"/>
      <c r="DB332" s="61"/>
      <c r="DC332" s="61"/>
      <c r="DD332" s="61"/>
      <c r="DE332" s="61"/>
      <c r="DF332" s="61"/>
      <c r="DG332" s="61"/>
      <c r="DH332" s="61"/>
      <c r="DI332" s="61"/>
      <c r="DJ332" s="61"/>
      <c r="DK332" s="61"/>
      <c r="DL332" s="61"/>
      <c r="DM332" s="61"/>
      <c r="DN332" s="61"/>
      <c r="DO332" s="61"/>
      <c r="DP332" s="61"/>
      <c r="DQ332" s="61"/>
      <c r="DR332" s="61"/>
      <c r="DS332" s="61"/>
      <c r="DT332" s="61"/>
      <c r="DU332" s="61"/>
      <c r="DV332" s="61"/>
      <c r="DW332" s="61"/>
      <c r="DX332" s="61"/>
      <c r="DY332" s="61"/>
      <c r="DZ332" s="61"/>
      <c r="EA332" s="61"/>
      <c r="EB332" s="61"/>
      <c r="EC332" s="61"/>
      <c r="ED332" s="61"/>
      <c r="EE332" s="61"/>
      <c r="EF332" s="61"/>
      <c r="EG332" s="61"/>
      <c r="EH332" s="61"/>
      <c r="EI332" s="61"/>
      <c r="EJ332" s="61"/>
      <c r="EK332" s="61"/>
      <c r="EL332" s="61"/>
      <c r="EM332" s="61"/>
      <c r="EN332" s="61"/>
      <c r="EO332" s="61"/>
      <c r="EP332" s="61"/>
      <c r="EQ332" s="61"/>
      <c r="ER332" s="61"/>
      <c r="ES332" s="61"/>
      <c r="ET332" s="61"/>
      <c r="EU332" s="61"/>
      <c r="EV332" s="61"/>
      <c r="EW332" s="61"/>
    </row>
    <row r="333" spans="1:153">
      <c r="A333" s="56">
        <v>36708</v>
      </c>
      <c r="B333" s="57"/>
      <c r="C333" s="7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71"/>
      <c r="P333" s="60">
        <v>191.30500000000001</v>
      </c>
      <c r="Q333" s="61">
        <v>19.911999999999999</v>
      </c>
      <c r="R333" s="61">
        <v>255.34800000000001</v>
      </c>
      <c r="S333" s="61">
        <v>526.25599999999997</v>
      </c>
      <c r="T333" s="61">
        <v>246.155</v>
      </c>
      <c r="U333" s="61">
        <v>13.983000000000001</v>
      </c>
      <c r="V333" s="61">
        <v>6.8940000000000001</v>
      </c>
      <c r="W333" s="61">
        <v>3.8759999999999999</v>
      </c>
      <c r="X333" s="61">
        <v>191.30500000000001</v>
      </c>
      <c r="Y333" s="61">
        <v>44.131</v>
      </c>
      <c r="Z333" s="61">
        <v>19.245999999999999</v>
      </c>
      <c r="AA333" s="61">
        <v>254.68199999999999</v>
      </c>
      <c r="AB333" s="60">
        <v>525.59</v>
      </c>
      <c r="AC333" s="62"/>
      <c r="AD333" s="61"/>
      <c r="AE333" s="61"/>
      <c r="AF333" s="61"/>
      <c r="AG333" s="61"/>
      <c r="AH333" s="61"/>
      <c r="AI333" s="61"/>
      <c r="AJ333" s="61"/>
      <c r="AK333" s="62"/>
      <c r="AL333" s="63"/>
      <c r="AM333" s="64"/>
      <c r="AN333" s="65" t="e">
        <v>#N/A</v>
      </c>
      <c r="AO333" s="61" t="e">
        <v>#N/A</v>
      </c>
      <c r="AP333" s="61" t="e">
        <v>#N/A</v>
      </c>
      <c r="AQ333" s="61" t="e">
        <v>#N/A</v>
      </c>
      <c r="AR333" s="61" t="e">
        <v>#N/A</v>
      </c>
      <c r="AS333" s="61" t="e">
        <v>#N/A</v>
      </c>
      <c r="AT333" s="61" t="e">
        <v>#N/A</v>
      </c>
      <c r="AU333" s="61" t="e">
        <v>#N/A</v>
      </c>
      <c r="AV333" s="61" t="e">
        <v>#N/A</v>
      </c>
      <c r="AW333" s="61" t="e">
        <v>#N/A</v>
      </c>
      <c r="AX333" s="65" t="e">
        <v>#N/A</v>
      </c>
      <c r="AY333" s="66">
        <v>0.72799999999999998</v>
      </c>
      <c r="AZ333" s="61">
        <v>5.984</v>
      </c>
      <c r="BA333" s="61">
        <v>35.573999999999998</v>
      </c>
      <c r="BB333" s="61">
        <v>42.286000000000001</v>
      </c>
      <c r="BC333" s="61">
        <v>8.8999999999999996E-2</v>
      </c>
      <c r="BD333" s="61">
        <v>0.64400000000000002</v>
      </c>
      <c r="BE333" s="61">
        <v>5.7000000000000002E-2</v>
      </c>
      <c r="BF333" s="61" t="s">
        <v>122</v>
      </c>
      <c r="BG333" s="61">
        <v>6.0529999999999999</v>
      </c>
      <c r="BH333" s="61">
        <v>4.1050000000000004</v>
      </c>
      <c r="BI333" s="61">
        <v>0.03</v>
      </c>
      <c r="BJ333" s="61">
        <v>10.188000000000001</v>
      </c>
      <c r="BK333" s="66">
        <v>10.977</v>
      </c>
      <c r="BL333" s="67">
        <v>10.646000000000001</v>
      </c>
      <c r="BM333" s="61" t="s">
        <v>121</v>
      </c>
      <c r="BN333" s="61" t="s">
        <v>121</v>
      </c>
      <c r="BO333" s="61" t="s">
        <v>121</v>
      </c>
      <c r="BP333" s="61">
        <v>10.646000000000001</v>
      </c>
      <c r="BQ333" s="61">
        <v>242.37200000000001</v>
      </c>
      <c r="BR333" s="61">
        <v>12.238</v>
      </c>
      <c r="BS333" s="61">
        <v>0.84099999999999997</v>
      </c>
      <c r="BT333" s="61">
        <v>3.8759999999999999</v>
      </c>
      <c r="BU333" s="61">
        <v>11.352</v>
      </c>
      <c r="BV333" s="61">
        <v>27.658999999999999</v>
      </c>
      <c r="BW333" s="61">
        <v>39.011000000000003</v>
      </c>
      <c r="BX333" s="67">
        <v>298.33800000000002</v>
      </c>
      <c r="BY333" s="68">
        <v>109133</v>
      </c>
      <c r="BZ333" s="68">
        <v>104430</v>
      </c>
      <c r="CA333" s="69">
        <v>6181</v>
      </c>
      <c r="CB333" s="68">
        <v>112746</v>
      </c>
      <c r="CC333" s="68">
        <v>4100</v>
      </c>
      <c r="CD333" s="61"/>
      <c r="CE333" s="64"/>
      <c r="CF333" s="64"/>
      <c r="CG333" s="70">
        <f t="shared" si="27"/>
        <v>4735.3320000000003</v>
      </c>
      <c r="CH333" s="70">
        <f t="shared" si="28"/>
        <v>259.60199999999998</v>
      </c>
      <c r="CI333" s="70">
        <f t="shared" si="29"/>
        <v>172.2</v>
      </c>
      <c r="CJ333" s="70">
        <f t="shared" si="30"/>
        <v>4583.5860000000002</v>
      </c>
      <c r="CK333" s="70">
        <f t="shared" si="30"/>
        <v>4386.0600000000004</v>
      </c>
      <c r="CL333" s="70">
        <f t="shared" si="26"/>
        <v>0</v>
      </c>
      <c r="CM333" s="61"/>
      <c r="CN333" s="61"/>
      <c r="CO333" s="61"/>
      <c r="CP333" s="61"/>
      <c r="CQ333" s="61"/>
      <c r="CR333" s="61"/>
      <c r="CS333" s="61"/>
      <c r="CT333" s="61"/>
      <c r="CU333" s="61"/>
      <c r="CV333" s="61"/>
      <c r="CW333" s="61"/>
      <c r="CX333" s="61"/>
      <c r="CY333" s="61"/>
      <c r="CZ333" s="61"/>
      <c r="DA333" s="61"/>
      <c r="DB333" s="61"/>
      <c r="DC333" s="61"/>
      <c r="DD333" s="61"/>
      <c r="DE333" s="61"/>
      <c r="DF333" s="61"/>
      <c r="DG333" s="61"/>
      <c r="DH333" s="61"/>
      <c r="DI333" s="61"/>
      <c r="DJ333" s="61"/>
      <c r="DK333" s="61"/>
      <c r="DL333" s="61"/>
      <c r="DM333" s="61"/>
      <c r="DN333" s="61"/>
      <c r="DO333" s="61"/>
      <c r="DP333" s="61"/>
      <c r="DQ333" s="61"/>
      <c r="DR333" s="61"/>
      <c r="DS333" s="61"/>
      <c r="DT333" s="61"/>
      <c r="DU333" s="61"/>
      <c r="DV333" s="61"/>
      <c r="DW333" s="61"/>
      <c r="DX333" s="61"/>
      <c r="DY333" s="61"/>
      <c r="DZ333" s="61"/>
      <c r="EA333" s="61"/>
      <c r="EB333" s="61"/>
      <c r="EC333" s="61"/>
      <c r="ED333" s="61"/>
      <c r="EE333" s="61"/>
      <c r="EF333" s="61"/>
      <c r="EG333" s="61"/>
      <c r="EH333" s="61"/>
      <c r="EI333" s="61"/>
      <c r="EJ333" s="61"/>
      <c r="EK333" s="61"/>
      <c r="EL333" s="61"/>
      <c r="EM333" s="61"/>
      <c r="EN333" s="61"/>
      <c r="EO333" s="61"/>
      <c r="EP333" s="61"/>
      <c r="EQ333" s="61"/>
      <c r="ER333" s="61"/>
      <c r="ES333" s="61"/>
      <c r="ET333" s="61"/>
      <c r="EU333" s="61"/>
      <c r="EV333" s="61"/>
      <c r="EW333" s="61"/>
    </row>
    <row r="334" spans="1:153">
      <c r="A334" s="56">
        <v>36739</v>
      </c>
      <c r="B334" s="57"/>
      <c r="C334" s="7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71"/>
      <c r="P334" s="60">
        <v>194.63200000000001</v>
      </c>
      <c r="Q334" s="61">
        <v>17.661000000000001</v>
      </c>
      <c r="R334" s="61">
        <v>254.94200000000001</v>
      </c>
      <c r="S334" s="61">
        <v>503.68</v>
      </c>
      <c r="T334" s="61">
        <v>224.22800000000001</v>
      </c>
      <c r="U334" s="61">
        <v>14.003</v>
      </c>
      <c r="V334" s="61">
        <v>6.6669999999999998</v>
      </c>
      <c r="W334" s="61">
        <v>3.84</v>
      </c>
      <c r="X334" s="61">
        <v>194.63200000000001</v>
      </c>
      <c r="Y334" s="61">
        <v>42.649000000000001</v>
      </c>
      <c r="Z334" s="61">
        <v>19.402000000000001</v>
      </c>
      <c r="AA334" s="61">
        <v>256.68299999999999</v>
      </c>
      <c r="AB334" s="60">
        <v>505.42099999999999</v>
      </c>
      <c r="AC334" s="62"/>
      <c r="AD334" s="61"/>
      <c r="AE334" s="61"/>
      <c r="AF334" s="61"/>
      <c r="AG334" s="61"/>
      <c r="AH334" s="61"/>
      <c r="AI334" s="61"/>
      <c r="AJ334" s="61"/>
      <c r="AK334" s="62"/>
      <c r="AL334" s="63"/>
      <c r="AM334" s="64"/>
      <c r="AN334" s="65" t="e">
        <v>#N/A</v>
      </c>
      <c r="AO334" s="61" t="e">
        <v>#N/A</v>
      </c>
      <c r="AP334" s="61" t="e">
        <v>#N/A</v>
      </c>
      <c r="AQ334" s="61" t="e">
        <v>#N/A</v>
      </c>
      <c r="AR334" s="61" t="e">
        <v>#N/A</v>
      </c>
      <c r="AS334" s="61" t="e">
        <v>#N/A</v>
      </c>
      <c r="AT334" s="61" t="e">
        <v>#N/A</v>
      </c>
      <c r="AU334" s="61" t="e">
        <v>#N/A</v>
      </c>
      <c r="AV334" s="61" t="e">
        <v>#N/A</v>
      </c>
      <c r="AW334" s="61" t="e">
        <v>#N/A</v>
      </c>
      <c r="AX334" s="65" t="e">
        <v>#N/A</v>
      </c>
      <c r="AY334" s="66">
        <v>0.72799999999999998</v>
      </c>
      <c r="AZ334" s="61">
        <v>5.9219999999999997</v>
      </c>
      <c r="BA334" s="61">
        <v>35.573999999999998</v>
      </c>
      <c r="BB334" s="61">
        <v>42.223999999999997</v>
      </c>
      <c r="BC334" s="61">
        <v>8.1000000000000003E-2</v>
      </c>
      <c r="BD334" s="61">
        <v>0.64400000000000002</v>
      </c>
      <c r="BE334" s="61">
        <v>5.6000000000000001E-2</v>
      </c>
      <c r="BF334" s="61" t="s">
        <v>122</v>
      </c>
      <c r="BG334" s="61">
        <v>6.056</v>
      </c>
      <c r="BH334" s="61">
        <v>3.93</v>
      </c>
      <c r="BI334" s="61">
        <v>3.3000000000000002E-2</v>
      </c>
      <c r="BJ334" s="61">
        <v>10.019</v>
      </c>
      <c r="BK334" s="66">
        <v>10.8</v>
      </c>
      <c r="BL334" s="67">
        <v>11.746</v>
      </c>
      <c r="BM334" s="61" t="s">
        <v>121</v>
      </c>
      <c r="BN334" s="61" t="s">
        <v>121</v>
      </c>
      <c r="BO334" s="61" t="s">
        <v>121</v>
      </c>
      <c r="BP334" s="61">
        <v>11.746</v>
      </c>
      <c r="BQ334" s="61">
        <v>220.78200000000001</v>
      </c>
      <c r="BR334" s="61">
        <v>12.257999999999999</v>
      </c>
      <c r="BS334" s="61">
        <v>0.67700000000000005</v>
      </c>
      <c r="BT334" s="61">
        <v>3.84</v>
      </c>
      <c r="BU334" s="61">
        <v>11.675000000000001</v>
      </c>
      <c r="BV334" s="61">
        <v>26.481999999999999</v>
      </c>
      <c r="BW334" s="61">
        <v>38.156999999999996</v>
      </c>
      <c r="BX334" s="67">
        <v>275.714</v>
      </c>
      <c r="BY334" s="68">
        <v>114021</v>
      </c>
      <c r="BZ334" s="68">
        <v>115507</v>
      </c>
      <c r="CA334" s="69">
        <v>7251</v>
      </c>
      <c r="CB334" s="68">
        <v>110674</v>
      </c>
      <c r="CC334" s="68">
        <v>7837</v>
      </c>
      <c r="CD334" s="61"/>
      <c r="CE334" s="64"/>
      <c r="CF334" s="64"/>
      <c r="CG334" s="70">
        <f t="shared" si="27"/>
        <v>4648.308</v>
      </c>
      <c r="CH334" s="70">
        <f t="shared" si="28"/>
        <v>304.54199999999997</v>
      </c>
      <c r="CI334" s="70">
        <f t="shared" si="29"/>
        <v>329.154</v>
      </c>
      <c r="CJ334" s="70">
        <f t="shared" si="30"/>
        <v>4788.8819999999996</v>
      </c>
      <c r="CK334" s="70">
        <f t="shared" si="30"/>
        <v>4851.2939999999999</v>
      </c>
      <c r="CL334" s="70">
        <f t="shared" si="26"/>
        <v>0</v>
      </c>
      <c r="CM334" s="61"/>
      <c r="CN334" s="61"/>
      <c r="CO334" s="61"/>
      <c r="CP334" s="61"/>
      <c r="CQ334" s="61"/>
      <c r="CR334" s="61"/>
      <c r="CS334" s="61"/>
      <c r="CT334" s="61"/>
      <c r="CU334" s="61"/>
      <c r="CV334" s="61"/>
      <c r="CW334" s="61"/>
      <c r="CX334" s="61"/>
      <c r="CY334" s="61"/>
      <c r="CZ334" s="61"/>
      <c r="DA334" s="61"/>
      <c r="DB334" s="61"/>
      <c r="DC334" s="61"/>
      <c r="DD334" s="61"/>
      <c r="DE334" s="61"/>
      <c r="DF334" s="61"/>
      <c r="DG334" s="61"/>
      <c r="DH334" s="61"/>
      <c r="DI334" s="61"/>
      <c r="DJ334" s="61"/>
      <c r="DK334" s="61"/>
      <c r="DL334" s="61"/>
      <c r="DM334" s="61"/>
      <c r="DN334" s="61"/>
      <c r="DO334" s="61"/>
      <c r="DP334" s="61"/>
      <c r="DQ334" s="61"/>
      <c r="DR334" s="61"/>
      <c r="DS334" s="61"/>
      <c r="DT334" s="61"/>
      <c r="DU334" s="61"/>
      <c r="DV334" s="61"/>
      <c r="DW334" s="61"/>
      <c r="DX334" s="61"/>
      <c r="DY334" s="61"/>
      <c r="DZ334" s="61"/>
      <c r="EA334" s="61"/>
      <c r="EB334" s="61"/>
      <c r="EC334" s="61"/>
      <c r="ED334" s="61"/>
      <c r="EE334" s="61"/>
      <c r="EF334" s="61"/>
      <c r="EG334" s="61"/>
      <c r="EH334" s="61"/>
      <c r="EI334" s="61"/>
      <c r="EJ334" s="61"/>
      <c r="EK334" s="61"/>
      <c r="EL334" s="61"/>
      <c r="EM334" s="61"/>
      <c r="EN334" s="61"/>
      <c r="EO334" s="61"/>
      <c r="EP334" s="61"/>
      <c r="EQ334" s="61"/>
      <c r="ER334" s="61"/>
      <c r="ES334" s="61"/>
      <c r="ET334" s="61"/>
      <c r="EU334" s="61"/>
      <c r="EV334" s="61"/>
      <c r="EW334" s="61"/>
    </row>
    <row r="335" spans="1:153">
      <c r="A335" s="56">
        <v>36770</v>
      </c>
      <c r="B335" s="57"/>
      <c r="C335" s="7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71"/>
      <c r="P335" s="60">
        <v>180.76400000000001</v>
      </c>
      <c r="Q335" s="61">
        <v>18.728999999999999</v>
      </c>
      <c r="R335" s="61">
        <v>240.33099999999999</v>
      </c>
      <c r="S335" s="61">
        <v>443.37</v>
      </c>
      <c r="T335" s="61">
        <v>181.584</v>
      </c>
      <c r="U335" s="61">
        <v>11.971</v>
      </c>
      <c r="V335" s="61">
        <v>6.093</v>
      </c>
      <c r="W335" s="61">
        <v>3.391</v>
      </c>
      <c r="X335" s="61">
        <v>180.76400000000001</v>
      </c>
      <c r="Y335" s="61">
        <v>40.838000000000001</v>
      </c>
      <c r="Z335" s="61">
        <v>18.905999999999999</v>
      </c>
      <c r="AA335" s="61">
        <v>240.50800000000001</v>
      </c>
      <c r="AB335" s="60">
        <v>443.54700000000003</v>
      </c>
      <c r="AC335" s="62"/>
      <c r="AD335" s="61"/>
      <c r="AE335" s="61"/>
      <c r="AF335" s="61"/>
      <c r="AG335" s="61"/>
      <c r="AH335" s="61"/>
      <c r="AI335" s="61"/>
      <c r="AJ335" s="61"/>
      <c r="AK335" s="62"/>
      <c r="AL335" s="63"/>
      <c r="AM335" s="64"/>
      <c r="AN335" s="65" t="e">
        <v>#N/A</v>
      </c>
      <c r="AO335" s="61" t="e">
        <v>#N/A</v>
      </c>
      <c r="AP335" s="61" t="e">
        <v>#N/A</v>
      </c>
      <c r="AQ335" s="61" t="e">
        <v>#N/A</v>
      </c>
      <c r="AR335" s="61" t="e">
        <v>#N/A</v>
      </c>
      <c r="AS335" s="61" t="e">
        <v>#N/A</v>
      </c>
      <c r="AT335" s="61" t="e">
        <v>#N/A</v>
      </c>
      <c r="AU335" s="61" t="e">
        <v>#N/A</v>
      </c>
      <c r="AV335" s="61" t="e">
        <v>#N/A</v>
      </c>
      <c r="AW335" s="61" t="e">
        <v>#N/A</v>
      </c>
      <c r="AX335" s="65" t="e">
        <v>#N/A</v>
      </c>
      <c r="AY335" s="66">
        <v>0.70499999999999996</v>
      </c>
      <c r="AZ335" s="61">
        <v>5.4009999999999998</v>
      </c>
      <c r="BA335" s="61">
        <v>34.426000000000002</v>
      </c>
      <c r="BB335" s="61">
        <v>40.531999999999996</v>
      </c>
      <c r="BC335" s="61">
        <v>6.6000000000000003E-2</v>
      </c>
      <c r="BD335" s="61">
        <v>0.623</v>
      </c>
      <c r="BE335" s="61">
        <v>5.0999999999999997E-2</v>
      </c>
      <c r="BF335" s="61" t="s">
        <v>122</v>
      </c>
      <c r="BG335" s="61">
        <v>5.8540000000000001</v>
      </c>
      <c r="BH335" s="61">
        <v>3.7519999999999998</v>
      </c>
      <c r="BI335" s="61">
        <v>0.03</v>
      </c>
      <c r="BJ335" s="61">
        <v>9.6359999999999992</v>
      </c>
      <c r="BK335" s="66">
        <v>10.375999999999999</v>
      </c>
      <c r="BL335" s="67">
        <v>10.807</v>
      </c>
      <c r="BM335" s="61" t="s">
        <v>121</v>
      </c>
      <c r="BN335" s="61" t="s">
        <v>121</v>
      </c>
      <c r="BO335" s="61" t="s">
        <v>121</v>
      </c>
      <c r="BP335" s="61">
        <v>10.807</v>
      </c>
      <c r="BQ335" s="61">
        <v>178.79300000000001</v>
      </c>
      <c r="BR335" s="61">
        <v>10.282999999999999</v>
      </c>
      <c r="BS335" s="61">
        <v>0.629</v>
      </c>
      <c r="BT335" s="61">
        <v>3.391</v>
      </c>
      <c r="BU335" s="61">
        <v>10.56</v>
      </c>
      <c r="BV335" s="61">
        <v>25.282</v>
      </c>
      <c r="BW335" s="61">
        <v>35.841999999999999</v>
      </c>
      <c r="BX335" s="67">
        <v>228.93799999999999</v>
      </c>
      <c r="BY335" s="68">
        <v>115326</v>
      </c>
      <c r="BZ335" s="68">
        <v>113581</v>
      </c>
      <c r="CA335" s="69">
        <v>8476</v>
      </c>
      <c r="CB335" s="68">
        <v>115081</v>
      </c>
      <c r="CC335" s="68">
        <v>5814</v>
      </c>
      <c r="CD335" s="61"/>
      <c r="CE335" s="64"/>
      <c r="CF335" s="64"/>
      <c r="CG335" s="70">
        <f t="shared" si="27"/>
        <v>4833.402</v>
      </c>
      <c r="CH335" s="70">
        <f t="shared" si="28"/>
        <v>355.99200000000002</v>
      </c>
      <c r="CI335" s="70">
        <f t="shared" si="29"/>
        <v>244.18799999999999</v>
      </c>
      <c r="CJ335" s="70">
        <f t="shared" si="30"/>
        <v>4843.692</v>
      </c>
      <c r="CK335" s="70">
        <f t="shared" si="30"/>
        <v>4770.402</v>
      </c>
      <c r="CL335" s="70">
        <f t="shared" si="26"/>
        <v>0</v>
      </c>
      <c r="CM335" s="61"/>
      <c r="CN335" s="61"/>
      <c r="CO335" s="61"/>
      <c r="CP335" s="61"/>
      <c r="CQ335" s="61"/>
      <c r="CR335" s="61"/>
      <c r="CS335" s="61"/>
      <c r="CT335" s="61"/>
      <c r="CU335" s="61"/>
      <c r="CV335" s="61"/>
      <c r="CW335" s="61"/>
      <c r="CX335" s="61"/>
      <c r="CY335" s="61"/>
      <c r="CZ335" s="61"/>
      <c r="DA335" s="61"/>
      <c r="DB335" s="61"/>
      <c r="DC335" s="61"/>
      <c r="DD335" s="61"/>
      <c r="DE335" s="61"/>
      <c r="DF335" s="61"/>
      <c r="DG335" s="61"/>
      <c r="DH335" s="61"/>
      <c r="DI335" s="61"/>
      <c r="DJ335" s="61"/>
      <c r="DK335" s="61"/>
      <c r="DL335" s="61"/>
      <c r="DM335" s="61"/>
      <c r="DN335" s="61"/>
      <c r="DO335" s="61"/>
      <c r="DP335" s="61"/>
      <c r="DQ335" s="61"/>
      <c r="DR335" s="61"/>
      <c r="DS335" s="61"/>
      <c r="DT335" s="61"/>
      <c r="DU335" s="61"/>
      <c r="DV335" s="61"/>
      <c r="DW335" s="61"/>
      <c r="DX335" s="61"/>
      <c r="DY335" s="61"/>
      <c r="DZ335" s="61"/>
      <c r="EA335" s="61"/>
      <c r="EB335" s="61"/>
      <c r="EC335" s="61"/>
      <c r="ED335" s="61"/>
      <c r="EE335" s="61"/>
      <c r="EF335" s="61"/>
      <c r="EG335" s="61"/>
      <c r="EH335" s="61"/>
      <c r="EI335" s="61"/>
      <c r="EJ335" s="61"/>
      <c r="EK335" s="61"/>
      <c r="EL335" s="61"/>
      <c r="EM335" s="61"/>
      <c r="EN335" s="61"/>
      <c r="EO335" s="61"/>
      <c r="EP335" s="61"/>
      <c r="EQ335" s="61"/>
      <c r="ER335" s="61"/>
      <c r="ES335" s="61"/>
      <c r="ET335" s="61"/>
      <c r="EU335" s="61"/>
      <c r="EV335" s="61"/>
      <c r="EW335" s="61"/>
    </row>
    <row r="336" spans="1:153">
      <c r="A336" s="56">
        <v>36800</v>
      </c>
      <c r="B336" s="57"/>
      <c r="C336" s="7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71"/>
      <c r="P336" s="60">
        <v>206.142</v>
      </c>
      <c r="Q336" s="61">
        <v>20.696999999999999</v>
      </c>
      <c r="R336" s="61">
        <v>270.47199999999998</v>
      </c>
      <c r="S336" s="61">
        <v>468.21</v>
      </c>
      <c r="T336" s="61">
        <v>175.315</v>
      </c>
      <c r="U336" s="61">
        <v>12.837</v>
      </c>
      <c r="V336" s="61">
        <v>5.3890000000000002</v>
      </c>
      <c r="W336" s="61">
        <v>4.1970000000000001</v>
      </c>
      <c r="X336" s="61">
        <v>206.142</v>
      </c>
      <c r="Y336" s="61">
        <v>43.633000000000003</v>
      </c>
      <c r="Z336" s="61">
        <v>21.917999999999999</v>
      </c>
      <c r="AA336" s="61">
        <v>271.69299999999998</v>
      </c>
      <c r="AB336" s="60">
        <v>469.43</v>
      </c>
      <c r="AC336" s="62"/>
      <c r="AD336" s="61"/>
      <c r="AE336" s="61"/>
      <c r="AF336" s="61"/>
      <c r="AG336" s="61"/>
      <c r="AH336" s="61"/>
      <c r="AI336" s="61"/>
      <c r="AJ336" s="61"/>
      <c r="AK336" s="62"/>
      <c r="AL336" s="63"/>
      <c r="AM336" s="64"/>
      <c r="AN336" s="65" t="e">
        <v>#N/A</v>
      </c>
      <c r="AO336" s="61" t="e">
        <v>#N/A</v>
      </c>
      <c r="AP336" s="61" t="e">
        <v>#N/A</v>
      </c>
      <c r="AQ336" s="61" t="e">
        <v>#N/A</v>
      </c>
      <c r="AR336" s="61" t="e">
        <v>#N/A</v>
      </c>
      <c r="AS336" s="61" t="e">
        <v>#N/A</v>
      </c>
      <c r="AT336" s="61" t="e">
        <v>#N/A</v>
      </c>
      <c r="AU336" s="61" t="e">
        <v>#N/A</v>
      </c>
      <c r="AV336" s="61" t="e">
        <v>#N/A</v>
      </c>
      <c r="AW336" s="61" t="e">
        <v>#N/A</v>
      </c>
      <c r="AX336" s="65" t="e">
        <v>#N/A</v>
      </c>
      <c r="AY336" s="66">
        <v>0.72799999999999998</v>
      </c>
      <c r="AZ336" s="61">
        <v>4.923</v>
      </c>
      <c r="BA336" s="61">
        <v>35.573999999999998</v>
      </c>
      <c r="BB336" s="61">
        <v>41.225000000000001</v>
      </c>
      <c r="BC336" s="61">
        <v>6.3E-2</v>
      </c>
      <c r="BD336" s="61">
        <v>0.64400000000000002</v>
      </c>
      <c r="BE336" s="61">
        <v>4.7E-2</v>
      </c>
      <c r="BF336" s="61" t="s">
        <v>122</v>
      </c>
      <c r="BG336" s="61">
        <v>6.0670000000000002</v>
      </c>
      <c r="BH336" s="61">
        <v>4.0460000000000003</v>
      </c>
      <c r="BI336" s="61">
        <v>3.5999999999999997E-2</v>
      </c>
      <c r="BJ336" s="61">
        <v>10.148999999999999</v>
      </c>
      <c r="BK336" s="66">
        <v>10.903</v>
      </c>
      <c r="BL336" s="67">
        <v>12.955</v>
      </c>
      <c r="BM336" s="61" t="s">
        <v>121</v>
      </c>
      <c r="BN336" s="61" t="s">
        <v>121</v>
      </c>
      <c r="BO336" s="61" t="s">
        <v>121</v>
      </c>
      <c r="BP336" s="61">
        <v>12.955</v>
      </c>
      <c r="BQ336" s="61">
        <v>172.62100000000001</v>
      </c>
      <c r="BR336" s="61">
        <v>11.092000000000001</v>
      </c>
      <c r="BS336" s="61">
        <v>0.41</v>
      </c>
      <c r="BT336" s="61">
        <v>4.1970000000000001</v>
      </c>
      <c r="BU336" s="61">
        <v>12.795999999999999</v>
      </c>
      <c r="BV336" s="61">
        <v>27.263999999999999</v>
      </c>
      <c r="BW336" s="61">
        <v>40.06</v>
      </c>
      <c r="BX336" s="67">
        <v>228.37899999999999</v>
      </c>
      <c r="BY336" s="68">
        <v>116993</v>
      </c>
      <c r="BZ336" s="68">
        <v>115083</v>
      </c>
      <c r="CA336" s="69">
        <v>8024</v>
      </c>
      <c r="CB336" s="68">
        <v>117119</v>
      </c>
      <c r="CC336" s="68">
        <v>7896</v>
      </c>
      <c r="CD336" s="61"/>
      <c r="CE336" s="64"/>
      <c r="CF336" s="64"/>
      <c r="CG336" s="70">
        <f t="shared" si="27"/>
        <v>4918.9979999999996</v>
      </c>
      <c r="CH336" s="70">
        <f t="shared" si="28"/>
        <v>337.00799999999998</v>
      </c>
      <c r="CI336" s="70">
        <f t="shared" si="29"/>
        <v>331.63200000000001</v>
      </c>
      <c r="CJ336" s="70">
        <f t="shared" si="30"/>
        <v>4913.7060000000001</v>
      </c>
      <c r="CK336" s="70">
        <f t="shared" si="30"/>
        <v>4833.4859999999999</v>
      </c>
      <c r="CL336" s="70">
        <f t="shared" si="26"/>
        <v>0</v>
      </c>
      <c r="CM336" s="61"/>
      <c r="CN336" s="61"/>
      <c r="CO336" s="61"/>
      <c r="CP336" s="61"/>
      <c r="CQ336" s="61"/>
      <c r="CR336" s="61"/>
      <c r="CS336" s="61"/>
      <c r="CT336" s="61"/>
      <c r="CU336" s="61"/>
      <c r="CV336" s="61"/>
      <c r="CW336" s="61"/>
      <c r="CX336" s="61"/>
      <c r="CY336" s="61"/>
      <c r="CZ336" s="61"/>
      <c r="DA336" s="61"/>
      <c r="DB336" s="61"/>
      <c r="DC336" s="61"/>
      <c r="DD336" s="61"/>
      <c r="DE336" s="61"/>
      <c r="DF336" s="61"/>
      <c r="DG336" s="61"/>
      <c r="DH336" s="61"/>
      <c r="DI336" s="61"/>
      <c r="DJ336" s="61"/>
      <c r="DK336" s="61"/>
      <c r="DL336" s="61"/>
      <c r="DM336" s="61"/>
      <c r="DN336" s="61"/>
      <c r="DO336" s="61"/>
      <c r="DP336" s="61"/>
      <c r="DQ336" s="61"/>
      <c r="DR336" s="61"/>
      <c r="DS336" s="61"/>
      <c r="DT336" s="61"/>
      <c r="DU336" s="61"/>
      <c r="DV336" s="61"/>
      <c r="DW336" s="61"/>
      <c r="DX336" s="61"/>
      <c r="DY336" s="61"/>
      <c r="DZ336" s="61"/>
      <c r="EA336" s="61"/>
      <c r="EB336" s="61"/>
      <c r="EC336" s="61"/>
      <c r="ED336" s="61"/>
      <c r="EE336" s="61"/>
      <c r="EF336" s="61"/>
      <c r="EG336" s="61"/>
      <c r="EH336" s="61"/>
      <c r="EI336" s="61"/>
      <c r="EJ336" s="61"/>
      <c r="EK336" s="61"/>
      <c r="EL336" s="61"/>
      <c r="EM336" s="61"/>
      <c r="EN336" s="61"/>
      <c r="EO336" s="61"/>
      <c r="EP336" s="61"/>
      <c r="EQ336" s="61"/>
      <c r="ER336" s="61"/>
      <c r="ES336" s="61"/>
      <c r="ET336" s="61"/>
      <c r="EU336" s="61"/>
      <c r="EV336" s="61"/>
      <c r="EW336" s="61"/>
    </row>
    <row r="337" spans="1:153">
      <c r="A337" s="56">
        <v>36831</v>
      </c>
      <c r="B337" s="57"/>
      <c r="C337" s="7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71"/>
      <c r="P337" s="60">
        <v>200.803</v>
      </c>
      <c r="Q337" s="61">
        <v>19.899999999999999</v>
      </c>
      <c r="R337" s="61">
        <v>261.33499999999998</v>
      </c>
      <c r="S337" s="61">
        <v>482.86200000000002</v>
      </c>
      <c r="T337" s="61">
        <v>195.459</v>
      </c>
      <c r="U337" s="61">
        <v>13.382999999999999</v>
      </c>
      <c r="V337" s="61">
        <v>4.2880000000000003</v>
      </c>
      <c r="W337" s="61">
        <v>8.3960000000000008</v>
      </c>
      <c r="X337" s="61">
        <v>200.803</v>
      </c>
      <c r="Y337" s="61">
        <v>40.631999999999998</v>
      </c>
      <c r="Z337" s="61">
        <v>21.463999999999999</v>
      </c>
      <c r="AA337" s="61">
        <v>262.899</v>
      </c>
      <c r="AB337" s="60">
        <v>484.42599999999999</v>
      </c>
      <c r="AC337" s="62"/>
      <c r="AD337" s="61"/>
      <c r="AE337" s="61"/>
      <c r="AF337" s="61"/>
      <c r="AG337" s="61"/>
      <c r="AH337" s="61"/>
      <c r="AI337" s="61"/>
      <c r="AJ337" s="61"/>
      <c r="AK337" s="62"/>
      <c r="AL337" s="63"/>
      <c r="AM337" s="64"/>
      <c r="AN337" s="65" t="e">
        <v>#N/A</v>
      </c>
      <c r="AO337" s="61" t="e">
        <v>#N/A</v>
      </c>
      <c r="AP337" s="61" t="e">
        <v>#N/A</v>
      </c>
      <c r="AQ337" s="61" t="e">
        <v>#N/A</v>
      </c>
      <c r="AR337" s="61" t="e">
        <v>#N/A</v>
      </c>
      <c r="AS337" s="61" t="e">
        <v>#N/A</v>
      </c>
      <c r="AT337" s="61" t="e">
        <v>#N/A</v>
      </c>
      <c r="AU337" s="61" t="e">
        <v>#N/A</v>
      </c>
      <c r="AV337" s="61" t="e">
        <v>#N/A</v>
      </c>
      <c r="AW337" s="61" t="e">
        <v>#N/A</v>
      </c>
      <c r="AX337" s="65" t="e">
        <v>#N/A</v>
      </c>
      <c r="AY337" s="66">
        <v>0.70499999999999996</v>
      </c>
      <c r="AZ337" s="61">
        <v>4.0380000000000003</v>
      </c>
      <c r="BA337" s="61">
        <v>34.426000000000002</v>
      </c>
      <c r="BB337" s="61">
        <v>39.168999999999997</v>
      </c>
      <c r="BC337" s="61">
        <v>7.0999999999999994E-2</v>
      </c>
      <c r="BD337" s="61">
        <v>0.623</v>
      </c>
      <c r="BE337" s="61">
        <v>3.7999999999999999E-2</v>
      </c>
      <c r="BF337" s="61" t="s">
        <v>122</v>
      </c>
      <c r="BG337" s="61">
        <v>5.8719999999999999</v>
      </c>
      <c r="BH337" s="61">
        <v>3.7280000000000002</v>
      </c>
      <c r="BI337" s="61">
        <v>3.5999999999999997E-2</v>
      </c>
      <c r="BJ337" s="61">
        <v>9.6349999999999998</v>
      </c>
      <c r="BK337" s="66">
        <v>10.367000000000001</v>
      </c>
      <c r="BL337" s="67">
        <v>12.842000000000001</v>
      </c>
      <c r="BM337" s="61" t="s">
        <v>121</v>
      </c>
      <c r="BN337" s="61" t="s">
        <v>121</v>
      </c>
      <c r="BO337" s="61" t="s">
        <v>121</v>
      </c>
      <c r="BP337" s="61">
        <v>12.842000000000001</v>
      </c>
      <c r="BQ337" s="61">
        <v>192.45599999999999</v>
      </c>
      <c r="BR337" s="61">
        <v>11.695</v>
      </c>
      <c r="BS337" s="61">
        <v>0.20399999999999999</v>
      </c>
      <c r="BT337" s="61">
        <v>8.3960000000000008</v>
      </c>
      <c r="BU337" s="61">
        <v>12.510999999999999</v>
      </c>
      <c r="BV337" s="61">
        <v>25.117999999999999</v>
      </c>
      <c r="BW337" s="61">
        <v>37.628999999999998</v>
      </c>
      <c r="BX337" s="67">
        <v>250.37899999999999</v>
      </c>
      <c r="BY337" s="68">
        <v>113563</v>
      </c>
      <c r="BZ337" s="68">
        <v>114858</v>
      </c>
      <c r="CA337" s="69">
        <v>9956</v>
      </c>
      <c r="CB337" s="68">
        <v>120042</v>
      </c>
      <c r="CC337" s="68">
        <v>5738</v>
      </c>
      <c r="CD337" s="61"/>
      <c r="CE337" s="64"/>
      <c r="CF337" s="64"/>
      <c r="CG337" s="70">
        <f t="shared" si="27"/>
        <v>5041.7640000000001</v>
      </c>
      <c r="CH337" s="70">
        <f t="shared" si="28"/>
        <v>418.15199999999999</v>
      </c>
      <c r="CI337" s="70">
        <f t="shared" si="29"/>
        <v>240.99600000000001</v>
      </c>
      <c r="CJ337" s="70">
        <f t="shared" si="30"/>
        <v>4769.6459999999997</v>
      </c>
      <c r="CK337" s="70">
        <f t="shared" si="30"/>
        <v>4824.0360000000001</v>
      </c>
      <c r="CL337" s="70">
        <f t="shared" si="26"/>
        <v>0</v>
      </c>
      <c r="CM337" s="61"/>
      <c r="CN337" s="61"/>
      <c r="CO337" s="61"/>
      <c r="CP337" s="61"/>
      <c r="CQ337" s="61"/>
      <c r="CR337" s="61"/>
      <c r="CS337" s="61"/>
      <c r="CT337" s="61"/>
      <c r="CU337" s="61"/>
      <c r="CV337" s="61"/>
      <c r="CW337" s="61"/>
      <c r="CX337" s="61"/>
      <c r="CY337" s="61"/>
      <c r="CZ337" s="61"/>
      <c r="DA337" s="61"/>
      <c r="DB337" s="61"/>
      <c r="DC337" s="61"/>
      <c r="DD337" s="61"/>
      <c r="DE337" s="61"/>
      <c r="DF337" s="61"/>
      <c r="DG337" s="61"/>
      <c r="DH337" s="61"/>
      <c r="DI337" s="61"/>
      <c r="DJ337" s="61"/>
      <c r="DK337" s="61"/>
      <c r="DL337" s="61"/>
      <c r="DM337" s="61"/>
      <c r="DN337" s="61"/>
      <c r="DO337" s="61"/>
      <c r="DP337" s="61"/>
      <c r="DQ337" s="61"/>
      <c r="DR337" s="61"/>
      <c r="DS337" s="61"/>
      <c r="DT337" s="61"/>
      <c r="DU337" s="61"/>
      <c r="DV337" s="61"/>
      <c r="DW337" s="61"/>
      <c r="DX337" s="61"/>
      <c r="DY337" s="61"/>
      <c r="DZ337" s="61"/>
      <c r="EA337" s="61"/>
      <c r="EB337" s="61"/>
      <c r="EC337" s="61"/>
      <c r="ED337" s="61"/>
      <c r="EE337" s="61"/>
      <c r="EF337" s="61"/>
      <c r="EG337" s="61"/>
      <c r="EH337" s="61"/>
      <c r="EI337" s="61"/>
      <c r="EJ337" s="61"/>
      <c r="EK337" s="61"/>
      <c r="EL337" s="61"/>
      <c r="EM337" s="61"/>
      <c r="EN337" s="61"/>
      <c r="EO337" s="61"/>
      <c r="EP337" s="61"/>
      <c r="EQ337" s="61"/>
      <c r="ER337" s="61"/>
      <c r="ES337" s="61"/>
      <c r="ET337" s="61"/>
      <c r="EU337" s="61"/>
      <c r="EV337" s="61"/>
      <c r="EW337" s="61"/>
    </row>
    <row r="338" spans="1:153">
      <c r="A338" s="56">
        <v>36861</v>
      </c>
      <c r="B338" s="57"/>
      <c r="C338" s="7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71"/>
      <c r="P338" s="60">
        <v>207.58199999999999</v>
      </c>
      <c r="Q338" s="61">
        <v>21.518000000000001</v>
      </c>
      <c r="R338" s="61">
        <v>254.78800000000001</v>
      </c>
      <c r="S338" s="61">
        <v>477.78100000000001</v>
      </c>
      <c r="T338" s="61">
        <v>200.852</v>
      </c>
      <c r="U338" s="61">
        <v>14.194000000000001</v>
      </c>
      <c r="V338" s="61">
        <v>4.0339999999999998</v>
      </c>
      <c r="W338" s="61">
        <v>3.9140000000000001</v>
      </c>
      <c r="X338" s="61">
        <v>207.58199999999999</v>
      </c>
      <c r="Y338" s="61">
        <v>25.687999999999999</v>
      </c>
      <c r="Z338" s="61">
        <v>22.800999999999998</v>
      </c>
      <c r="AA338" s="61">
        <v>256.07100000000003</v>
      </c>
      <c r="AB338" s="60">
        <v>479.06400000000002</v>
      </c>
      <c r="AC338" s="62"/>
      <c r="AD338" s="61"/>
      <c r="AE338" s="61"/>
      <c r="AF338" s="61"/>
      <c r="AG338" s="61"/>
      <c r="AH338" s="61"/>
      <c r="AI338" s="61"/>
      <c r="AJ338" s="61"/>
      <c r="AK338" s="62"/>
      <c r="AL338" s="63"/>
      <c r="AM338" s="64"/>
      <c r="AN338" s="65" t="e">
        <v>#N/A</v>
      </c>
      <c r="AO338" s="61" t="e">
        <v>#N/A</v>
      </c>
      <c r="AP338" s="61" t="e">
        <v>#N/A</v>
      </c>
      <c r="AQ338" s="61" t="e">
        <v>#N/A</v>
      </c>
      <c r="AR338" s="61" t="e">
        <v>#N/A</v>
      </c>
      <c r="AS338" s="61" t="e">
        <v>#N/A</v>
      </c>
      <c r="AT338" s="61" t="e">
        <v>#N/A</v>
      </c>
      <c r="AU338" s="61" t="e">
        <v>#N/A</v>
      </c>
      <c r="AV338" s="61" t="e">
        <v>#N/A</v>
      </c>
      <c r="AW338" s="61" t="e">
        <v>#N/A</v>
      </c>
      <c r="AX338" s="65" t="e">
        <v>#N/A</v>
      </c>
      <c r="AY338" s="66">
        <v>0.72799999999999998</v>
      </c>
      <c r="AZ338" s="61">
        <v>3.8330000000000002</v>
      </c>
      <c r="BA338" s="61">
        <v>35.573999999999998</v>
      </c>
      <c r="BB338" s="61">
        <v>40.134999999999998</v>
      </c>
      <c r="BC338" s="61">
        <v>7.2999999999999995E-2</v>
      </c>
      <c r="BD338" s="61">
        <v>0.64400000000000002</v>
      </c>
      <c r="BE338" s="61">
        <v>3.5999999999999997E-2</v>
      </c>
      <c r="BF338" s="61" t="s">
        <v>122</v>
      </c>
      <c r="BG338" s="61">
        <v>6.0679999999999996</v>
      </c>
      <c r="BH338" s="61">
        <v>1.93</v>
      </c>
      <c r="BI338" s="61">
        <v>3.7999999999999999E-2</v>
      </c>
      <c r="BJ338" s="61">
        <v>8.0350000000000001</v>
      </c>
      <c r="BK338" s="66">
        <v>8.7880000000000003</v>
      </c>
      <c r="BL338" s="67">
        <v>13.483000000000001</v>
      </c>
      <c r="BM338" s="61" t="s">
        <v>121</v>
      </c>
      <c r="BN338" s="61" t="s">
        <v>121</v>
      </c>
      <c r="BO338" s="61" t="s">
        <v>121</v>
      </c>
      <c r="BP338" s="61">
        <v>13.483000000000001</v>
      </c>
      <c r="BQ338" s="61">
        <v>197.76599999999999</v>
      </c>
      <c r="BR338" s="61">
        <v>12.449</v>
      </c>
      <c r="BS338" s="61">
        <v>0.156</v>
      </c>
      <c r="BT338" s="61">
        <v>3.9140000000000001</v>
      </c>
      <c r="BU338" s="61">
        <v>12.936</v>
      </c>
      <c r="BV338" s="61">
        <v>13.004</v>
      </c>
      <c r="BW338" s="61">
        <v>25.94</v>
      </c>
      <c r="BX338" s="67">
        <v>240.22399999999999</v>
      </c>
      <c r="BY338" s="68">
        <v>120042</v>
      </c>
      <c r="BZ338" s="68">
        <v>131735</v>
      </c>
      <c r="CA338" s="69">
        <v>13861</v>
      </c>
      <c r="CB338" s="68">
        <v>118027</v>
      </c>
      <c r="CC338" s="68">
        <v>4183</v>
      </c>
      <c r="CD338" s="61"/>
      <c r="CE338" s="64"/>
      <c r="CF338" s="64"/>
      <c r="CG338" s="70">
        <f t="shared" si="27"/>
        <v>4957.134</v>
      </c>
      <c r="CH338" s="70">
        <f t="shared" si="28"/>
        <v>582.16200000000003</v>
      </c>
      <c r="CI338" s="70">
        <f t="shared" si="29"/>
        <v>175.68600000000001</v>
      </c>
      <c r="CJ338" s="70">
        <f t="shared" si="30"/>
        <v>5041.7640000000001</v>
      </c>
      <c r="CK338" s="70">
        <f t="shared" si="30"/>
        <v>5532.87</v>
      </c>
      <c r="CL338" s="70">
        <f t="shared" si="26"/>
        <v>0</v>
      </c>
      <c r="CM338" s="61"/>
      <c r="CN338" s="61"/>
      <c r="CO338" s="61"/>
      <c r="CP338" s="61"/>
      <c r="CQ338" s="61"/>
      <c r="CR338" s="61"/>
      <c r="CS338" s="61"/>
      <c r="CT338" s="61"/>
      <c r="CU338" s="61"/>
      <c r="CV338" s="61"/>
      <c r="CW338" s="61"/>
      <c r="CX338" s="61"/>
      <c r="CY338" s="61"/>
      <c r="CZ338" s="61"/>
      <c r="DA338" s="61"/>
      <c r="DB338" s="61"/>
      <c r="DC338" s="61"/>
      <c r="DD338" s="61"/>
      <c r="DE338" s="61"/>
      <c r="DF338" s="61"/>
      <c r="DG338" s="61"/>
      <c r="DH338" s="61"/>
      <c r="DI338" s="61"/>
      <c r="DJ338" s="61"/>
      <c r="DK338" s="61"/>
      <c r="DL338" s="61"/>
      <c r="DM338" s="61"/>
      <c r="DN338" s="61"/>
      <c r="DO338" s="61"/>
      <c r="DP338" s="61"/>
      <c r="DQ338" s="61"/>
      <c r="DR338" s="61"/>
      <c r="DS338" s="61"/>
      <c r="DT338" s="61"/>
      <c r="DU338" s="61"/>
      <c r="DV338" s="61"/>
      <c r="DW338" s="61"/>
      <c r="DX338" s="61"/>
      <c r="DY338" s="61"/>
      <c r="DZ338" s="61"/>
      <c r="EA338" s="61"/>
      <c r="EB338" s="61"/>
      <c r="EC338" s="61"/>
      <c r="ED338" s="61"/>
      <c r="EE338" s="61"/>
      <c r="EF338" s="61"/>
      <c r="EG338" s="61"/>
      <c r="EH338" s="61"/>
      <c r="EI338" s="61"/>
      <c r="EJ338" s="61"/>
      <c r="EK338" s="61"/>
      <c r="EL338" s="61"/>
      <c r="EM338" s="61"/>
      <c r="EN338" s="61"/>
      <c r="EO338" s="61"/>
      <c r="EP338" s="61"/>
      <c r="EQ338" s="61"/>
      <c r="ER338" s="61"/>
      <c r="ES338" s="61"/>
      <c r="ET338" s="61"/>
      <c r="EU338" s="61"/>
      <c r="EV338" s="61"/>
      <c r="EW338" s="61"/>
    </row>
    <row r="339" spans="1:153">
      <c r="A339" s="56">
        <v>36892</v>
      </c>
      <c r="B339" s="57">
        <v>2001</v>
      </c>
      <c r="C339" s="71">
        <v>9.4E-2</v>
      </c>
      <c r="D339" s="61">
        <v>1E-3</v>
      </c>
      <c r="E339" s="61">
        <v>17.343</v>
      </c>
      <c r="F339" s="61">
        <v>0.72799999999999998</v>
      </c>
      <c r="G339" s="61">
        <v>9.2999999999999999E-2</v>
      </c>
      <c r="H339" s="61">
        <v>2.984</v>
      </c>
      <c r="I339" s="61">
        <v>3.2189999999999999</v>
      </c>
      <c r="J339" s="61">
        <v>-0.23499999999999999</v>
      </c>
      <c r="K339" s="61"/>
      <c r="L339" s="61"/>
      <c r="M339" s="61">
        <v>17.108000000000001</v>
      </c>
      <c r="N339" s="61">
        <v>0.71899999999999997</v>
      </c>
      <c r="O339" s="71">
        <v>9.1999999999999998E-2</v>
      </c>
      <c r="P339" s="60">
        <v>175.982</v>
      </c>
      <c r="Q339" s="61">
        <v>21.638000000000002</v>
      </c>
      <c r="R339" s="61">
        <v>228.434</v>
      </c>
      <c r="S339" s="61">
        <v>444.96600000000001</v>
      </c>
      <c r="T339" s="61">
        <v>194.798</v>
      </c>
      <c r="U339" s="61">
        <v>14.612</v>
      </c>
      <c r="V339" s="61">
        <v>3.1</v>
      </c>
      <c r="W339" s="61">
        <v>4.0220000000000002</v>
      </c>
      <c r="X339" s="61">
        <v>175.982</v>
      </c>
      <c r="Y339" s="61">
        <v>30.814</v>
      </c>
      <c r="Z339" s="61">
        <v>23.739000000000001</v>
      </c>
      <c r="AA339" s="61">
        <v>230.53399999999999</v>
      </c>
      <c r="AB339" s="60">
        <v>447.06700000000001</v>
      </c>
      <c r="AC339" s="62"/>
      <c r="AD339" s="61"/>
      <c r="AE339" s="61"/>
      <c r="AF339" s="61"/>
      <c r="AG339" s="61"/>
      <c r="AH339" s="61"/>
      <c r="AI339" s="61"/>
      <c r="AJ339" s="61"/>
      <c r="AK339" s="62"/>
      <c r="AL339" s="63"/>
      <c r="AM339" s="64"/>
      <c r="AN339" s="65" t="e">
        <v>#N/A</v>
      </c>
      <c r="AO339" s="61" t="e">
        <v>#N/A</v>
      </c>
      <c r="AP339" s="61" t="e">
        <v>#N/A</v>
      </c>
      <c r="AQ339" s="61" t="e">
        <v>#N/A</v>
      </c>
      <c r="AR339" s="61" t="e">
        <v>#N/A</v>
      </c>
      <c r="AS339" s="61" t="e">
        <v>#N/A</v>
      </c>
      <c r="AT339" s="61" t="e">
        <v>#N/A</v>
      </c>
      <c r="AU339" s="61" t="e">
        <v>#N/A</v>
      </c>
      <c r="AV339" s="61" t="e">
        <v>#N/A</v>
      </c>
      <c r="AW339" s="61" t="e">
        <v>#N/A</v>
      </c>
      <c r="AX339" s="65" t="e">
        <v>#N/A</v>
      </c>
      <c r="AY339" s="66">
        <v>0.80300000000000005</v>
      </c>
      <c r="AZ339" s="61">
        <v>2.9889999999999999</v>
      </c>
      <c r="BA339" s="61">
        <v>31.425000000000001</v>
      </c>
      <c r="BB339" s="61">
        <v>35.216000000000001</v>
      </c>
      <c r="BC339" s="61">
        <v>6.3E-2</v>
      </c>
      <c r="BD339" s="61">
        <v>0.70199999999999996</v>
      </c>
      <c r="BE339" s="61">
        <v>3.5999999999999997E-2</v>
      </c>
      <c r="BF339" s="61" t="s">
        <v>122</v>
      </c>
      <c r="BG339" s="61">
        <v>5.6840000000000002</v>
      </c>
      <c r="BH339" s="61">
        <v>2.0059999999999998</v>
      </c>
      <c r="BI339" s="61">
        <v>3.3000000000000002E-2</v>
      </c>
      <c r="BJ339" s="61">
        <v>7.7220000000000004</v>
      </c>
      <c r="BK339" s="66">
        <v>8.5239999999999991</v>
      </c>
      <c r="BL339" s="67">
        <v>14.202999999999999</v>
      </c>
      <c r="BM339" s="61">
        <v>9.1999999999999998E-2</v>
      </c>
      <c r="BN339" s="61" t="s">
        <v>121</v>
      </c>
      <c r="BO339" s="61" t="s">
        <v>121</v>
      </c>
      <c r="BP339" s="61">
        <v>14.294</v>
      </c>
      <c r="BQ339" s="61">
        <v>192.31200000000001</v>
      </c>
      <c r="BR339" s="61">
        <v>12.702999999999999</v>
      </c>
      <c r="BS339" s="61">
        <v>6.7000000000000004E-2</v>
      </c>
      <c r="BT339" s="61">
        <v>4.0220000000000002</v>
      </c>
      <c r="BU339" s="61">
        <v>11.569000000000001</v>
      </c>
      <c r="BV339" s="61">
        <v>17.303000000000001</v>
      </c>
      <c r="BW339" s="61">
        <v>28.872</v>
      </c>
      <c r="BX339" s="67">
        <v>237.976</v>
      </c>
      <c r="BY339" s="68">
        <v>111869</v>
      </c>
      <c r="BZ339" s="68">
        <v>134088</v>
      </c>
      <c r="CA339" s="69">
        <v>24474</v>
      </c>
      <c r="CB339" s="68">
        <v>118205</v>
      </c>
      <c r="CC339" s="68">
        <v>2077</v>
      </c>
      <c r="CD339" s="61"/>
      <c r="CE339" s="64"/>
      <c r="CF339" s="64"/>
      <c r="CG339" s="70">
        <f t="shared" si="27"/>
        <v>4964.6099999999997</v>
      </c>
      <c r="CH339" s="70">
        <f t="shared" si="28"/>
        <v>1027.9079999999999</v>
      </c>
      <c r="CI339" s="70">
        <f t="shared" si="29"/>
        <v>87.233999999999995</v>
      </c>
      <c r="CJ339" s="70">
        <f t="shared" si="30"/>
        <v>4698.4979999999996</v>
      </c>
      <c r="CK339" s="70">
        <f t="shared" si="30"/>
        <v>5631.6959999999999</v>
      </c>
      <c r="CL339" s="70">
        <f t="shared" si="26"/>
        <v>0</v>
      </c>
      <c r="CM339" s="61"/>
      <c r="CN339" s="61"/>
      <c r="CO339" s="61"/>
      <c r="CP339" s="61"/>
      <c r="CQ339" s="61"/>
      <c r="CR339" s="61"/>
      <c r="CS339" s="61"/>
      <c r="CT339" s="61"/>
      <c r="CU339" s="61"/>
      <c r="CV339" s="61"/>
      <c r="CW339" s="61"/>
      <c r="CX339" s="61"/>
      <c r="CY339" s="61"/>
      <c r="CZ339" s="61"/>
      <c r="DA339" s="61"/>
      <c r="DB339" s="61"/>
      <c r="DC339" s="61"/>
      <c r="DD339" s="61"/>
      <c r="DE339" s="61"/>
      <c r="DF339" s="61"/>
      <c r="DG339" s="61"/>
      <c r="DH339" s="61"/>
      <c r="DI339" s="61"/>
      <c r="DJ339" s="61"/>
      <c r="DK339" s="61"/>
      <c r="DL339" s="61"/>
      <c r="DM339" s="61"/>
      <c r="DN339" s="61"/>
      <c r="DO339" s="61"/>
      <c r="DP339" s="61"/>
      <c r="DQ339" s="61"/>
      <c r="DR339" s="61"/>
      <c r="DS339" s="61"/>
      <c r="DT339" s="61"/>
      <c r="DU339" s="61"/>
      <c r="DV339" s="61"/>
      <c r="DW339" s="61"/>
      <c r="DX339" s="61"/>
      <c r="DY339" s="61"/>
      <c r="DZ339" s="61"/>
      <c r="EA339" s="61"/>
      <c r="EB339" s="61"/>
      <c r="EC339" s="61"/>
      <c r="ED339" s="61"/>
      <c r="EE339" s="61"/>
      <c r="EF339" s="61"/>
      <c r="EG339" s="61"/>
      <c r="EH339" s="61"/>
      <c r="EI339" s="61"/>
      <c r="EJ339" s="61"/>
      <c r="EK339" s="61"/>
      <c r="EL339" s="61"/>
      <c r="EM339" s="61"/>
      <c r="EN339" s="61"/>
      <c r="EO339" s="61"/>
      <c r="EP339" s="61"/>
      <c r="EQ339" s="61"/>
      <c r="ER339" s="61"/>
      <c r="ES339" s="61"/>
      <c r="ET339" s="61"/>
      <c r="EU339" s="61"/>
      <c r="EV339" s="61"/>
      <c r="EW339" s="61"/>
    </row>
    <row r="340" spans="1:153">
      <c r="A340" s="56">
        <v>36923</v>
      </c>
      <c r="B340" s="57">
        <v>2001</v>
      </c>
      <c r="C340" s="71">
        <v>8.5000000000000006E-2</v>
      </c>
      <c r="D340" s="61">
        <v>1E-3</v>
      </c>
      <c r="E340" s="61">
        <v>15.664999999999999</v>
      </c>
      <c r="F340" s="61">
        <v>0.65800000000000003</v>
      </c>
      <c r="G340" s="61">
        <v>8.4000000000000005E-2</v>
      </c>
      <c r="H340" s="61">
        <v>1.413</v>
      </c>
      <c r="I340" s="61">
        <v>5.1189999999999998</v>
      </c>
      <c r="J340" s="61">
        <v>-3.706</v>
      </c>
      <c r="K340" s="61"/>
      <c r="L340" s="61"/>
      <c r="M340" s="61">
        <v>11.959</v>
      </c>
      <c r="N340" s="61">
        <v>0.502</v>
      </c>
      <c r="O340" s="71">
        <v>6.4000000000000001E-2</v>
      </c>
      <c r="P340" s="60">
        <v>155.96899999999999</v>
      </c>
      <c r="Q340" s="61">
        <v>19.670000000000002</v>
      </c>
      <c r="R340" s="61">
        <v>202.84899999999999</v>
      </c>
      <c r="S340" s="61">
        <v>404.06400000000002</v>
      </c>
      <c r="T340" s="61">
        <v>180.547</v>
      </c>
      <c r="U340" s="61">
        <v>12.811999999999999</v>
      </c>
      <c r="V340" s="61">
        <v>3.399</v>
      </c>
      <c r="W340" s="61">
        <v>4.4560000000000004</v>
      </c>
      <c r="X340" s="61">
        <v>155.96899999999999</v>
      </c>
      <c r="Y340" s="61">
        <v>27.21</v>
      </c>
      <c r="Z340" s="61">
        <v>20.084</v>
      </c>
      <c r="AA340" s="61">
        <v>203.26300000000001</v>
      </c>
      <c r="AB340" s="60">
        <v>404.47800000000001</v>
      </c>
      <c r="AC340" s="62"/>
      <c r="AD340" s="61"/>
      <c r="AE340" s="61"/>
      <c r="AF340" s="61"/>
      <c r="AG340" s="61"/>
      <c r="AH340" s="61"/>
      <c r="AI340" s="61"/>
      <c r="AJ340" s="61"/>
      <c r="AK340" s="62"/>
      <c r="AL340" s="63"/>
      <c r="AM340" s="64"/>
      <c r="AN340" s="65" t="e">
        <v>#N/A</v>
      </c>
      <c r="AO340" s="61" t="e">
        <v>#N/A</v>
      </c>
      <c r="AP340" s="61" t="e">
        <v>#N/A</v>
      </c>
      <c r="AQ340" s="61" t="e">
        <v>#N/A</v>
      </c>
      <c r="AR340" s="61" t="e">
        <v>#N/A</v>
      </c>
      <c r="AS340" s="61" t="e">
        <v>#N/A</v>
      </c>
      <c r="AT340" s="61" t="e">
        <v>#N/A</v>
      </c>
      <c r="AU340" s="61" t="e">
        <v>#N/A</v>
      </c>
      <c r="AV340" s="61" t="e">
        <v>#N/A</v>
      </c>
      <c r="AW340" s="61" t="e">
        <v>#N/A</v>
      </c>
      <c r="AX340" s="65" t="e">
        <v>#N/A</v>
      </c>
      <c r="AY340" s="66">
        <v>0.72499999999999998</v>
      </c>
      <c r="AZ340" s="61">
        <v>3.222</v>
      </c>
      <c r="BA340" s="61">
        <v>28.384</v>
      </c>
      <c r="BB340" s="61">
        <v>32.33</v>
      </c>
      <c r="BC340" s="61">
        <v>6.2E-2</v>
      </c>
      <c r="BD340" s="61">
        <v>0.63400000000000001</v>
      </c>
      <c r="BE340" s="61">
        <v>3.9E-2</v>
      </c>
      <c r="BF340" s="61" t="s">
        <v>122</v>
      </c>
      <c r="BG340" s="61">
        <v>5.125</v>
      </c>
      <c r="BH340" s="61">
        <v>1.8720000000000001</v>
      </c>
      <c r="BI340" s="61">
        <v>2.7E-2</v>
      </c>
      <c r="BJ340" s="61">
        <v>7.024</v>
      </c>
      <c r="BK340" s="66">
        <v>7.7590000000000003</v>
      </c>
      <c r="BL340" s="67">
        <v>11.464</v>
      </c>
      <c r="BM340" s="61">
        <v>6.4000000000000001E-2</v>
      </c>
      <c r="BN340" s="61" t="s">
        <v>121</v>
      </c>
      <c r="BO340" s="61" t="s">
        <v>121</v>
      </c>
      <c r="BP340" s="61">
        <v>11.528</v>
      </c>
      <c r="BQ340" s="61">
        <v>178.054</v>
      </c>
      <c r="BR340" s="61">
        <v>11.087999999999999</v>
      </c>
      <c r="BS340" s="61">
        <v>0.13</v>
      </c>
      <c r="BT340" s="61">
        <v>4.4560000000000004</v>
      </c>
      <c r="BU340" s="61">
        <v>9.4909999999999997</v>
      </c>
      <c r="BV340" s="61">
        <v>15.702</v>
      </c>
      <c r="BW340" s="61">
        <v>25.193000000000001</v>
      </c>
      <c r="BX340" s="67">
        <v>218.92099999999999</v>
      </c>
      <c r="BY340" s="68">
        <v>101146</v>
      </c>
      <c r="BZ340" s="68">
        <v>117950</v>
      </c>
      <c r="CA340" s="69">
        <v>17771</v>
      </c>
      <c r="CB340" s="68">
        <v>117023</v>
      </c>
      <c r="CC340" s="68">
        <v>2149</v>
      </c>
      <c r="CD340" s="61"/>
      <c r="CE340" s="64"/>
      <c r="CF340" s="64"/>
      <c r="CG340" s="70">
        <f t="shared" si="27"/>
        <v>4914.9660000000003</v>
      </c>
      <c r="CH340" s="70">
        <f t="shared" si="28"/>
        <v>746.38199999999995</v>
      </c>
      <c r="CI340" s="70">
        <f t="shared" si="29"/>
        <v>90.257999999999996</v>
      </c>
      <c r="CJ340" s="70">
        <f t="shared" si="30"/>
        <v>4248.1319999999996</v>
      </c>
      <c r="CK340" s="70">
        <f t="shared" si="30"/>
        <v>4953.8999999999996</v>
      </c>
      <c r="CL340" s="70">
        <f t="shared" si="26"/>
        <v>0</v>
      </c>
      <c r="CM340" s="61"/>
      <c r="CN340" s="61"/>
      <c r="CO340" s="61"/>
      <c r="CP340" s="61"/>
      <c r="CQ340" s="61"/>
      <c r="CR340" s="61"/>
      <c r="CS340" s="61"/>
      <c r="CT340" s="61"/>
      <c r="CU340" s="61"/>
      <c r="CV340" s="61"/>
      <c r="CW340" s="61"/>
      <c r="CX340" s="61"/>
      <c r="CY340" s="61"/>
      <c r="CZ340" s="61"/>
      <c r="DA340" s="61"/>
      <c r="DB340" s="61"/>
      <c r="DC340" s="61"/>
      <c r="DD340" s="61"/>
      <c r="DE340" s="61"/>
      <c r="DF340" s="61"/>
      <c r="DG340" s="61"/>
      <c r="DH340" s="61"/>
      <c r="DI340" s="61"/>
      <c r="DJ340" s="61"/>
      <c r="DK340" s="61"/>
      <c r="DL340" s="61"/>
      <c r="DM340" s="61"/>
      <c r="DN340" s="61"/>
      <c r="DO340" s="61"/>
      <c r="DP340" s="61"/>
      <c r="DQ340" s="61"/>
      <c r="DR340" s="61"/>
      <c r="DS340" s="61"/>
      <c r="DT340" s="61"/>
      <c r="DU340" s="61"/>
      <c r="DV340" s="61"/>
      <c r="DW340" s="61"/>
      <c r="DX340" s="61"/>
      <c r="DY340" s="61"/>
      <c r="DZ340" s="61"/>
      <c r="EA340" s="61"/>
      <c r="EB340" s="61"/>
      <c r="EC340" s="61"/>
      <c r="ED340" s="61"/>
      <c r="EE340" s="61"/>
      <c r="EF340" s="61"/>
      <c r="EG340" s="61"/>
      <c r="EH340" s="61"/>
      <c r="EI340" s="61"/>
      <c r="EJ340" s="61"/>
      <c r="EK340" s="61"/>
      <c r="EL340" s="61"/>
      <c r="EM340" s="61"/>
      <c r="EN340" s="61"/>
      <c r="EO340" s="61"/>
      <c r="EP340" s="61"/>
      <c r="EQ340" s="61"/>
      <c r="ER340" s="61"/>
      <c r="ES340" s="61"/>
      <c r="ET340" s="61"/>
      <c r="EU340" s="61"/>
      <c r="EV340" s="61"/>
      <c r="EW340" s="61"/>
    </row>
    <row r="341" spans="1:153">
      <c r="A341" s="56">
        <v>36951</v>
      </c>
      <c r="B341" s="57">
        <v>2001</v>
      </c>
      <c r="C341" s="71">
        <v>9.4E-2</v>
      </c>
      <c r="D341" s="61">
        <v>1E-3</v>
      </c>
      <c r="E341" s="61">
        <v>17.343</v>
      </c>
      <c r="F341" s="61">
        <v>0.72799999999999998</v>
      </c>
      <c r="G341" s="61">
        <v>9.2999999999999999E-2</v>
      </c>
      <c r="H341" s="61">
        <v>6.9480000000000004</v>
      </c>
      <c r="I341" s="61">
        <v>4.9560000000000004</v>
      </c>
      <c r="J341" s="61">
        <v>1.992</v>
      </c>
      <c r="K341" s="61"/>
      <c r="L341" s="61"/>
      <c r="M341" s="61">
        <v>19.335000000000001</v>
      </c>
      <c r="N341" s="61">
        <v>0.81200000000000006</v>
      </c>
      <c r="O341" s="71">
        <v>0.104</v>
      </c>
      <c r="P341" s="60">
        <v>168.14</v>
      </c>
      <c r="Q341" s="61">
        <v>21.192</v>
      </c>
      <c r="R341" s="61">
        <v>219.649</v>
      </c>
      <c r="S341" s="61">
        <v>455.774</v>
      </c>
      <c r="T341" s="61">
        <v>211.59100000000001</v>
      </c>
      <c r="U341" s="61">
        <v>14.206</v>
      </c>
      <c r="V341" s="61">
        <v>4.83</v>
      </c>
      <c r="W341" s="61">
        <v>5.4980000000000002</v>
      </c>
      <c r="X341" s="61">
        <v>168.14</v>
      </c>
      <c r="Y341" s="61">
        <v>30.317</v>
      </c>
      <c r="Z341" s="61">
        <v>21.55</v>
      </c>
      <c r="AA341" s="61">
        <v>220.006</v>
      </c>
      <c r="AB341" s="60">
        <v>456.13099999999997</v>
      </c>
      <c r="AC341" s="62"/>
      <c r="AD341" s="61"/>
      <c r="AE341" s="61"/>
      <c r="AF341" s="61"/>
      <c r="AG341" s="61"/>
      <c r="AH341" s="61"/>
      <c r="AI341" s="61"/>
      <c r="AJ341" s="61"/>
      <c r="AK341" s="62"/>
      <c r="AL341" s="63"/>
      <c r="AM341" s="64"/>
      <c r="AN341" s="65" t="e">
        <v>#N/A</v>
      </c>
      <c r="AO341" s="61" t="e">
        <v>#N/A</v>
      </c>
      <c r="AP341" s="61" t="e">
        <v>#N/A</v>
      </c>
      <c r="AQ341" s="61" t="e">
        <v>#N/A</v>
      </c>
      <c r="AR341" s="61" t="e">
        <v>#N/A</v>
      </c>
      <c r="AS341" s="61" t="e">
        <v>#N/A</v>
      </c>
      <c r="AT341" s="61" t="e">
        <v>#N/A</v>
      </c>
      <c r="AU341" s="61" t="e">
        <v>#N/A</v>
      </c>
      <c r="AV341" s="61" t="e">
        <v>#N/A</v>
      </c>
      <c r="AW341" s="61" t="e">
        <v>#N/A</v>
      </c>
      <c r="AX341" s="65" t="e">
        <v>#N/A</v>
      </c>
      <c r="AY341" s="66">
        <v>0.80300000000000005</v>
      </c>
      <c r="AZ341" s="61">
        <v>4.4390000000000001</v>
      </c>
      <c r="BA341" s="61">
        <v>31.425000000000001</v>
      </c>
      <c r="BB341" s="61">
        <v>36.665999999999997</v>
      </c>
      <c r="BC341" s="61">
        <v>6.7000000000000004E-2</v>
      </c>
      <c r="BD341" s="61">
        <v>0.70199999999999996</v>
      </c>
      <c r="BE341" s="61">
        <v>5.3999999999999999E-2</v>
      </c>
      <c r="BF341" s="61" t="s">
        <v>122</v>
      </c>
      <c r="BG341" s="61">
        <v>5.6909999999999998</v>
      </c>
      <c r="BH341" s="61">
        <v>1.9279999999999999</v>
      </c>
      <c r="BI341" s="61">
        <v>2.9000000000000001E-2</v>
      </c>
      <c r="BJ341" s="61">
        <v>7.6470000000000002</v>
      </c>
      <c r="BK341" s="66">
        <v>8.4700000000000006</v>
      </c>
      <c r="BL341" s="67">
        <v>12.231999999999999</v>
      </c>
      <c r="BM341" s="61">
        <v>0.104</v>
      </c>
      <c r="BN341" s="61" t="s">
        <v>121</v>
      </c>
      <c r="BO341" s="61" t="s">
        <v>121</v>
      </c>
      <c r="BP341" s="61">
        <v>12.336</v>
      </c>
      <c r="BQ341" s="61">
        <v>208.03100000000001</v>
      </c>
      <c r="BR341" s="61">
        <v>12.297000000000001</v>
      </c>
      <c r="BS341" s="61">
        <v>0.32500000000000001</v>
      </c>
      <c r="BT341" s="61">
        <v>5.4980000000000002</v>
      </c>
      <c r="BU341" s="61">
        <v>10.433999999999999</v>
      </c>
      <c r="BV341" s="61">
        <v>17.562999999999999</v>
      </c>
      <c r="BW341" s="61">
        <v>27.997</v>
      </c>
      <c r="BX341" s="67">
        <v>254.148</v>
      </c>
      <c r="BY341" s="68">
        <v>107982</v>
      </c>
      <c r="BZ341" s="68">
        <v>128438</v>
      </c>
      <c r="CA341" s="69">
        <v>10787</v>
      </c>
      <c r="CB341" s="68">
        <v>105021</v>
      </c>
      <c r="CC341" s="68">
        <v>2333</v>
      </c>
      <c r="CD341" s="61"/>
      <c r="CE341" s="64"/>
      <c r="CF341" s="64"/>
      <c r="CG341" s="70">
        <f t="shared" si="27"/>
        <v>4410.8819999999996</v>
      </c>
      <c r="CH341" s="70">
        <f t="shared" si="28"/>
        <v>453.05399999999997</v>
      </c>
      <c r="CI341" s="70">
        <f t="shared" si="29"/>
        <v>97.986000000000004</v>
      </c>
      <c r="CJ341" s="70">
        <f t="shared" si="30"/>
        <v>4535.2439999999997</v>
      </c>
      <c r="CK341" s="70">
        <f t="shared" si="30"/>
        <v>5394.3959999999997</v>
      </c>
      <c r="CL341" s="70">
        <f t="shared" si="26"/>
        <v>0</v>
      </c>
      <c r="CM341" s="61"/>
      <c r="CN341" s="61"/>
      <c r="CO341" s="61"/>
      <c r="CP341" s="61"/>
      <c r="CQ341" s="61"/>
      <c r="CR341" s="61"/>
      <c r="CS341" s="61"/>
      <c r="CT341" s="61"/>
      <c r="CU341" s="61"/>
      <c r="CV341" s="61"/>
      <c r="CW341" s="61"/>
      <c r="CX341" s="61"/>
      <c r="CY341" s="61"/>
      <c r="CZ341" s="61"/>
      <c r="DA341" s="61"/>
      <c r="DB341" s="61"/>
      <c r="DC341" s="61"/>
      <c r="DD341" s="61"/>
      <c r="DE341" s="61"/>
      <c r="DF341" s="61"/>
      <c r="DG341" s="61"/>
      <c r="DH341" s="61"/>
      <c r="DI341" s="61"/>
      <c r="DJ341" s="61"/>
      <c r="DK341" s="61"/>
      <c r="DL341" s="61"/>
      <c r="DM341" s="61"/>
      <c r="DN341" s="61"/>
      <c r="DO341" s="61"/>
      <c r="DP341" s="61"/>
      <c r="DQ341" s="61"/>
      <c r="DR341" s="61"/>
      <c r="DS341" s="61"/>
      <c r="DT341" s="61"/>
      <c r="DU341" s="61"/>
      <c r="DV341" s="61"/>
      <c r="DW341" s="61"/>
      <c r="DX341" s="61"/>
      <c r="DY341" s="61"/>
      <c r="DZ341" s="61"/>
      <c r="EA341" s="61"/>
      <c r="EB341" s="61"/>
      <c r="EC341" s="61"/>
      <c r="ED341" s="61"/>
      <c r="EE341" s="61"/>
      <c r="EF341" s="61"/>
      <c r="EG341" s="61"/>
      <c r="EH341" s="61"/>
      <c r="EI341" s="61"/>
      <c r="EJ341" s="61"/>
      <c r="EK341" s="61"/>
      <c r="EL341" s="61"/>
      <c r="EM341" s="61"/>
      <c r="EN341" s="61"/>
      <c r="EO341" s="61"/>
      <c r="EP341" s="61"/>
      <c r="EQ341" s="61"/>
      <c r="ER341" s="61"/>
      <c r="ES341" s="61"/>
      <c r="ET341" s="61"/>
      <c r="EU341" s="61"/>
      <c r="EV341" s="61"/>
      <c r="EW341" s="61"/>
    </row>
    <row r="342" spans="1:153">
      <c r="A342" s="56">
        <v>36982</v>
      </c>
      <c r="B342" s="57">
        <v>2001</v>
      </c>
      <c r="C342" s="71">
        <v>9.0999999999999998E-2</v>
      </c>
      <c r="D342" s="61">
        <v>1E-3</v>
      </c>
      <c r="E342" s="61">
        <v>16.783999999999999</v>
      </c>
      <c r="F342" s="61">
        <v>0.70499999999999996</v>
      </c>
      <c r="G342" s="61">
        <v>0.09</v>
      </c>
      <c r="H342" s="61">
        <v>2.1560000000000001</v>
      </c>
      <c r="I342" s="61">
        <v>3.8929999999999998</v>
      </c>
      <c r="J342" s="61">
        <v>-1.736</v>
      </c>
      <c r="K342" s="61"/>
      <c r="L342" s="61"/>
      <c r="M342" s="61">
        <v>15.047000000000001</v>
      </c>
      <c r="N342" s="61">
        <v>0.63200000000000001</v>
      </c>
      <c r="O342" s="71">
        <v>8.1000000000000003E-2</v>
      </c>
      <c r="P342" s="60">
        <v>163.97300000000001</v>
      </c>
      <c r="Q342" s="61">
        <v>19.536999999999999</v>
      </c>
      <c r="R342" s="61">
        <v>213.62799999999999</v>
      </c>
      <c r="S342" s="61">
        <v>425.35899999999998</v>
      </c>
      <c r="T342" s="61">
        <v>186.12799999999999</v>
      </c>
      <c r="U342" s="61">
        <v>13.162000000000001</v>
      </c>
      <c r="V342" s="61">
        <v>5.3659999999999997</v>
      </c>
      <c r="W342" s="61">
        <v>7.0750000000000002</v>
      </c>
      <c r="X342" s="61">
        <v>163.97300000000001</v>
      </c>
      <c r="Y342" s="61">
        <v>30.117999999999999</v>
      </c>
      <c r="Z342" s="61">
        <v>18.71</v>
      </c>
      <c r="AA342" s="61">
        <v>212.8</v>
      </c>
      <c r="AB342" s="60">
        <v>424.53100000000001</v>
      </c>
      <c r="AC342" s="62"/>
      <c r="AD342" s="61"/>
      <c r="AE342" s="61"/>
      <c r="AF342" s="61"/>
      <c r="AG342" s="61"/>
      <c r="AH342" s="61"/>
      <c r="AI342" s="61"/>
      <c r="AJ342" s="61"/>
      <c r="AK342" s="62"/>
      <c r="AL342" s="63"/>
      <c r="AM342" s="64"/>
      <c r="AN342" s="65" t="e">
        <v>#N/A</v>
      </c>
      <c r="AO342" s="61" t="e">
        <v>#N/A</v>
      </c>
      <c r="AP342" s="61" t="e">
        <v>#N/A</v>
      </c>
      <c r="AQ342" s="61" t="e">
        <v>#N/A</v>
      </c>
      <c r="AR342" s="61" t="e">
        <v>#N/A</v>
      </c>
      <c r="AS342" s="61" t="e">
        <v>#N/A</v>
      </c>
      <c r="AT342" s="61" t="e">
        <v>#N/A</v>
      </c>
      <c r="AU342" s="61" t="e">
        <v>#N/A</v>
      </c>
      <c r="AV342" s="61" t="e">
        <v>#N/A</v>
      </c>
      <c r="AW342" s="61" t="e">
        <v>#N/A</v>
      </c>
      <c r="AX342" s="65" t="e">
        <v>#N/A</v>
      </c>
      <c r="AY342" s="66">
        <v>0.77700000000000002</v>
      </c>
      <c r="AZ342" s="61">
        <v>4.8929999999999998</v>
      </c>
      <c r="BA342" s="61">
        <v>30.411000000000001</v>
      </c>
      <c r="BB342" s="61">
        <v>36.08</v>
      </c>
      <c r="BC342" s="61">
        <v>7.4999999999999997E-2</v>
      </c>
      <c r="BD342" s="61">
        <v>0.68</v>
      </c>
      <c r="BE342" s="61">
        <v>5.8999999999999997E-2</v>
      </c>
      <c r="BF342" s="61" t="s">
        <v>122</v>
      </c>
      <c r="BG342" s="61">
        <v>5.4619999999999997</v>
      </c>
      <c r="BH342" s="61">
        <v>1.9550000000000001</v>
      </c>
      <c r="BI342" s="61">
        <v>2.4E-2</v>
      </c>
      <c r="BJ342" s="61">
        <v>7.4409999999999998</v>
      </c>
      <c r="BK342" s="66">
        <v>8.2550000000000008</v>
      </c>
      <c r="BL342" s="67">
        <v>10.159000000000001</v>
      </c>
      <c r="BM342" s="61">
        <v>8.1000000000000003E-2</v>
      </c>
      <c r="BN342" s="61" t="s">
        <v>121</v>
      </c>
      <c r="BO342" s="61" t="s">
        <v>121</v>
      </c>
      <c r="BP342" s="61">
        <v>10.24</v>
      </c>
      <c r="BQ342" s="61">
        <v>183.12899999999999</v>
      </c>
      <c r="BR342" s="61">
        <v>11.315</v>
      </c>
      <c r="BS342" s="61">
        <v>0.4</v>
      </c>
      <c r="BT342" s="61">
        <v>7.0750000000000002</v>
      </c>
      <c r="BU342" s="61">
        <v>9.4019999999999992</v>
      </c>
      <c r="BV342" s="61">
        <v>17.143999999999998</v>
      </c>
      <c r="BW342" s="61">
        <v>26.545999999999999</v>
      </c>
      <c r="BX342" s="67">
        <v>228.46600000000001</v>
      </c>
      <c r="BY342" s="68">
        <v>109490</v>
      </c>
      <c r="BZ342" s="68">
        <v>115012</v>
      </c>
      <c r="CA342" s="69">
        <v>8642</v>
      </c>
      <c r="CB342" s="68">
        <v>104945</v>
      </c>
      <c r="CC342" s="68">
        <v>3196</v>
      </c>
      <c r="CD342" s="61"/>
      <c r="CE342" s="64"/>
      <c r="CF342" s="64"/>
      <c r="CG342" s="70">
        <f t="shared" si="27"/>
        <v>4407.6899999999996</v>
      </c>
      <c r="CH342" s="70">
        <f t="shared" si="28"/>
        <v>362.964</v>
      </c>
      <c r="CI342" s="70">
        <f t="shared" si="29"/>
        <v>134.232</v>
      </c>
      <c r="CJ342" s="70">
        <f t="shared" si="30"/>
        <v>4598.58</v>
      </c>
      <c r="CK342" s="70">
        <f t="shared" si="30"/>
        <v>4830.5039999999999</v>
      </c>
      <c r="CL342" s="70">
        <f t="shared" si="26"/>
        <v>0</v>
      </c>
      <c r="CM342" s="61"/>
      <c r="CN342" s="61"/>
      <c r="CO342" s="61"/>
      <c r="CP342" s="61"/>
      <c r="CQ342" s="61"/>
      <c r="CR342" s="61"/>
      <c r="CS342" s="61"/>
      <c r="CT342" s="61"/>
      <c r="CU342" s="61"/>
      <c r="CV342" s="61"/>
      <c r="CW342" s="61"/>
      <c r="CX342" s="61"/>
      <c r="CY342" s="61"/>
      <c r="CZ342" s="61"/>
      <c r="DA342" s="61"/>
      <c r="DB342" s="61"/>
      <c r="DC342" s="61"/>
      <c r="DD342" s="61"/>
      <c r="DE342" s="61"/>
      <c r="DF342" s="61"/>
      <c r="DG342" s="61"/>
      <c r="DH342" s="61"/>
      <c r="DI342" s="61"/>
      <c r="DJ342" s="61"/>
      <c r="DK342" s="61"/>
      <c r="DL342" s="61"/>
      <c r="DM342" s="61"/>
      <c r="DN342" s="61"/>
      <c r="DO342" s="61"/>
      <c r="DP342" s="61"/>
      <c r="DQ342" s="61"/>
      <c r="DR342" s="61"/>
      <c r="DS342" s="61"/>
      <c r="DT342" s="61"/>
      <c r="DU342" s="61"/>
      <c r="DV342" s="61"/>
      <c r="DW342" s="61"/>
      <c r="DX342" s="61"/>
      <c r="DY342" s="61"/>
      <c r="DZ342" s="61"/>
      <c r="EA342" s="61"/>
      <c r="EB342" s="61"/>
      <c r="EC342" s="61"/>
      <c r="ED342" s="61"/>
      <c r="EE342" s="61"/>
      <c r="EF342" s="61"/>
      <c r="EG342" s="61"/>
      <c r="EH342" s="61"/>
      <c r="EI342" s="61"/>
      <c r="EJ342" s="61"/>
      <c r="EK342" s="61"/>
      <c r="EL342" s="61"/>
      <c r="EM342" s="61"/>
      <c r="EN342" s="61"/>
      <c r="EO342" s="61"/>
      <c r="EP342" s="61"/>
      <c r="EQ342" s="61"/>
      <c r="ER342" s="61"/>
      <c r="ES342" s="61"/>
      <c r="ET342" s="61"/>
      <c r="EU342" s="61"/>
      <c r="EV342" s="61"/>
      <c r="EW342" s="61"/>
    </row>
    <row r="343" spans="1:153">
      <c r="A343" s="56">
        <v>37012</v>
      </c>
      <c r="B343" s="57">
        <v>2001</v>
      </c>
      <c r="C343" s="71">
        <v>9.4E-2</v>
      </c>
      <c r="D343" s="61">
        <v>1E-3</v>
      </c>
      <c r="E343" s="61">
        <v>17.343</v>
      </c>
      <c r="F343" s="61">
        <v>0.72799999999999998</v>
      </c>
      <c r="G343" s="61">
        <v>9.2999999999999999E-2</v>
      </c>
      <c r="H343" s="61">
        <v>1.9330000000000001</v>
      </c>
      <c r="I343" s="61">
        <v>2.016</v>
      </c>
      <c r="J343" s="61">
        <v>-8.3000000000000004E-2</v>
      </c>
      <c r="K343" s="61"/>
      <c r="L343" s="61"/>
      <c r="M343" s="61">
        <v>17.260000000000002</v>
      </c>
      <c r="N343" s="61">
        <v>0.72499999999999998</v>
      </c>
      <c r="O343" s="71">
        <v>9.1999999999999998E-2</v>
      </c>
      <c r="P343" s="60">
        <v>161.45699999999999</v>
      </c>
      <c r="Q343" s="61">
        <v>20.222000000000001</v>
      </c>
      <c r="R343" s="61">
        <v>211.506</v>
      </c>
      <c r="S343" s="61">
        <v>435.50900000000001</v>
      </c>
      <c r="T343" s="61">
        <v>198.142</v>
      </c>
      <c r="U343" s="61">
        <v>12.98</v>
      </c>
      <c r="V343" s="61">
        <v>6.319</v>
      </c>
      <c r="W343" s="61">
        <v>6.5620000000000003</v>
      </c>
      <c r="X343" s="61">
        <v>161.45699999999999</v>
      </c>
      <c r="Y343" s="61">
        <v>29.827999999999999</v>
      </c>
      <c r="Z343" s="61">
        <v>19.576000000000001</v>
      </c>
      <c r="AA343" s="61">
        <v>210.86099999999999</v>
      </c>
      <c r="AB343" s="60">
        <v>434.863</v>
      </c>
      <c r="AC343" s="62"/>
      <c r="AD343" s="61"/>
      <c r="AE343" s="61"/>
      <c r="AF343" s="61"/>
      <c r="AG343" s="61"/>
      <c r="AH343" s="61"/>
      <c r="AI343" s="61"/>
      <c r="AJ343" s="61"/>
      <c r="AK343" s="62"/>
      <c r="AL343" s="63"/>
      <c r="AM343" s="64"/>
      <c r="AN343" s="65" t="e">
        <v>#N/A</v>
      </c>
      <c r="AO343" s="61" t="e">
        <v>#N/A</v>
      </c>
      <c r="AP343" s="61" t="e">
        <v>#N/A</v>
      </c>
      <c r="AQ343" s="61" t="e">
        <v>#N/A</v>
      </c>
      <c r="AR343" s="61" t="e">
        <v>#N/A</v>
      </c>
      <c r="AS343" s="61" t="e">
        <v>#N/A</v>
      </c>
      <c r="AT343" s="61" t="e">
        <v>#N/A</v>
      </c>
      <c r="AU343" s="61" t="e">
        <v>#N/A</v>
      </c>
      <c r="AV343" s="61" t="e">
        <v>#N/A</v>
      </c>
      <c r="AW343" s="61" t="e">
        <v>#N/A</v>
      </c>
      <c r="AX343" s="65" t="e">
        <v>#N/A</v>
      </c>
      <c r="AY343" s="66">
        <v>0.80300000000000005</v>
      </c>
      <c r="AZ343" s="61">
        <v>5.4009999999999998</v>
      </c>
      <c r="BA343" s="61">
        <v>31.425000000000001</v>
      </c>
      <c r="BB343" s="61">
        <v>37.628999999999998</v>
      </c>
      <c r="BC343" s="61">
        <v>7.1999999999999995E-2</v>
      </c>
      <c r="BD343" s="61">
        <v>0.70199999999999996</v>
      </c>
      <c r="BE343" s="61">
        <v>6.5000000000000002E-2</v>
      </c>
      <c r="BF343" s="61" t="s">
        <v>122</v>
      </c>
      <c r="BG343" s="61">
        <v>5.6669999999999998</v>
      </c>
      <c r="BH343" s="61">
        <v>2.0219999999999998</v>
      </c>
      <c r="BI343" s="61">
        <v>2.5000000000000001E-2</v>
      </c>
      <c r="BJ343" s="61">
        <v>7.7130000000000001</v>
      </c>
      <c r="BK343" s="66">
        <v>8.5540000000000003</v>
      </c>
      <c r="BL343" s="67">
        <v>10.712999999999999</v>
      </c>
      <c r="BM343" s="61">
        <v>9.1999999999999998E-2</v>
      </c>
      <c r="BN343" s="61" t="s">
        <v>121</v>
      </c>
      <c r="BO343" s="61" t="s">
        <v>121</v>
      </c>
      <c r="BP343" s="61">
        <v>10.805999999999999</v>
      </c>
      <c r="BQ343" s="61">
        <v>195.03700000000001</v>
      </c>
      <c r="BR343" s="61">
        <v>11.071</v>
      </c>
      <c r="BS343" s="61">
        <v>0.83799999999999997</v>
      </c>
      <c r="BT343" s="61">
        <v>6.5620000000000003</v>
      </c>
      <c r="BU343" s="61">
        <v>10.083</v>
      </c>
      <c r="BV343" s="61">
        <v>17.611999999999998</v>
      </c>
      <c r="BW343" s="61">
        <v>27.695</v>
      </c>
      <c r="BX343" s="67">
        <v>241.202</v>
      </c>
      <c r="BY343" s="68">
        <v>113219</v>
      </c>
      <c r="BZ343" s="68">
        <v>116132</v>
      </c>
      <c r="CA343" s="69">
        <v>9625</v>
      </c>
      <c r="CB343" s="68">
        <v>107142</v>
      </c>
      <c r="CC343" s="68">
        <v>4515</v>
      </c>
      <c r="CD343" s="61"/>
      <c r="CE343" s="64"/>
      <c r="CF343" s="64"/>
      <c r="CG343" s="70">
        <f t="shared" si="27"/>
        <v>4499.9639999999999</v>
      </c>
      <c r="CH343" s="70">
        <f t="shared" si="28"/>
        <v>404.25</v>
      </c>
      <c r="CI343" s="70">
        <f t="shared" si="29"/>
        <v>189.63</v>
      </c>
      <c r="CJ343" s="70">
        <f t="shared" si="30"/>
        <v>4755.1980000000003</v>
      </c>
      <c r="CK343" s="70">
        <f t="shared" si="30"/>
        <v>4877.5439999999999</v>
      </c>
      <c r="CL343" s="70">
        <f t="shared" si="26"/>
        <v>0</v>
      </c>
      <c r="CM343" s="61"/>
      <c r="CN343" s="61"/>
      <c r="CO343" s="61"/>
      <c r="CP343" s="61"/>
      <c r="CQ343" s="61"/>
      <c r="CR343" s="61"/>
      <c r="CS343" s="61"/>
      <c r="CT343" s="61"/>
      <c r="CU343" s="61"/>
      <c r="CV343" s="61"/>
      <c r="CW343" s="61"/>
      <c r="CX343" s="61"/>
      <c r="CY343" s="61"/>
      <c r="CZ343" s="61"/>
      <c r="DA343" s="61"/>
      <c r="DB343" s="61"/>
      <c r="DC343" s="61"/>
      <c r="DD343" s="61"/>
      <c r="DE343" s="61"/>
      <c r="DF343" s="61"/>
      <c r="DG343" s="61"/>
      <c r="DH343" s="61"/>
      <c r="DI343" s="61"/>
      <c r="DJ343" s="61"/>
      <c r="DK343" s="61"/>
      <c r="DL343" s="61"/>
      <c r="DM343" s="61"/>
      <c r="DN343" s="61"/>
      <c r="DO343" s="61"/>
      <c r="DP343" s="61"/>
      <c r="DQ343" s="61"/>
      <c r="DR343" s="61"/>
      <c r="DS343" s="61"/>
      <c r="DT343" s="61"/>
      <c r="DU343" s="61"/>
      <c r="DV343" s="61"/>
      <c r="DW343" s="61"/>
      <c r="DX343" s="61"/>
      <c r="DY343" s="61"/>
      <c r="DZ343" s="61"/>
      <c r="EA343" s="61"/>
      <c r="EB343" s="61"/>
      <c r="EC343" s="61"/>
      <c r="ED343" s="61"/>
      <c r="EE343" s="61"/>
      <c r="EF343" s="61"/>
      <c r="EG343" s="61"/>
      <c r="EH343" s="61"/>
      <c r="EI343" s="61"/>
      <c r="EJ343" s="61"/>
      <c r="EK343" s="61"/>
      <c r="EL343" s="61"/>
      <c r="EM343" s="61"/>
      <c r="EN343" s="61"/>
      <c r="EO343" s="61"/>
      <c r="EP343" s="61"/>
      <c r="EQ343" s="61"/>
      <c r="ER343" s="61"/>
      <c r="ES343" s="61"/>
      <c r="ET343" s="61"/>
      <c r="EU343" s="61"/>
      <c r="EV343" s="61"/>
      <c r="EW343" s="61"/>
    </row>
    <row r="344" spans="1:153">
      <c r="A344" s="56">
        <v>37043</v>
      </c>
      <c r="B344" s="57">
        <v>2001</v>
      </c>
      <c r="C344" s="71">
        <v>9.0999999999999998E-2</v>
      </c>
      <c r="D344" s="61">
        <v>1E-3</v>
      </c>
      <c r="E344" s="61">
        <v>16.783999999999999</v>
      </c>
      <c r="F344" s="61">
        <v>0.70499999999999996</v>
      </c>
      <c r="G344" s="61">
        <v>0.09</v>
      </c>
      <c r="H344" s="61">
        <v>2.8639999999999999</v>
      </c>
      <c r="I344" s="61">
        <v>1.9319999999999999</v>
      </c>
      <c r="J344" s="61">
        <v>0.93100000000000005</v>
      </c>
      <c r="K344" s="61"/>
      <c r="L344" s="61"/>
      <c r="M344" s="61">
        <v>17.715</v>
      </c>
      <c r="N344" s="61">
        <v>0.74399999999999999</v>
      </c>
      <c r="O344" s="71">
        <v>9.5000000000000001E-2</v>
      </c>
      <c r="P344" s="60">
        <v>163.77199999999999</v>
      </c>
      <c r="Q344" s="61">
        <v>20.044</v>
      </c>
      <c r="R344" s="61">
        <v>213.95</v>
      </c>
      <c r="S344" s="61">
        <v>454.608</v>
      </c>
      <c r="T344" s="61">
        <v>214.179</v>
      </c>
      <c r="U344" s="61">
        <v>13.087999999999999</v>
      </c>
      <c r="V344" s="61">
        <v>6.4720000000000004</v>
      </c>
      <c r="W344" s="61">
        <v>6.9189999999999996</v>
      </c>
      <c r="X344" s="61">
        <v>163.77199999999999</v>
      </c>
      <c r="Y344" s="61">
        <v>30.134</v>
      </c>
      <c r="Z344" s="61">
        <v>16.692</v>
      </c>
      <c r="AA344" s="61">
        <v>210.59800000000001</v>
      </c>
      <c r="AB344" s="60">
        <v>451.25599999999997</v>
      </c>
      <c r="AC344" s="62"/>
      <c r="AD344" s="61"/>
      <c r="AE344" s="61"/>
      <c r="AF344" s="61"/>
      <c r="AG344" s="61"/>
      <c r="AH344" s="61"/>
      <c r="AI344" s="61"/>
      <c r="AJ344" s="61"/>
      <c r="AK344" s="62"/>
      <c r="AL344" s="63"/>
      <c r="AM344" s="64"/>
      <c r="AN344" s="65" t="e">
        <v>#N/A</v>
      </c>
      <c r="AO344" s="61" t="e">
        <v>#N/A</v>
      </c>
      <c r="AP344" s="61" t="e">
        <v>#N/A</v>
      </c>
      <c r="AQ344" s="61" t="e">
        <v>#N/A</v>
      </c>
      <c r="AR344" s="61" t="e">
        <v>#N/A</v>
      </c>
      <c r="AS344" s="61" t="e">
        <v>#N/A</v>
      </c>
      <c r="AT344" s="61" t="e">
        <v>#N/A</v>
      </c>
      <c r="AU344" s="61" t="e">
        <v>#N/A</v>
      </c>
      <c r="AV344" s="61" t="e">
        <v>#N/A</v>
      </c>
      <c r="AW344" s="61" t="e">
        <v>#N/A</v>
      </c>
      <c r="AX344" s="65" t="e">
        <v>#N/A</v>
      </c>
      <c r="AY344" s="66">
        <v>0.77700000000000002</v>
      </c>
      <c r="AZ344" s="61">
        <v>5.45</v>
      </c>
      <c r="BA344" s="61">
        <v>30.411000000000001</v>
      </c>
      <c r="BB344" s="61">
        <v>36.637999999999998</v>
      </c>
      <c r="BC344" s="61">
        <v>7.1999999999999995E-2</v>
      </c>
      <c r="BD344" s="61">
        <v>0.68</v>
      </c>
      <c r="BE344" s="61">
        <v>6.6000000000000003E-2</v>
      </c>
      <c r="BF344" s="61" t="s">
        <v>122</v>
      </c>
      <c r="BG344" s="61">
        <v>5.4930000000000003</v>
      </c>
      <c r="BH344" s="61">
        <v>2.1469999999999998</v>
      </c>
      <c r="BI344" s="61">
        <v>1.9E-2</v>
      </c>
      <c r="BJ344" s="61">
        <v>7.6580000000000004</v>
      </c>
      <c r="BK344" s="66">
        <v>8.4760000000000009</v>
      </c>
      <c r="BL344" s="67">
        <v>7.9580000000000002</v>
      </c>
      <c r="BM344" s="61">
        <v>9.5000000000000001E-2</v>
      </c>
      <c r="BN344" s="61" t="s">
        <v>121</v>
      </c>
      <c r="BO344" s="61" t="s">
        <v>121</v>
      </c>
      <c r="BP344" s="61">
        <v>8.0530000000000008</v>
      </c>
      <c r="BQ344" s="61">
        <v>211.09899999999999</v>
      </c>
      <c r="BR344" s="61">
        <v>11.241</v>
      </c>
      <c r="BS344" s="61">
        <v>0.94199999999999995</v>
      </c>
      <c r="BT344" s="61">
        <v>6.9189999999999996</v>
      </c>
      <c r="BU344" s="61">
        <v>11.606999999999999</v>
      </c>
      <c r="BV344" s="61">
        <v>18.076000000000001</v>
      </c>
      <c r="BW344" s="61">
        <v>29.683</v>
      </c>
      <c r="BX344" s="67">
        <v>259.88400000000001</v>
      </c>
      <c r="BY344" s="68">
        <v>111053</v>
      </c>
      <c r="BZ344" s="68">
        <v>109764</v>
      </c>
      <c r="CA344" s="69">
        <v>9059</v>
      </c>
      <c r="CB344" s="68">
        <v>113877</v>
      </c>
      <c r="CC344" s="68">
        <v>3613</v>
      </c>
      <c r="CD344" s="61"/>
      <c r="CE344" s="64"/>
      <c r="CF344" s="64"/>
      <c r="CG344" s="70">
        <f t="shared" si="27"/>
        <v>4782.8339999999998</v>
      </c>
      <c r="CH344" s="70">
        <f t="shared" si="28"/>
        <v>380.47800000000001</v>
      </c>
      <c r="CI344" s="70">
        <f t="shared" si="29"/>
        <v>151.74600000000001</v>
      </c>
      <c r="CJ344" s="70">
        <f t="shared" si="30"/>
        <v>4664.2259999999997</v>
      </c>
      <c r="CK344" s="70">
        <f t="shared" si="30"/>
        <v>4610.0879999999997</v>
      </c>
      <c r="CL344" s="70">
        <f t="shared" si="26"/>
        <v>0</v>
      </c>
      <c r="CM344" s="61"/>
      <c r="CN344" s="61"/>
      <c r="CO344" s="61"/>
      <c r="CP344" s="61"/>
      <c r="CQ344" s="61"/>
      <c r="CR344" s="61"/>
      <c r="CS344" s="61"/>
      <c r="CT344" s="61"/>
      <c r="CU344" s="61"/>
      <c r="CV344" s="61"/>
      <c r="CW344" s="61"/>
      <c r="CX344" s="61"/>
      <c r="CY344" s="61"/>
      <c r="CZ344" s="61"/>
      <c r="DA344" s="61"/>
      <c r="DB344" s="61"/>
      <c r="DC344" s="61"/>
      <c r="DD344" s="61"/>
      <c r="DE344" s="61"/>
      <c r="DF344" s="61"/>
      <c r="DG344" s="61"/>
      <c r="DH344" s="61"/>
      <c r="DI344" s="61"/>
      <c r="DJ344" s="61"/>
      <c r="DK344" s="61"/>
      <c r="DL344" s="61"/>
      <c r="DM344" s="61"/>
      <c r="DN344" s="61"/>
      <c r="DO344" s="61"/>
      <c r="DP344" s="61"/>
      <c r="DQ344" s="61"/>
      <c r="DR344" s="61"/>
      <c r="DS344" s="61"/>
      <c r="DT344" s="61"/>
      <c r="DU344" s="61"/>
      <c r="DV344" s="61"/>
      <c r="DW344" s="61"/>
      <c r="DX344" s="61"/>
      <c r="DY344" s="61"/>
      <c r="DZ344" s="61"/>
      <c r="EA344" s="61"/>
      <c r="EB344" s="61"/>
      <c r="EC344" s="61"/>
      <c r="ED344" s="61"/>
      <c r="EE344" s="61"/>
      <c r="EF344" s="61"/>
      <c r="EG344" s="61"/>
      <c r="EH344" s="61"/>
      <c r="EI344" s="61"/>
      <c r="EJ344" s="61"/>
      <c r="EK344" s="61"/>
      <c r="EL344" s="61"/>
      <c r="EM344" s="61"/>
      <c r="EN344" s="61"/>
      <c r="EO344" s="61"/>
      <c r="EP344" s="61"/>
      <c r="EQ344" s="61"/>
      <c r="ER344" s="61"/>
      <c r="ES344" s="61"/>
      <c r="ET344" s="61"/>
      <c r="EU344" s="61"/>
      <c r="EV344" s="61"/>
      <c r="EW344" s="61"/>
    </row>
    <row r="345" spans="1:153">
      <c r="A345" s="56">
        <v>37073</v>
      </c>
      <c r="B345" s="57">
        <v>2001</v>
      </c>
      <c r="C345" s="71">
        <v>9.4E-2</v>
      </c>
      <c r="D345" s="61">
        <v>1E-3</v>
      </c>
      <c r="E345" s="61">
        <v>17.343</v>
      </c>
      <c r="F345" s="61">
        <v>0.72799999999999998</v>
      </c>
      <c r="G345" s="61">
        <v>9.2999999999999999E-2</v>
      </c>
      <c r="H345" s="61">
        <v>13.066000000000001</v>
      </c>
      <c r="I345" s="61">
        <v>2.2040000000000002</v>
      </c>
      <c r="J345" s="61">
        <v>10.862</v>
      </c>
      <c r="K345" s="61"/>
      <c r="L345" s="61"/>
      <c r="M345" s="61">
        <v>28.204999999999998</v>
      </c>
      <c r="N345" s="61">
        <v>1.1850000000000001</v>
      </c>
      <c r="O345" s="71">
        <v>0.151</v>
      </c>
      <c r="P345" s="60">
        <v>169.42099999999999</v>
      </c>
      <c r="Q345" s="61">
        <v>21.023</v>
      </c>
      <c r="R345" s="61">
        <v>221.84200000000001</v>
      </c>
      <c r="S345" s="61">
        <v>436.05799999999999</v>
      </c>
      <c r="T345" s="61">
        <v>186.81200000000001</v>
      </c>
      <c r="U345" s="61">
        <v>14.087</v>
      </c>
      <c r="V345" s="61">
        <v>6.7560000000000002</v>
      </c>
      <c r="W345" s="61">
        <v>6.5609999999999999</v>
      </c>
      <c r="X345" s="61">
        <v>169.42099999999999</v>
      </c>
      <c r="Y345" s="61">
        <v>31.398</v>
      </c>
      <c r="Z345" s="61">
        <v>23.398</v>
      </c>
      <c r="AA345" s="61">
        <v>224.21700000000001</v>
      </c>
      <c r="AB345" s="60">
        <v>438.43299999999999</v>
      </c>
      <c r="AC345" s="62"/>
      <c r="AD345" s="61"/>
      <c r="AE345" s="61"/>
      <c r="AF345" s="61"/>
      <c r="AG345" s="61"/>
      <c r="AH345" s="61"/>
      <c r="AI345" s="61"/>
      <c r="AJ345" s="61"/>
      <c r="AK345" s="62"/>
      <c r="AL345" s="63"/>
      <c r="AM345" s="64"/>
      <c r="AN345" s="65" t="e">
        <v>#N/A</v>
      </c>
      <c r="AO345" s="61" t="e">
        <v>#N/A</v>
      </c>
      <c r="AP345" s="61" t="e">
        <v>#N/A</v>
      </c>
      <c r="AQ345" s="61" t="e">
        <v>#N/A</v>
      </c>
      <c r="AR345" s="61" t="e">
        <v>#N/A</v>
      </c>
      <c r="AS345" s="61" t="e">
        <v>#N/A</v>
      </c>
      <c r="AT345" s="61" t="e">
        <v>#N/A</v>
      </c>
      <c r="AU345" s="61" t="e">
        <v>#N/A</v>
      </c>
      <c r="AV345" s="61" t="e">
        <v>#N/A</v>
      </c>
      <c r="AW345" s="61" t="e">
        <v>#N/A</v>
      </c>
      <c r="AX345" s="65" t="e">
        <v>#N/A</v>
      </c>
      <c r="AY345" s="66">
        <v>0.80300000000000005</v>
      </c>
      <c r="AZ345" s="61">
        <v>5.7210000000000001</v>
      </c>
      <c r="BA345" s="61">
        <v>31.425000000000001</v>
      </c>
      <c r="BB345" s="61">
        <v>37.948</v>
      </c>
      <c r="BC345" s="61">
        <v>5.5E-2</v>
      </c>
      <c r="BD345" s="61">
        <v>0.70199999999999996</v>
      </c>
      <c r="BE345" s="61">
        <v>6.9000000000000006E-2</v>
      </c>
      <c r="BF345" s="61" t="s">
        <v>122</v>
      </c>
      <c r="BG345" s="61">
        <v>5.6779999999999999</v>
      </c>
      <c r="BH345" s="61">
        <v>2.2719999999999998</v>
      </c>
      <c r="BI345" s="61">
        <v>3.3000000000000002E-2</v>
      </c>
      <c r="BJ345" s="61">
        <v>7.9820000000000002</v>
      </c>
      <c r="BK345" s="66">
        <v>8.8089999999999993</v>
      </c>
      <c r="BL345" s="67">
        <v>14.067</v>
      </c>
      <c r="BM345" s="61">
        <v>0.151</v>
      </c>
      <c r="BN345" s="61" t="s">
        <v>121</v>
      </c>
      <c r="BO345" s="61" t="s">
        <v>121</v>
      </c>
      <c r="BP345" s="61">
        <v>14.218</v>
      </c>
      <c r="BQ345" s="61">
        <v>184.25800000000001</v>
      </c>
      <c r="BR345" s="61">
        <v>12.178000000000001</v>
      </c>
      <c r="BS345" s="61">
        <v>0.95099999999999996</v>
      </c>
      <c r="BT345" s="61">
        <v>6.5609999999999999</v>
      </c>
      <c r="BU345" s="61">
        <v>11.414</v>
      </c>
      <c r="BV345" s="61">
        <v>18.850999999999999</v>
      </c>
      <c r="BW345" s="61">
        <v>30.265000000000001</v>
      </c>
      <c r="BX345" s="67">
        <v>234.21299999999999</v>
      </c>
      <c r="BY345" s="68">
        <v>118949</v>
      </c>
      <c r="BZ345" s="68">
        <v>110645</v>
      </c>
      <c r="CA345" s="69">
        <v>6494</v>
      </c>
      <c r="CB345" s="68">
        <v>125176</v>
      </c>
      <c r="CC345" s="68">
        <v>3499</v>
      </c>
      <c r="CD345" s="61"/>
      <c r="CE345" s="64"/>
      <c r="CF345" s="64"/>
      <c r="CG345" s="70">
        <f t="shared" si="27"/>
        <v>5257.3919999999998</v>
      </c>
      <c r="CH345" s="70">
        <f t="shared" si="28"/>
        <v>272.74799999999999</v>
      </c>
      <c r="CI345" s="70">
        <f t="shared" si="29"/>
        <v>146.958</v>
      </c>
      <c r="CJ345" s="70">
        <f t="shared" si="30"/>
        <v>4995.8580000000002</v>
      </c>
      <c r="CK345" s="70">
        <f t="shared" si="30"/>
        <v>4647.09</v>
      </c>
      <c r="CL345" s="70">
        <f t="shared" si="26"/>
        <v>0</v>
      </c>
      <c r="CM345" s="61"/>
      <c r="CN345" s="61"/>
      <c r="CO345" s="61"/>
      <c r="CP345" s="61"/>
      <c r="CQ345" s="61"/>
      <c r="CR345" s="61"/>
      <c r="CS345" s="61"/>
      <c r="CT345" s="61"/>
      <c r="CU345" s="61"/>
      <c r="CV345" s="61"/>
      <c r="CW345" s="61"/>
      <c r="CX345" s="61"/>
      <c r="CY345" s="61"/>
      <c r="CZ345" s="61"/>
      <c r="DA345" s="61"/>
      <c r="DB345" s="61"/>
      <c r="DC345" s="61"/>
      <c r="DD345" s="61"/>
      <c r="DE345" s="61"/>
      <c r="DF345" s="61"/>
      <c r="DG345" s="61"/>
      <c r="DH345" s="61"/>
      <c r="DI345" s="61"/>
      <c r="DJ345" s="61"/>
      <c r="DK345" s="61"/>
      <c r="DL345" s="61"/>
      <c r="DM345" s="61"/>
      <c r="DN345" s="61"/>
      <c r="DO345" s="61"/>
      <c r="DP345" s="61"/>
      <c r="DQ345" s="61"/>
      <c r="DR345" s="61"/>
      <c r="DS345" s="61"/>
      <c r="DT345" s="61"/>
      <c r="DU345" s="61"/>
      <c r="DV345" s="61"/>
      <c r="DW345" s="61"/>
      <c r="DX345" s="61"/>
      <c r="DY345" s="61"/>
      <c r="DZ345" s="61"/>
      <c r="EA345" s="61"/>
      <c r="EB345" s="61"/>
      <c r="EC345" s="61"/>
      <c r="ED345" s="61"/>
      <c r="EE345" s="61"/>
      <c r="EF345" s="61"/>
      <c r="EG345" s="61"/>
      <c r="EH345" s="61"/>
      <c r="EI345" s="61"/>
      <c r="EJ345" s="61"/>
      <c r="EK345" s="61"/>
      <c r="EL345" s="61"/>
      <c r="EM345" s="61"/>
      <c r="EN345" s="61"/>
      <c r="EO345" s="61"/>
      <c r="EP345" s="61"/>
      <c r="EQ345" s="61"/>
      <c r="ER345" s="61"/>
      <c r="ES345" s="61"/>
      <c r="ET345" s="61"/>
      <c r="EU345" s="61"/>
      <c r="EV345" s="61"/>
      <c r="EW345" s="61"/>
    </row>
    <row r="346" spans="1:153">
      <c r="A346" s="56">
        <v>37104</v>
      </c>
      <c r="B346" s="57">
        <v>2001</v>
      </c>
      <c r="C346" s="71">
        <v>9.4E-2</v>
      </c>
      <c r="D346" s="61">
        <v>1E-3</v>
      </c>
      <c r="E346" s="61">
        <v>17.343</v>
      </c>
      <c r="F346" s="61">
        <v>0.72799999999999998</v>
      </c>
      <c r="G346" s="61">
        <v>9.2999999999999999E-2</v>
      </c>
      <c r="H346" s="61">
        <v>2.4089999999999998</v>
      </c>
      <c r="I346" s="61">
        <v>3.0209999999999999</v>
      </c>
      <c r="J346" s="61">
        <v>-0.61199999999999999</v>
      </c>
      <c r="K346" s="61"/>
      <c r="L346" s="61"/>
      <c r="M346" s="61">
        <v>16.731000000000002</v>
      </c>
      <c r="N346" s="61">
        <v>0.70299999999999996</v>
      </c>
      <c r="O346" s="71">
        <v>0.09</v>
      </c>
      <c r="P346" s="60">
        <v>173.357</v>
      </c>
      <c r="Q346" s="61">
        <v>21.283000000000001</v>
      </c>
      <c r="R346" s="61">
        <v>225.89699999999999</v>
      </c>
      <c r="S346" s="61">
        <v>447.89400000000001</v>
      </c>
      <c r="T346" s="61">
        <v>195.43600000000001</v>
      </c>
      <c r="U346" s="61">
        <v>13.97</v>
      </c>
      <c r="V346" s="61">
        <v>6.6269999999999998</v>
      </c>
      <c r="W346" s="61">
        <v>5.9640000000000004</v>
      </c>
      <c r="X346" s="61">
        <v>173.357</v>
      </c>
      <c r="Y346" s="61">
        <v>31.257999999999999</v>
      </c>
      <c r="Z346" s="61">
        <v>18.937999999999999</v>
      </c>
      <c r="AA346" s="61">
        <v>223.55199999999999</v>
      </c>
      <c r="AB346" s="60">
        <v>445.55</v>
      </c>
      <c r="AC346" s="62"/>
      <c r="AD346" s="61"/>
      <c r="AE346" s="61"/>
      <c r="AF346" s="61"/>
      <c r="AG346" s="61"/>
      <c r="AH346" s="61"/>
      <c r="AI346" s="61"/>
      <c r="AJ346" s="61"/>
      <c r="AK346" s="62"/>
      <c r="AL346" s="63"/>
      <c r="AM346" s="64"/>
      <c r="AN346" s="65" t="e">
        <v>#N/A</v>
      </c>
      <c r="AO346" s="61" t="e">
        <v>#N/A</v>
      </c>
      <c r="AP346" s="61" t="e">
        <v>#N/A</v>
      </c>
      <c r="AQ346" s="61" t="e">
        <v>#N/A</v>
      </c>
      <c r="AR346" s="61" t="e">
        <v>#N/A</v>
      </c>
      <c r="AS346" s="61" t="e">
        <v>#N/A</v>
      </c>
      <c r="AT346" s="61" t="e">
        <v>#N/A</v>
      </c>
      <c r="AU346" s="61" t="e">
        <v>#N/A</v>
      </c>
      <c r="AV346" s="61" t="e">
        <v>#N/A</v>
      </c>
      <c r="AW346" s="61" t="e">
        <v>#N/A</v>
      </c>
      <c r="AX346" s="65" t="e">
        <v>#N/A</v>
      </c>
      <c r="AY346" s="66">
        <v>0.80300000000000005</v>
      </c>
      <c r="AZ346" s="61">
        <v>5.6619999999999999</v>
      </c>
      <c r="BA346" s="61">
        <v>31.425000000000001</v>
      </c>
      <c r="BB346" s="61">
        <v>37.889000000000003</v>
      </c>
      <c r="BC346" s="61">
        <v>4.5999999999999999E-2</v>
      </c>
      <c r="BD346" s="61">
        <v>0.70199999999999996</v>
      </c>
      <c r="BE346" s="61">
        <v>6.9000000000000006E-2</v>
      </c>
      <c r="BF346" s="61" t="s">
        <v>122</v>
      </c>
      <c r="BG346" s="61">
        <v>5.673</v>
      </c>
      <c r="BH346" s="61">
        <v>2.2650000000000001</v>
      </c>
      <c r="BI346" s="61">
        <v>2.3E-2</v>
      </c>
      <c r="BJ346" s="61">
        <v>7.96</v>
      </c>
      <c r="BK346" s="66">
        <v>8.7769999999999992</v>
      </c>
      <c r="BL346" s="67">
        <v>9.65</v>
      </c>
      <c r="BM346" s="61">
        <v>0.09</v>
      </c>
      <c r="BN346" s="61" t="s">
        <v>121</v>
      </c>
      <c r="BO346" s="61" t="s">
        <v>121</v>
      </c>
      <c r="BP346" s="61">
        <v>9.7390000000000008</v>
      </c>
      <c r="BQ346" s="61">
        <v>192.12</v>
      </c>
      <c r="BR346" s="61">
        <v>12.061</v>
      </c>
      <c r="BS346" s="61">
        <v>0.88100000000000001</v>
      </c>
      <c r="BT346" s="61">
        <v>5.9640000000000004</v>
      </c>
      <c r="BU346" s="61">
        <v>11.432</v>
      </c>
      <c r="BV346" s="61">
        <v>18.850999999999999</v>
      </c>
      <c r="BW346" s="61">
        <v>30.283000000000001</v>
      </c>
      <c r="BX346" s="67">
        <v>241.31</v>
      </c>
      <c r="BY346" s="68">
        <v>113289</v>
      </c>
      <c r="BZ346" s="68">
        <v>118701</v>
      </c>
      <c r="CA346" s="69">
        <v>6565</v>
      </c>
      <c r="CB346" s="68">
        <v>122004</v>
      </c>
      <c r="CC346" s="68">
        <v>4325</v>
      </c>
      <c r="CD346" s="61"/>
      <c r="CE346" s="64"/>
      <c r="CF346" s="64"/>
      <c r="CG346" s="70">
        <f t="shared" si="27"/>
        <v>5124.1679999999997</v>
      </c>
      <c r="CH346" s="70">
        <f t="shared" si="28"/>
        <v>275.73</v>
      </c>
      <c r="CI346" s="70">
        <f t="shared" si="29"/>
        <v>181.65</v>
      </c>
      <c r="CJ346" s="70">
        <f t="shared" si="30"/>
        <v>4758.1379999999999</v>
      </c>
      <c r="CK346" s="70">
        <f t="shared" si="30"/>
        <v>4985.442</v>
      </c>
      <c r="CL346" s="70">
        <f t="shared" si="26"/>
        <v>0</v>
      </c>
      <c r="CM346" s="61"/>
      <c r="CN346" s="61"/>
      <c r="CO346" s="61"/>
      <c r="CP346" s="61"/>
      <c r="CQ346" s="61"/>
      <c r="CR346" s="61"/>
      <c r="CS346" s="61"/>
      <c r="CT346" s="61"/>
      <c r="CU346" s="61"/>
      <c r="CV346" s="61"/>
      <c r="CW346" s="61"/>
      <c r="CX346" s="61"/>
      <c r="CY346" s="61"/>
      <c r="CZ346" s="61"/>
      <c r="DA346" s="61"/>
      <c r="DB346" s="61"/>
      <c r="DC346" s="61"/>
      <c r="DD346" s="61"/>
      <c r="DE346" s="61"/>
      <c r="DF346" s="61"/>
      <c r="DG346" s="61"/>
      <c r="DH346" s="61"/>
      <c r="DI346" s="61"/>
      <c r="DJ346" s="61"/>
      <c r="DK346" s="61"/>
      <c r="DL346" s="61"/>
      <c r="DM346" s="61"/>
      <c r="DN346" s="61"/>
      <c r="DO346" s="61"/>
      <c r="DP346" s="61"/>
      <c r="DQ346" s="61"/>
      <c r="DR346" s="61"/>
      <c r="DS346" s="61"/>
      <c r="DT346" s="61"/>
      <c r="DU346" s="61"/>
      <c r="DV346" s="61"/>
      <c r="DW346" s="61"/>
      <c r="DX346" s="61"/>
      <c r="DY346" s="61"/>
      <c r="DZ346" s="61"/>
      <c r="EA346" s="61"/>
      <c r="EB346" s="61"/>
      <c r="EC346" s="61"/>
      <c r="ED346" s="61"/>
      <c r="EE346" s="61"/>
      <c r="EF346" s="61"/>
      <c r="EG346" s="61"/>
      <c r="EH346" s="61"/>
      <c r="EI346" s="61"/>
      <c r="EJ346" s="61"/>
      <c r="EK346" s="61"/>
      <c r="EL346" s="61"/>
      <c r="EM346" s="61"/>
      <c r="EN346" s="61"/>
      <c r="EO346" s="61"/>
      <c r="EP346" s="61"/>
      <c r="EQ346" s="61"/>
      <c r="ER346" s="61"/>
      <c r="ES346" s="61"/>
      <c r="ET346" s="61"/>
      <c r="EU346" s="61"/>
      <c r="EV346" s="61"/>
      <c r="EW346" s="61"/>
    </row>
    <row r="347" spans="1:153">
      <c r="A347" s="56">
        <v>37135</v>
      </c>
      <c r="B347" s="57">
        <v>2001</v>
      </c>
      <c r="C347" s="71">
        <v>9.0999999999999998E-2</v>
      </c>
      <c r="D347" s="61">
        <v>1E-3</v>
      </c>
      <c r="E347" s="61">
        <v>16.783999999999999</v>
      </c>
      <c r="F347" s="61">
        <v>0.70499999999999996</v>
      </c>
      <c r="G347" s="61">
        <v>0.09</v>
      </c>
      <c r="H347" s="61">
        <v>12.564</v>
      </c>
      <c r="I347" s="61">
        <v>5.1020000000000003</v>
      </c>
      <c r="J347" s="61">
        <v>7.4619999999999997</v>
      </c>
      <c r="K347" s="61"/>
      <c r="L347" s="61"/>
      <c r="M347" s="61">
        <v>24.245999999999999</v>
      </c>
      <c r="N347" s="61">
        <v>1.018</v>
      </c>
      <c r="O347" s="71">
        <v>0.13</v>
      </c>
      <c r="P347" s="60">
        <v>163.666</v>
      </c>
      <c r="Q347" s="61">
        <v>21.007999999999999</v>
      </c>
      <c r="R347" s="61">
        <v>214.22900000000001</v>
      </c>
      <c r="S347" s="61">
        <v>396.46199999999999</v>
      </c>
      <c r="T347" s="61">
        <v>157.64099999999999</v>
      </c>
      <c r="U347" s="61">
        <v>13.617000000000001</v>
      </c>
      <c r="V347" s="61">
        <v>5.91</v>
      </c>
      <c r="W347" s="61">
        <v>5.0659999999999998</v>
      </c>
      <c r="X347" s="61">
        <v>163.666</v>
      </c>
      <c r="Y347" s="61">
        <v>29.555</v>
      </c>
      <c r="Z347" s="61">
        <v>20.372</v>
      </c>
      <c r="AA347" s="61">
        <v>213.59299999999999</v>
      </c>
      <c r="AB347" s="60">
        <v>395.82600000000002</v>
      </c>
      <c r="AC347" s="62"/>
      <c r="AD347" s="61"/>
      <c r="AE347" s="61"/>
      <c r="AF347" s="61"/>
      <c r="AG347" s="61"/>
      <c r="AH347" s="61"/>
      <c r="AI347" s="61"/>
      <c r="AJ347" s="61"/>
      <c r="AK347" s="62"/>
      <c r="AL347" s="63"/>
      <c r="AM347" s="64"/>
      <c r="AN347" s="65" t="e">
        <v>#N/A</v>
      </c>
      <c r="AO347" s="61" t="e">
        <v>#N/A</v>
      </c>
      <c r="AP347" s="61" t="e">
        <v>#N/A</v>
      </c>
      <c r="AQ347" s="61" t="e">
        <v>#N/A</v>
      </c>
      <c r="AR347" s="61" t="e">
        <v>#N/A</v>
      </c>
      <c r="AS347" s="61" t="e">
        <v>#N/A</v>
      </c>
      <c r="AT347" s="61" t="e">
        <v>#N/A</v>
      </c>
      <c r="AU347" s="61" t="e">
        <v>#N/A</v>
      </c>
      <c r="AV347" s="61" t="e">
        <v>#N/A</v>
      </c>
      <c r="AW347" s="61" t="e">
        <v>#N/A</v>
      </c>
      <c r="AX347" s="65" t="e">
        <v>#N/A</v>
      </c>
      <c r="AY347" s="66">
        <v>0.77700000000000002</v>
      </c>
      <c r="AZ347" s="61">
        <v>5.1639999999999997</v>
      </c>
      <c r="BA347" s="61">
        <v>30.411000000000001</v>
      </c>
      <c r="BB347" s="61">
        <v>36.351999999999997</v>
      </c>
      <c r="BC347" s="61">
        <v>3.9E-2</v>
      </c>
      <c r="BD347" s="61">
        <v>0.68</v>
      </c>
      <c r="BE347" s="61">
        <v>6.3E-2</v>
      </c>
      <c r="BF347" s="61" t="s">
        <v>122</v>
      </c>
      <c r="BG347" s="61">
        <v>5.4859999999999998</v>
      </c>
      <c r="BH347" s="61">
        <v>2.0960000000000001</v>
      </c>
      <c r="BI347" s="61">
        <v>2.5999999999999999E-2</v>
      </c>
      <c r="BJ347" s="61">
        <v>7.6079999999999997</v>
      </c>
      <c r="BK347" s="66">
        <v>8.3889999999999993</v>
      </c>
      <c r="BL347" s="67">
        <v>11.128</v>
      </c>
      <c r="BM347" s="61">
        <v>0.13</v>
      </c>
      <c r="BN347" s="61" t="s">
        <v>121</v>
      </c>
      <c r="BO347" s="61" t="s">
        <v>121</v>
      </c>
      <c r="BP347" s="61">
        <v>11.257999999999999</v>
      </c>
      <c r="BQ347" s="61">
        <v>155.09200000000001</v>
      </c>
      <c r="BR347" s="61">
        <v>11.769</v>
      </c>
      <c r="BS347" s="61">
        <v>0.67</v>
      </c>
      <c r="BT347" s="61">
        <v>5.0659999999999998</v>
      </c>
      <c r="BU347" s="61">
        <v>10.316000000000001</v>
      </c>
      <c r="BV347" s="61">
        <v>17.445</v>
      </c>
      <c r="BW347" s="61">
        <v>27.760999999999999</v>
      </c>
      <c r="BX347" s="67">
        <v>200.357</v>
      </c>
      <c r="BY347" s="68">
        <v>108743</v>
      </c>
      <c r="BZ347" s="68">
        <v>108720</v>
      </c>
      <c r="CA347" s="69">
        <v>9511</v>
      </c>
      <c r="CB347" s="68">
        <v>126991</v>
      </c>
      <c r="CC347" s="68">
        <v>4547</v>
      </c>
      <c r="CD347" s="61"/>
      <c r="CE347" s="64"/>
      <c r="CF347" s="64"/>
      <c r="CG347" s="70">
        <f t="shared" si="27"/>
        <v>5333.6220000000003</v>
      </c>
      <c r="CH347" s="70">
        <f t="shared" si="28"/>
        <v>399.46199999999999</v>
      </c>
      <c r="CI347" s="70">
        <f t="shared" si="29"/>
        <v>190.97399999999999</v>
      </c>
      <c r="CJ347" s="70">
        <f t="shared" si="30"/>
        <v>4567.2060000000001</v>
      </c>
      <c r="CK347" s="70">
        <f t="shared" si="30"/>
        <v>4566.24</v>
      </c>
      <c r="CL347" s="70">
        <f t="shared" si="26"/>
        <v>0</v>
      </c>
      <c r="CM347" s="61"/>
      <c r="CN347" s="61"/>
      <c r="CO347" s="61"/>
      <c r="CP347" s="61"/>
      <c r="CQ347" s="61"/>
      <c r="CR347" s="61"/>
      <c r="CS347" s="61"/>
      <c r="CT347" s="61"/>
      <c r="CU347" s="61"/>
      <c r="CV347" s="61"/>
      <c r="CW347" s="61"/>
      <c r="CX347" s="61"/>
      <c r="CY347" s="61"/>
      <c r="CZ347" s="61"/>
      <c r="DA347" s="61"/>
      <c r="DB347" s="61"/>
      <c r="DC347" s="61"/>
      <c r="DD347" s="61"/>
      <c r="DE347" s="61"/>
      <c r="DF347" s="61"/>
      <c r="DG347" s="61"/>
      <c r="DH347" s="61"/>
      <c r="DI347" s="61"/>
      <c r="DJ347" s="61"/>
      <c r="DK347" s="61"/>
      <c r="DL347" s="61"/>
      <c r="DM347" s="61"/>
      <c r="DN347" s="61"/>
      <c r="DO347" s="61"/>
      <c r="DP347" s="61"/>
      <c r="DQ347" s="61"/>
      <c r="DR347" s="61"/>
      <c r="DS347" s="61"/>
      <c r="DT347" s="61"/>
      <c r="DU347" s="61"/>
      <c r="DV347" s="61"/>
      <c r="DW347" s="61"/>
      <c r="DX347" s="61"/>
      <c r="DY347" s="61"/>
      <c r="DZ347" s="61"/>
      <c r="EA347" s="61"/>
      <c r="EB347" s="61"/>
      <c r="EC347" s="61"/>
      <c r="ED347" s="61"/>
      <c r="EE347" s="61"/>
      <c r="EF347" s="61"/>
      <c r="EG347" s="61"/>
      <c r="EH347" s="61"/>
      <c r="EI347" s="61"/>
      <c r="EJ347" s="61"/>
      <c r="EK347" s="61"/>
      <c r="EL347" s="61"/>
      <c r="EM347" s="61"/>
      <c r="EN347" s="61"/>
      <c r="EO347" s="61"/>
      <c r="EP347" s="61"/>
      <c r="EQ347" s="61"/>
      <c r="ER347" s="61"/>
      <c r="ES347" s="61"/>
      <c r="ET347" s="61"/>
      <c r="EU347" s="61"/>
      <c r="EV347" s="61"/>
      <c r="EW347" s="61"/>
    </row>
    <row r="348" spans="1:153">
      <c r="A348" s="56">
        <v>37165</v>
      </c>
      <c r="B348" s="57">
        <v>2001</v>
      </c>
      <c r="C348" s="71">
        <v>9.4E-2</v>
      </c>
      <c r="D348" s="61">
        <v>1E-3</v>
      </c>
      <c r="E348" s="61">
        <v>17.343</v>
      </c>
      <c r="F348" s="61">
        <v>0.72799999999999998</v>
      </c>
      <c r="G348" s="61">
        <v>9.2999999999999999E-2</v>
      </c>
      <c r="H348" s="61">
        <v>13.315</v>
      </c>
      <c r="I348" s="61">
        <v>3.2829999999999999</v>
      </c>
      <c r="J348" s="61">
        <v>10.031000000000001</v>
      </c>
      <c r="K348" s="61"/>
      <c r="L348" s="61"/>
      <c r="M348" s="61">
        <v>27.375</v>
      </c>
      <c r="N348" s="61">
        <v>1.1499999999999999</v>
      </c>
      <c r="O348" s="71">
        <v>0.14699999999999999</v>
      </c>
      <c r="P348" s="60">
        <v>174.18100000000001</v>
      </c>
      <c r="Q348" s="61">
        <v>22.657</v>
      </c>
      <c r="R348" s="61">
        <v>227.31899999999999</v>
      </c>
      <c r="S348" s="61">
        <v>409.91199999999998</v>
      </c>
      <c r="T348" s="61">
        <v>157.41800000000001</v>
      </c>
      <c r="U348" s="61">
        <v>13.913</v>
      </c>
      <c r="V348" s="61">
        <v>4.9909999999999997</v>
      </c>
      <c r="W348" s="61">
        <v>6.27</v>
      </c>
      <c r="X348" s="61">
        <v>174.18100000000001</v>
      </c>
      <c r="Y348" s="61">
        <v>30.481000000000002</v>
      </c>
      <c r="Z348" s="61">
        <v>25.013999999999999</v>
      </c>
      <c r="AA348" s="61">
        <v>229.67500000000001</v>
      </c>
      <c r="AB348" s="60">
        <v>412.26799999999997</v>
      </c>
      <c r="AC348" s="62"/>
      <c r="AD348" s="61"/>
      <c r="AE348" s="61"/>
      <c r="AF348" s="61"/>
      <c r="AG348" s="61"/>
      <c r="AH348" s="61"/>
      <c r="AI348" s="61"/>
      <c r="AJ348" s="61"/>
      <c r="AK348" s="62"/>
      <c r="AL348" s="63"/>
      <c r="AM348" s="64"/>
      <c r="AN348" s="65" t="e">
        <v>#N/A</v>
      </c>
      <c r="AO348" s="61" t="e">
        <v>#N/A</v>
      </c>
      <c r="AP348" s="61" t="e">
        <v>#N/A</v>
      </c>
      <c r="AQ348" s="61" t="e">
        <v>#N/A</v>
      </c>
      <c r="AR348" s="61" t="e">
        <v>#N/A</v>
      </c>
      <c r="AS348" s="61" t="e">
        <v>#N/A</v>
      </c>
      <c r="AT348" s="61" t="e">
        <v>#N/A</v>
      </c>
      <c r="AU348" s="61" t="e">
        <v>#N/A</v>
      </c>
      <c r="AV348" s="61" t="e">
        <v>#N/A</v>
      </c>
      <c r="AW348" s="61" t="e">
        <v>#N/A</v>
      </c>
      <c r="AX348" s="65" t="e">
        <v>#N/A</v>
      </c>
      <c r="AY348" s="66">
        <v>0.80300000000000005</v>
      </c>
      <c r="AZ348" s="61">
        <v>4.7060000000000004</v>
      </c>
      <c r="BA348" s="61">
        <v>31.425000000000001</v>
      </c>
      <c r="BB348" s="61">
        <v>36.933999999999997</v>
      </c>
      <c r="BC348" s="61">
        <v>3.9E-2</v>
      </c>
      <c r="BD348" s="61">
        <v>0.70199999999999996</v>
      </c>
      <c r="BE348" s="61">
        <v>5.7000000000000002E-2</v>
      </c>
      <c r="BF348" s="61" t="s">
        <v>122</v>
      </c>
      <c r="BG348" s="61">
        <v>5.6630000000000003</v>
      </c>
      <c r="BH348" s="61">
        <v>1.97</v>
      </c>
      <c r="BI348" s="61">
        <v>3.5000000000000003E-2</v>
      </c>
      <c r="BJ348" s="61">
        <v>7.6680000000000001</v>
      </c>
      <c r="BK348" s="66">
        <v>8.4659999999999993</v>
      </c>
      <c r="BL348" s="67">
        <v>14.974</v>
      </c>
      <c r="BM348" s="61">
        <v>0.14699999999999999</v>
      </c>
      <c r="BN348" s="61" t="s">
        <v>121</v>
      </c>
      <c r="BO348" s="61" t="s">
        <v>121</v>
      </c>
      <c r="BP348" s="61">
        <v>15.121</v>
      </c>
      <c r="BQ348" s="61">
        <v>155.24799999999999</v>
      </c>
      <c r="BR348" s="61">
        <v>12.004</v>
      </c>
      <c r="BS348" s="61">
        <v>0.215</v>
      </c>
      <c r="BT348" s="61">
        <v>6.27</v>
      </c>
      <c r="BU348" s="61">
        <v>9.952</v>
      </c>
      <c r="BV348" s="61">
        <v>17.501000000000001</v>
      </c>
      <c r="BW348" s="61">
        <v>27.452999999999999</v>
      </c>
      <c r="BX348" s="67">
        <v>201.19</v>
      </c>
      <c r="BY348" s="68">
        <v>117685</v>
      </c>
      <c r="BZ348" s="68">
        <v>120533</v>
      </c>
      <c r="CA348" s="69">
        <v>7856</v>
      </c>
      <c r="CB348" s="68">
        <v>128919</v>
      </c>
      <c r="CC348" s="68">
        <v>3080</v>
      </c>
      <c r="CD348" s="61"/>
      <c r="CE348" s="64"/>
      <c r="CF348" s="64"/>
      <c r="CG348" s="70">
        <f t="shared" si="27"/>
        <v>5414.598</v>
      </c>
      <c r="CH348" s="70">
        <f t="shared" si="28"/>
        <v>329.952</v>
      </c>
      <c r="CI348" s="70">
        <f t="shared" si="29"/>
        <v>129.36000000000001</v>
      </c>
      <c r="CJ348" s="70">
        <f t="shared" si="30"/>
        <v>4942.7700000000004</v>
      </c>
      <c r="CK348" s="70">
        <f t="shared" si="30"/>
        <v>5062.3860000000004</v>
      </c>
      <c r="CL348" s="70">
        <f t="shared" si="26"/>
        <v>0</v>
      </c>
      <c r="CM348" s="61"/>
      <c r="CN348" s="61"/>
      <c r="CO348" s="61"/>
      <c r="CP348" s="61"/>
      <c r="CQ348" s="61"/>
      <c r="CR348" s="61"/>
      <c r="CS348" s="61"/>
      <c r="CT348" s="61"/>
      <c r="CU348" s="61"/>
      <c r="CV348" s="61"/>
      <c r="CW348" s="61"/>
      <c r="CX348" s="61"/>
      <c r="CY348" s="61"/>
      <c r="CZ348" s="61"/>
      <c r="DA348" s="61"/>
      <c r="DB348" s="61"/>
      <c r="DC348" s="61"/>
      <c r="DD348" s="61"/>
      <c r="DE348" s="61"/>
      <c r="DF348" s="61"/>
      <c r="DG348" s="61"/>
      <c r="DH348" s="61"/>
      <c r="DI348" s="61"/>
      <c r="DJ348" s="61"/>
      <c r="DK348" s="61"/>
      <c r="DL348" s="61"/>
      <c r="DM348" s="61"/>
      <c r="DN348" s="61"/>
      <c r="DO348" s="61"/>
      <c r="DP348" s="61"/>
      <c r="DQ348" s="61"/>
      <c r="DR348" s="61"/>
      <c r="DS348" s="61"/>
      <c r="DT348" s="61"/>
      <c r="DU348" s="61"/>
      <c r="DV348" s="61"/>
      <c r="DW348" s="61"/>
      <c r="DX348" s="61"/>
      <c r="DY348" s="61"/>
      <c r="DZ348" s="61"/>
      <c r="EA348" s="61"/>
      <c r="EB348" s="61"/>
      <c r="EC348" s="61"/>
      <c r="ED348" s="61"/>
      <c r="EE348" s="61"/>
      <c r="EF348" s="61"/>
      <c r="EG348" s="61"/>
      <c r="EH348" s="61"/>
      <c r="EI348" s="61"/>
      <c r="EJ348" s="61"/>
      <c r="EK348" s="61"/>
      <c r="EL348" s="61"/>
      <c r="EM348" s="61"/>
      <c r="EN348" s="61"/>
      <c r="EO348" s="61"/>
      <c r="EP348" s="61"/>
      <c r="EQ348" s="61"/>
      <c r="ER348" s="61"/>
      <c r="ES348" s="61"/>
      <c r="ET348" s="61"/>
      <c r="EU348" s="61"/>
      <c r="EV348" s="61"/>
      <c r="EW348" s="61"/>
    </row>
    <row r="349" spans="1:153">
      <c r="A349" s="56">
        <v>37196</v>
      </c>
      <c r="B349" s="57">
        <v>2001</v>
      </c>
      <c r="C349" s="71">
        <v>9.0999999999999998E-2</v>
      </c>
      <c r="D349" s="61">
        <v>1E-3</v>
      </c>
      <c r="E349" s="61">
        <v>16.783999999999999</v>
      </c>
      <c r="F349" s="61">
        <v>0.70499999999999996</v>
      </c>
      <c r="G349" s="61">
        <v>0.09</v>
      </c>
      <c r="H349" s="61">
        <v>19.273</v>
      </c>
      <c r="I349" s="61">
        <v>3.5129999999999999</v>
      </c>
      <c r="J349" s="61">
        <v>15.759</v>
      </c>
      <c r="K349" s="61"/>
      <c r="L349" s="61"/>
      <c r="M349" s="61">
        <v>32.542999999999999</v>
      </c>
      <c r="N349" s="61">
        <v>1.367</v>
      </c>
      <c r="O349" s="71">
        <v>0.17399999999999999</v>
      </c>
      <c r="P349" s="60">
        <v>166.005</v>
      </c>
      <c r="Q349" s="61">
        <v>22.960999999999999</v>
      </c>
      <c r="R349" s="61">
        <v>219.773</v>
      </c>
      <c r="S349" s="61">
        <v>401.76600000000002</v>
      </c>
      <c r="T349" s="61">
        <v>159.262</v>
      </c>
      <c r="U349" s="61">
        <v>13.805</v>
      </c>
      <c r="V349" s="61">
        <v>4.0650000000000004</v>
      </c>
      <c r="W349" s="61">
        <v>4.8609999999999998</v>
      </c>
      <c r="X349" s="61">
        <v>166.005</v>
      </c>
      <c r="Y349" s="61">
        <v>30.806999999999999</v>
      </c>
      <c r="Z349" s="61">
        <v>22.206</v>
      </c>
      <c r="AA349" s="61">
        <v>219.018</v>
      </c>
      <c r="AB349" s="60">
        <v>401.01100000000002</v>
      </c>
      <c r="AC349" s="62"/>
      <c r="AD349" s="61"/>
      <c r="AE349" s="61"/>
      <c r="AF349" s="61"/>
      <c r="AG349" s="61"/>
      <c r="AH349" s="61"/>
      <c r="AI349" s="61"/>
      <c r="AJ349" s="61"/>
      <c r="AK349" s="62"/>
      <c r="AL349" s="63"/>
      <c r="AM349" s="64"/>
      <c r="AN349" s="65" t="e">
        <v>#N/A</v>
      </c>
      <c r="AO349" s="61" t="e">
        <v>#N/A</v>
      </c>
      <c r="AP349" s="61" t="e">
        <v>#N/A</v>
      </c>
      <c r="AQ349" s="61" t="e">
        <v>#N/A</v>
      </c>
      <c r="AR349" s="61" t="e">
        <v>#N/A</v>
      </c>
      <c r="AS349" s="61" t="e">
        <v>#N/A</v>
      </c>
      <c r="AT349" s="61" t="e">
        <v>#N/A</v>
      </c>
      <c r="AU349" s="61" t="e">
        <v>#N/A</v>
      </c>
      <c r="AV349" s="61" t="e">
        <v>#N/A</v>
      </c>
      <c r="AW349" s="61" t="e">
        <v>#N/A</v>
      </c>
      <c r="AX349" s="65" t="e">
        <v>#N/A</v>
      </c>
      <c r="AY349" s="66">
        <v>0.77700000000000002</v>
      </c>
      <c r="AZ349" s="61">
        <v>3.8610000000000002</v>
      </c>
      <c r="BA349" s="61">
        <v>30.411000000000001</v>
      </c>
      <c r="BB349" s="61">
        <v>35.048000000000002</v>
      </c>
      <c r="BC349" s="61">
        <v>4.1000000000000002E-2</v>
      </c>
      <c r="BD349" s="61">
        <v>0.68</v>
      </c>
      <c r="BE349" s="61">
        <v>4.7E-2</v>
      </c>
      <c r="BF349" s="61" t="s">
        <v>122</v>
      </c>
      <c r="BG349" s="61">
        <v>5.4829999999999997</v>
      </c>
      <c r="BH349" s="61">
        <v>1.839</v>
      </c>
      <c r="BI349" s="61">
        <v>2.8000000000000001E-2</v>
      </c>
      <c r="BJ349" s="61">
        <v>7.351</v>
      </c>
      <c r="BK349" s="66">
        <v>8.1180000000000003</v>
      </c>
      <c r="BL349" s="67">
        <v>12.069000000000001</v>
      </c>
      <c r="BM349" s="61">
        <v>0.17399999999999999</v>
      </c>
      <c r="BN349" s="61" t="s">
        <v>121</v>
      </c>
      <c r="BO349" s="61" t="s">
        <v>121</v>
      </c>
      <c r="BP349" s="61">
        <v>12.243</v>
      </c>
      <c r="BQ349" s="61">
        <v>157.179</v>
      </c>
      <c r="BR349" s="61">
        <v>11.957000000000001</v>
      </c>
      <c r="BS349" s="61">
        <v>0.14799999999999999</v>
      </c>
      <c r="BT349" s="61">
        <v>4.8609999999999998</v>
      </c>
      <c r="BU349" s="61">
        <v>9.9009999999999998</v>
      </c>
      <c r="BV349" s="61">
        <v>16.923999999999999</v>
      </c>
      <c r="BW349" s="61">
        <v>26.824999999999999</v>
      </c>
      <c r="BX349" s="67">
        <v>200.97</v>
      </c>
      <c r="BY349" s="68">
        <v>119039</v>
      </c>
      <c r="BZ349" s="68">
        <v>112376</v>
      </c>
      <c r="CA349" s="69">
        <v>7318</v>
      </c>
      <c r="CB349" s="68">
        <v>138943</v>
      </c>
      <c r="CC349" s="68">
        <v>3957</v>
      </c>
      <c r="CD349" s="61"/>
      <c r="CE349" s="64"/>
      <c r="CF349" s="64"/>
      <c r="CG349" s="70">
        <f t="shared" si="27"/>
        <v>5835.6059999999998</v>
      </c>
      <c r="CH349" s="70">
        <f t="shared" si="28"/>
        <v>307.35599999999999</v>
      </c>
      <c r="CI349" s="70">
        <f t="shared" si="29"/>
        <v>166.19399999999999</v>
      </c>
      <c r="CJ349" s="70">
        <f t="shared" si="30"/>
        <v>4999.6379999999999</v>
      </c>
      <c r="CK349" s="70">
        <f t="shared" si="30"/>
        <v>4719.7920000000004</v>
      </c>
      <c r="CL349" s="70">
        <f t="shared" si="26"/>
        <v>0</v>
      </c>
      <c r="CM349" s="61"/>
      <c r="CN349" s="61"/>
      <c r="CO349" s="61"/>
      <c r="CP349" s="61"/>
      <c r="CQ349" s="61"/>
      <c r="CR349" s="61"/>
      <c r="CS349" s="61"/>
      <c r="CT349" s="61"/>
      <c r="CU349" s="61"/>
      <c r="CV349" s="61"/>
      <c r="CW349" s="61"/>
      <c r="CX349" s="61"/>
      <c r="CY349" s="61"/>
      <c r="CZ349" s="61"/>
      <c r="DA349" s="61"/>
      <c r="DB349" s="61"/>
      <c r="DC349" s="61"/>
      <c r="DD349" s="61"/>
      <c r="DE349" s="61"/>
      <c r="DF349" s="61"/>
      <c r="DG349" s="61"/>
      <c r="DH349" s="61"/>
      <c r="DI349" s="61"/>
      <c r="DJ349" s="61"/>
      <c r="DK349" s="61"/>
      <c r="DL349" s="61"/>
      <c r="DM349" s="61"/>
      <c r="DN349" s="61"/>
      <c r="DO349" s="61"/>
      <c r="DP349" s="61"/>
      <c r="DQ349" s="61"/>
      <c r="DR349" s="61"/>
      <c r="DS349" s="61"/>
      <c r="DT349" s="61"/>
      <c r="DU349" s="61"/>
      <c r="DV349" s="61"/>
      <c r="DW349" s="61"/>
      <c r="DX349" s="61"/>
      <c r="DY349" s="61"/>
      <c r="DZ349" s="61"/>
      <c r="EA349" s="61"/>
      <c r="EB349" s="61"/>
      <c r="EC349" s="61"/>
      <c r="ED349" s="61"/>
      <c r="EE349" s="61"/>
      <c r="EF349" s="61"/>
      <c r="EG349" s="61"/>
      <c r="EH349" s="61"/>
      <c r="EI349" s="61"/>
      <c r="EJ349" s="61"/>
      <c r="EK349" s="61"/>
      <c r="EL349" s="61"/>
      <c r="EM349" s="61"/>
      <c r="EN349" s="61"/>
      <c r="EO349" s="61"/>
      <c r="EP349" s="61"/>
      <c r="EQ349" s="61"/>
      <c r="ER349" s="61"/>
      <c r="ES349" s="61"/>
      <c r="ET349" s="61"/>
      <c r="EU349" s="61"/>
      <c r="EV349" s="61"/>
      <c r="EW349" s="61"/>
    </row>
    <row r="350" spans="1:153">
      <c r="A350" s="56">
        <v>37226</v>
      </c>
      <c r="B350" s="57">
        <v>2001</v>
      </c>
      <c r="C350" s="71">
        <v>9.4E-2</v>
      </c>
      <c r="D350" s="61">
        <v>1E-3</v>
      </c>
      <c r="E350" s="61">
        <v>17.343</v>
      </c>
      <c r="F350" s="61">
        <v>0.72799999999999998</v>
      </c>
      <c r="G350" s="61">
        <v>9.2999999999999999E-2</v>
      </c>
      <c r="H350" s="61">
        <v>1.998</v>
      </c>
      <c r="I350" s="61">
        <v>2.3879999999999999</v>
      </c>
      <c r="J350" s="61">
        <v>-0.38900000000000001</v>
      </c>
      <c r="K350" s="61"/>
      <c r="L350" s="61"/>
      <c r="M350" s="61">
        <v>16.954000000000001</v>
      </c>
      <c r="N350" s="61">
        <v>0.71199999999999997</v>
      </c>
      <c r="O350" s="71">
        <v>9.0999999999999998E-2</v>
      </c>
      <c r="P350" s="60">
        <v>169.916</v>
      </c>
      <c r="Q350" s="61">
        <v>23.218</v>
      </c>
      <c r="R350" s="61">
        <v>225.08799999999999</v>
      </c>
      <c r="S350" s="61">
        <v>449.32299999999998</v>
      </c>
      <c r="T350" s="61">
        <v>199.905</v>
      </c>
      <c r="U350" s="61">
        <v>14.208</v>
      </c>
      <c r="V350" s="61">
        <v>3.76</v>
      </c>
      <c r="W350" s="61">
        <v>6.3620000000000001</v>
      </c>
      <c r="X350" s="61">
        <v>169.916</v>
      </c>
      <c r="Y350" s="61">
        <v>31.954000000000001</v>
      </c>
      <c r="Z350" s="61">
        <v>22.369</v>
      </c>
      <c r="AA350" s="61">
        <v>224.239</v>
      </c>
      <c r="AB350" s="60">
        <v>448.47500000000002</v>
      </c>
      <c r="AC350" s="62"/>
      <c r="AD350" s="61"/>
      <c r="AE350" s="61"/>
      <c r="AF350" s="61"/>
      <c r="AG350" s="61"/>
      <c r="AH350" s="61"/>
      <c r="AI350" s="61"/>
      <c r="AJ350" s="61"/>
      <c r="AK350" s="62"/>
      <c r="AL350" s="63"/>
      <c r="AM350" s="64"/>
      <c r="AN350" s="65" t="e">
        <v>#N/A</v>
      </c>
      <c r="AO350" s="61" t="e">
        <v>#N/A</v>
      </c>
      <c r="AP350" s="61" t="e">
        <v>#N/A</v>
      </c>
      <c r="AQ350" s="61" t="e">
        <v>#N/A</v>
      </c>
      <c r="AR350" s="61" t="e">
        <v>#N/A</v>
      </c>
      <c r="AS350" s="61" t="e">
        <v>#N/A</v>
      </c>
      <c r="AT350" s="61" t="e">
        <v>#N/A</v>
      </c>
      <c r="AU350" s="61" t="e">
        <v>#N/A</v>
      </c>
      <c r="AV350" s="61" t="e">
        <v>#N/A</v>
      </c>
      <c r="AW350" s="61" t="e">
        <v>#N/A</v>
      </c>
      <c r="AX350" s="65" t="e">
        <v>#N/A</v>
      </c>
      <c r="AY350" s="66">
        <v>0.80300000000000005</v>
      </c>
      <c r="AZ350" s="61">
        <v>3.665</v>
      </c>
      <c r="BA350" s="61">
        <v>31.425000000000001</v>
      </c>
      <c r="BB350" s="61">
        <v>35.892000000000003</v>
      </c>
      <c r="BC350" s="61">
        <v>5.5E-2</v>
      </c>
      <c r="BD350" s="61">
        <v>0.70199999999999996</v>
      </c>
      <c r="BE350" s="61">
        <v>4.3999999999999997E-2</v>
      </c>
      <c r="BF350" s="61" t="s">
        <v>122</v>
      </c>
      <c r="BG350" s="61">
        <v>5.6859999999999999</v>
      </c>
      <c r="BH350" s="61">
        <v>2.1720000000000002</v>
      </c>
      <c r="BI350" s="61">
        <v>2.8000000000000001E-2</v>
      </c>
      <c r="BJ350" s="61">
        <v>7.8860000000000001</v>
      </c>
      <c r="BK350" s="66">
        <v>8.6880000000000006</v>
      </c>
      <c r="BL350" s="67">
        <v>12.205</v>
      </c>
      <c r="BM350" s="61">
        <v>9.0999999999999998E-2</v>
      </c>
      <c r="BN350" s="61" t="s">
        <v>121</v>
      </c>
      <c r="BO350" s="61" t="s">
        <v>121</v>
      </c>
      <c r="BP350" s="61">
        <v>12.295999999999999</v>
      </c>
      <c r="BQ350" s="61">
        <v>197.11199999999999</v>
      </c>
      <c r="BR350" s="61">
        <v>12.298999999999999</v>
      </c>
      <c r="BS350" s="61">
        <v>4.2000000000000003E-2</v>
      </c>
      <c r="BT350" s="61">
        <v>6.3620000000000001</v>
      </c>
      <c r="BU350" s="61">
        <v>10.801</v>
      </c>
      <c r="BV350" s="61">
        <v>17.763999999999999</v>
      </c>
      <c r="BW350" s="61">
        <v>28.565000000000001</v>
      </c>
      <c r="BX350" s="67">
        <v>244.37899999999999</v>
      </c>
      <c r="BY350" s="68">
        <v>116061</v>
      </c>
      <c r="BZ350" s="68">
        <v>111724</v>
      </c>
      <c r="CA350" s="69">
        <v>7484</v>
      </c>
      <c r="CB350" s="68">
        <v>144513</v>
      </c>
      <c r="CC350" s="68">
        <v>6251</v>
      </c>
      <c r="CD350" s="61"/>
      <c r="CE350" s="64"/>
      <c r="CF350" s="64"/>
      <c r="CG350" s="70">
        <f t="shared" si="27"/>
        <v>6069.5460000000003</v>
      </c>
      <c r="CH350" s="70">
        <f t="shared" si="28"/>
        <v>314.32799999999997</v>
      </c>
      <c r="CI350" s="70">
        <f t="shared" si="29"/>
        <v>262.54199999999997</v>
      </c>
      <c r="CJ350" s="70">
        <f t="shared" si="30"/>
        <v>4874.5619999999999</v>
      </c>
      <c r="CK350" s="70">
        <f t="shared" si="30"/>
        <v>4692.4080000000004</v>
      </c>
      <c r="CL350" s="70">
        <f t="shared" si="26"/>
        <v>0</v>
      </c>
      <c r="CM350" s="61"/>
      <c r="CN350" s="61"/>
      <c r="CO350" s="61"/>
      <c r="CP350" s="61"/>
      <c r="CQ350" s="61"/>
      <c r="CR350" s="61"/>
      <c r="CS350" s="61"/>
      <c r="CT350" s="61"/>
      <c r="CU350" s="61"/>
      <c r="CV350" s="61"/>
      <c r="CW350" s="61"/>
      <c r="CX350" s="61"/>
      <c r="CY350" s="61"/>
      <c r="CZ350" s="61"/>
      <c r="DA350" s="61"/>
      <c r="DB350" s="61"/>
      <c r="DC350" s="61"/>
      <c r="DD350" s="61"/>
      <c r="DE350" s="61"/>
      <c r="DF350" s="61"/>
      <c r="DG350" s="61"/>
      <c r="DH350" s="61"/>
      <c r="DI350" s="61"/>
      <c r="DJ350" s="61"/>
      <c r="DK350" s="61"/>
      <c r="DL350" s="61"/>
      <c r="DM350" s="61"/>
      <c r="DN350" s="61"/>
      <c r="DO350" s="61"/>
      <c r="DP350" s="61"/>
      <c r="DQ350" s="61"/>
      <c r="DR350" s="61"/>
      <c r="DS350" s="61"/>
      <c r="DT350" s="61"/>
      <c r="DU350" s="61"/>
      <c r="DV350" s="61"/>
      <c r="DW350" s="61"/>
      <c r="DX350" s="61"/>
      <c r="DY350" s="61"/>
      <c r="DZ350" s="61"/>
      <c r="EA350" s="61"/>
      <c r="EB350" s="61"/>
      <c r="EC350" s="61"/>
      <c r="ED350" s="61"/>
      <c r="EE350" s="61"/>
      <c r="EF350" s="61"/>
      <c r="EG350" s="61"/>
      <c r="EH350" s="61"/>
      <c r="EI350" s="61"/>
      <c r="EJ350" s="61"/>
      <c r="EK350" s="61"/>
      <c r="EL350" s="61"/>
      <c r="EM350" s="61"/>
      <c r="EN350" s="61"/>
      <c r="EO350" s="61"/>
      <c r="EP350" s="61"/>
      <c r="EQ350" s="61"/>
      <c r="ER350" s="61"/>
      <c r="ES350" s="61"/>
      <c r="ET350" s="61"/>
      <c r="EU350" s="61"/>
      <c r="EV350" s="61"/>
      <c r="EW350" s="61"/>
    </row>
    <row r="351" spans="1:153">
      <c r="A351" s="56">
        <v>37257</v>
      </c>
      <c r="B351" s="57">
        <v>2002</v>
      </c>
      <c r="C351" s="71">
        <v>0.115</v>
      </c>
      <c r="D351" s="61">
        <v>2E-3</v>
      </c>
      <c r="E351" s="61">
        <v>21.201000000000001</v>
      </c>
      <c r="F351" s="61">
        <v>0.89</v>
      </c>
      <c r="G351" s="61">
        <v>0.114</v>
      </c>
      <c r="H351" s="61">
        <v>13.843999999999999</v>
      </c>
      <c r="I351" s="61">
        <v>3.6880000000000002</v>
      </c>
      <c r="J351" s="61">
        <v>10.156000000000001</v>
      </c>
      <c r="K351" s="61"/>
      <c r="L351" s="61"/>
      <c r="M351" s="61">
        <v>31.356999999999999</v>
      </c>
      <c r="N351" s="61">
        <v>1.3169999999999999</v>
      </c>
      <c r="O351" s="71">
        <v>0.16800000000000001</v>
      </c>
      <c r="P351" s="60">
        <v>169.36699999999999</v>
      </c>
      <c r="Q351" s="61">
        <v>25.334</v>
      </c>
      <c r="R351" s="61">
        <v>228.39599999999999</v>
      </c>
      <c r="S351" s="61">
        <v>476.53800000000001</v>
      </c>
      <c r="T351" s="61">
        <v>221.72</v>
      </c>
      <c r="U351" s="61">
        <v>15.114000000000001</v>
      </c>
      <c r="V351" s="61">
        <v>3.0539999999999998</v>
      </c>
      <c r="W351" s="61">
        <v>8.2539999999999996</v>
      </c>
      <c r="X351" s="61">
        <v>169.36699999999999</v>
      </c>
      <c r="Y351" s="61">
        <v>33.695</v>
      </c>
      <c r="Z351" s="61">
        <v>23.789000000000001</v>
      </c>
      <c r="AA351" s="61">
        <v>226.851</v>
      </c>
      <c r="AB351" s="60">
        <v>474.99400000000003</v>
      </c>
      <c r="AC351" s="62"/>
      <c r="AD351" s="61"/>
      <c r="AE351" s="61"/>
      <c r="AF351" s="61"/>
      <c r="AG351" s="61"/>
      <c r="AH351" s="61"/>
      <c r="AI351" s="61"/>
      <c r="AJ351" s="61"/>
      <c r="AK351" s="62"/>
      <c r="AL351" s="63"/>
      <c r="AM351" s="64"/>
      <c r="AN351" s="65" t="e">
        <v>#N/A</v>
      </c>
      <c r="AO351" s="61" t="e">
        <v>#N/A</v>
      </c>
      <c r="AP351" s="61" t="e">
        <v>#N/A</v>
      </c>
      <c r="AQ351" s="61" t="e">
        <v>#N/A</v>
      </c>
      <c r="AR351" s="61" t="e">
        <v>#N/A</v>
      </c>
      <c r="AS351" s="61" t="e">
        <v>#N/A</v>
      </c>
      <c r="AT351" s="61" t="e">
        <v>#N/A</v>
      </c>
      <c r="AU351" s="61" t="e">
        <v>#N/A</v>
      </c>
      <c r="AV351" s="61" t="e">
        <v>#N/A</v>
      </c>
      <c r="AW351" s="61" t="e">
        <v>#N/A</v>
      </c>
      <c r="AX351" s="65" t="e">
        <v>#N/A</v>
      </c>
      <c r="AY351" s="66">
        <v>0.86699999999999999</v>
      </c>
      <c r="AZ351" s="61">
        <v>2.887</v>
      </c>
      <c r="BA351" s="61">
        <v>32.274000000000001</v>
      </c>
      <c r="BB351" s="61">
        <v>36.027999999999999</v>
      </c>
      <c r="BC351" s="61">
        <v>7.0000000000000001E-3</v>
      </c>
      <c r="BD351" s="61">
        <v>0.74299999999999999</v>
      </c>
      <c r="BE351" s="61">
        <v>4.2000000000000003E-2</v>
      </c>
      <c r="BF351" s="61" t="s">
        <v>122</v>
      </c>
      <c r="BG351" s="61">
        <v>5.8470000000000004</v>
      </c>
      <c r="BH351" s="61">
        <v>1.8580000000000001</v>
      </c>
      <c r="BI351" s="61">
        <v>3.5000000000000003E-2</v>
      </c>
      <c r="BJ351" s="61">
        <v>7.7389999999999999</v>
      </c>
      <c r="BK351" s="66">
        <v>8.532</v>
      </c>
      <c r="BL351" s="67">
        <v>12.657</v>
      </c>
      <c r="BM351" s="61">
        <v>0.16800000000000001</v>
      </c>
      <c r="BN351" s="61" t="s">
        <v>121</v>
      </c>
      <c r="BO351" s="61" t="s">
        <v>121</v>
      </c>
      <c r="BP351" s="61">
        <v>12.824999999999999</v>
      </c>
      <c r="BQ351" s="61">
        <v>218.703</v>
      </c>
      <c r="BR351" s="61">
        <v>13.098000000000001</v>
      </c>
      <c r="BS351" s="61">
        <v>0.115</v>
      </c>
      <c r="BT351" s="61">
        <v>8.2539999999999996</v>
      </c>
      <c r="BU351" s="61">
        <v>12.587</v>
      </c>
      <c r="BV351" s="61">
        <v>19.055</v>
      </c>
      <c r="BW351" s="61">
        <v>31.641999999999999</v>
      </c>
      <c r="BX351" s="67">
        <v>271.81200000000001</v>
      </c>
      <c r="BY351" s="68">
        <v>108740</v>
      </c>
      <c r="BZ351" s="68">
        <v>122155</v>
      </c>
      <c r="CA351" s="69">
        <v>9239</v>
      </c>
      <c r="CB351" s="68">
        <v>136945</v>
      </c>
      <c r="CC351" s="68">
        <v>3392</v>
      </c>
      <c r="CD351" s="61"/>
      <c r="CE351" s="64"/>
      <c r="CF351" s="64"/>
      <c r="CG351" s="70">
        <f t="shared" si="27"/>
        <v>5751.69</v>
      </c>
      <c r="CH351" s="70">
        <f t="shared" si="28"/>
        <v>388.03800000000001</v>
      </c>
      <c r="CI351" s="70">
        <f t="shared" si="29"/>
        <v>142.464</v>
      </c>
      <c r="CJ351" s="70">
        <f t="shared" si="30"/>
        <v>4567.08</v>
      </c>
      <c r="CK351" s="70">
        <f t="shared" si="30"/>
        <v>5130.51</v>
      </c>
      <c r="CL351" s="70">
        <f t="shared" si="26"/>
        <v>0</v>
      </c>
      <c r="CM351" s="61"/>
      <c r="CN351" s="61"/>
      <c r="CO351" s="61"/>
      <c r="CP351" s="61"/>
      <c r="CQ351" s="61"/>
      <c r="CR351" s="61"/>
      <c r="CS351" s="61"/>
      <c r="CT351" s="61"/>
      <c r="CU351" s="61"/>
      <c r="CV351" s="61"/>
      <c r="CW351" s="61"/>
      <c r="CX351" s="61"/>
      <c r="CY351" s="61"/>
      <c r="CZ351" s="61"/>
      <c r="DA351" s="61"/>
      <c r="DB351" s="61"/>
      <c r="DC351" s="61"/>
      <c r="DD351" s="61"/>
      <c r="DE351" s="61"/>
      <c r="DF351" s="61"/>
      <c r="DG351" s="61"/>
      <c r="DH351" s="61"/>
      <c r="DI351" s="61"/>
      <c r="DJ351" s="61"/>
      <c r="DK351" s="61"/>
      <c r="DL351" s="61"/>
      <c r="DM351" s="61"/>
      <c r="DN351" s="61"/>
      <c r="DO351" s="61"/>
      <c r="DP351" s="61"/>
      <c r="DQ351" s="61"/>
      <c r="DR351" s="61"/>
      <c r="DS351" s="61"/>
      <c r="DT351" s="61"/>
      <c r="DU351" s="61"/>
      <c r="DV351" s="61"/>
      <c r="DW351" s="61"/>
      <c r="DX351" s="61"/>
      <c r="DY351" s="61"/>
      <c r="DZ351" s="61"/>
      <c r="EA351" s="61"/>
      <c r="EB351" s="61"/>
      <c r="EC351" s="61"/>
      <c r="ED351" s="61"/>
      <c r="EE351" s="61"/>
      <c r="EF351" s="61"/>
      <c r="EG351" s="61"/>
      <c r="EH351" s="61"/>
      <c r="EI351" s="61"/>
      <c r="EJ351" s="61"/>
      <c r="EK351" s="61"/>
      <c r="EL351" s="61"/>
      <c r="EM351" s="61"/>
      <c r="EN351" s="61"/>
      <c r="EO351" s="61"/>
      <c r="EP351" s="61"/>
      <c r="EQ351" s="61"/>
      <c r="ER351" s="61"/>
      <c r="ES351" s="61"/>
      <c r="ET351" s="61"/>
      <c r="EU351" s="61"/>
      <c r="EV351" s="61"/>
      <c r="EW351" s="61"/>
    </row>
    <row r="352" spans="1:153">
      <c r="A352" s="56">
        <v>37288</v>
      </c>
      <c r="B352" s="57">
        <v>2002</v>
      </c>
      <c r="C352" s="71">
        <v>0.104</v>
      </c>
      <c r="D352" s="61">
        <v>1E-3</v>
      </c>
      <c r="E352" s="61">
        <v>19.149000000000001</v>
      </c>
      <c r="F352" s="61">
        <v>0.80400000000000005</v>
      </c>
      <c r="G352" s="61">
        <v>0.10299999999999999</v>
      </c>
      <c r="H352" s="61">
        <v>28.79</v>
      </c>
      <c r="I352" s="61">
        <v>4.0960000000000001</v>
      </c>
      <c r="J352" s="61">
        <v>24.695</v>
      </c>
      <c r="K352" s="61"/>
      <c r="L352" s="61"/>
      <c r="M352" s="61">
        <v>43.844000000000001</v>
      </c>
      <c r="N352" s="61">
        <v>1.841</v>
      </c>
      <c r="O352" s="71">
        <v>0.23499999999999999</v>
      </c>
      <c r="P352" s="60">
        <v>148.458</v>
      </c>
      <c r="Q352" s="61">
        <v>20.747</v>
      </c>
      <c r="R352" s="61">
        <v>198.93199999999999</v>
      </c>
      <c r="S352" s="61">
        <v>428.35199999999998</v>
      </c>
      <c r="T352" s="61">
        <v>205.41</v>
      </c>
      <c r="U352" s="61">
        <v>13.339</v>
      </c>
      <c r="V352" s="61">
        <v>3.407</v>
      </c>
      <c r="W352" s="61">
        <v>7.2629999999999999</v>
      </c>
      <c r="X352" s="61">
        <v>148.458</v>
      </c>
      <c r="Y352" s="61">
        <v>29.727</v>
      </c>
      <c r="Z352" s="61">
        <v>21.184999999999999</v>
      </c>
      <c r="AA352" s="61">
        <v>199.37</v>
      </c>
      <c r="AB352" s="60">
        <v>428.79</v>
      </c>
      <c r="AC352" s="62"/>
      <c r="AD352" s="61"/>
      <c r="AE352" s="61"/>
      <c r="AF352" s="61"/>
      <c r="AG352" s="61"/>
      <c r="AH352" s="61"/>
      <c r="AI352" s="61"/>
      <c r="AJ352" s="61"/>
      <c r="AK352" s="62"/>
      <c r="AL352" s="63"/>
      <c r="AM352" s="64"/>
      <c r="AN352" s="65" t="e">
        <v>#N/A</v>
      </c>
      <c r="AO352" s="61" t="e">
        <v>#N/A</v>
      </c>
      <c r="AP352" s="61" t="e">
        <v>#N/A</v>
      </c>
      <c r="AQ352" s="61" t="e">
        <v>#N/A</v>
      </c>
      <c r="AR352" s="61" t="e">
        <v>#N/A</v>
      </c>
      <c r="AS352" s="61" t="e">
        <v>#N/A</v>
      </c>
      <c r="AT352" s="61" t="e">
        <v>#N/A</v>
      </c>
      <c r="AU352" s="61" t="e">
        <v>#N/A</v>
      </c>
      <c r="AV352" s="61" t="e">
        <v>#N/A</v>
      </c>
      <c r="AW352" s="61" t="e">
        <v>#N/A</v>
      </c>
      <c r="AX352" s="65" t="e">
        <v>#N/A</v>
      </c>
      <c r="AY352" s="66">
        <v>0.78300000000000003</v>
      </c>
      <c r="AZ352" s="61">
        <v>3.1120000000000001</v>
      </c>
      <c r="BA352" s="61">
        <v>29.151</v>
      </c>
      <c r="BB352" s="61">
        <v>33.045999999999999</v>
      </c>
      <c r="BC352" s="61">
        <v>1.2E-2</v>
      </c>
      <c r="BD352" s="61">
        <v>0.67100000000000004</v>
      </c>
      <c r="BE352" s="61">
        <v>4.5999999999999999E-2</v>
      </c>
      <c r="BF352" s="61" t="s">
        <v>122</v>
      </c>
      <c r="BG352" s="61">
        <v>5.266</v>
      </c>
      <c r="BH352" s="61">
        <v>1.6870000000000001</v>
      </c>
      <c r="BI352" s="61">
        <v>3.3000000000000002E-2</v>
      </c>
      <c r="BJ352" s="61">
        <v>6.9859999999999998</v>
      </c>
      <c r="BK352" s="66">
        <v>7.7149999999999999</v>
      </c>
      <c r="BL352" s="67">
        <v>11.941000000000001</v>
      </c>
      <c r="BM352" s="61">
        <v>0.23499999999999999</v>
      </c>
      <c r="BN352" s="61" t="s">
        <v>121</v>
      </c>
      <c r="BO352" s="61" t="s">
        <v>121</v>
      </c>
      <c r="BP352" s="61">
        <v>12.176</v>
      </c>
      <c r="BQ352" s="61">
        <v>202.56200000000001</v>
      </c>
      <c r="BR352" s="61">
        <v>11.518000000000001</v>
      </c>
      <c r="BS352" s="61">
        <v>0.24</v>
      </c>
      <c r="BT352" s="61">
        <v>7.2629999999999999</v>
      </c>
      <c r="BU352" s="61">
        <v>10.01</v>
      </c>
      <c r="BV352" s="61">
        <v>16.734000000000002</v>
      </c>
      <c r="BW352" s="61">
        <v>26.744</v>
      </c>
      <c r="BX352" s="67">
        <v>248.327</v>
      </c>
      <c r="BY352" s="68">
        <v>97931</v>
      </c>
      <c r="BZ352" s="68">
        <v>103995</v>
      </c>
      <c r="CA352" s="69">
        <v>6941</v>
      </c>
      <c r="CB352" s="68">
        <v>130004</v>
      </c>
      <c r="CC352" s="68">
        <v>7818</v>
      </c>
      <c r="CD352" s="61"/>
      <c r="CE352" s="64"/>
      <c r="CF352" s="64"/>
      <c r="CG352" s="70">
        <f t="shared" si="27"/>
        <v>5460.1679999999997</v>
      </c>
      <c r="CH352" s="70">
        <f t="shared" si="28"/>
        <v>291.52199999999999</v>
      </c>
      <c r="CI352" s="70">
        <f t="shared" si="29"/>
        <v>328.35599999999999</v>
      </c>
      <c r="CJ352" s="70">
        <f t="shared" si="30"/>
        <v>4113.1019999999999</v>
      </c>
      <c r="CK352" s="70">
        <f t="shared" si="30"/>
        <v>4367.79</v>
      </c>
      <c r="CL352" s="70">
        <f t="shared" si="26"/>
        <v>0</v>
      </c>
      <c r="CM352" s="61"/>
      <c r="CN352" s="61"/>
      <c r="CO352" s="61"/>
      <c r="CP352" s="61"/>
      <c r="CQ352" s="61"/>
      <c r="CR352" s="61"/>
      <c r="CS352" s="61"/>
      <c r="CT352" s="61"/>
      <c r="CU352" s="61"/>
      <c r="CV352" s="61"/>
      <c r="CW352" s="61"/>
      <c r="CX352" s="61"/>
      <c r="CY352" s="61"/>
      <c r="CZ352" s="61"/>
      <c r="DA352" s="61"/>
      <c r="DB352" s="61"/>
      <c r="DC352" s="61"/>
      <c r="DD352" s="61"/>
      <c r="DE352" s="61"/>
      <c r="DF352" s="61"/>
      <c r="DG352" s="61"/>
      <c r="DH352" s="61"/>
      <c r="DI352" s="61"/>
      <c r="DJ352" s="61"/>
      <c r="DK352" s="61"/>
      <c r="DL352" s="61"/>
      <c r="DM352" s="61"/>
      <c r="DN352" s="61"/>
      <c r="DO352" s="61"/>
      <c r="DP352" s="61"/>
      <c r="DQ352" s="61"/>
      <c r="DR352" s="61"/>
      <c r="DS352" s="61"/>
      <c r="DT352" s="61"/>
      <c r="DU352" s="61"/>
      <c r="DV352" s="61"/>
      <c r="DW352" s="61"/>
      <c r="DX352" s="61"/>
      <c r="DY352" s="61"/>
      <c r="DZ352" s="61"/>
      <c r="EA352" s="61"/>
      <c r="EB352" s="61"/>
      <c r="EC352" s="61"/>
      <c r="ED352" s="61"/>
      <c r="EE352" s="61"/>
      <c r="EF352" s="61"/>
      <c r="EG352" s="61"/>
      <c r="EH352" s="61"/>
      <c r="EI352" s="61"/>
      <c r="EJ352" s="61"/>
      <c r="EK352" s="61"/>
      <c r="EL352" s="61"/>
      <c r="EM352" s="61"/>
      <c r="EN352" s="61"/>
      <c r="EO352" s="61"/>
      <c r="EP352" s="61"/>
      <c r="EQ352" s="61"/>
      <c r="ER352" s="61"/>
      <c r="ES352" s="61"/>
      <c r="ET352" s="61"/>
      <c r="EU352" s="61"/>
      <c r="EV352" s="61"/>
      <c r="EW352" s="61"/>
    </row>
    <row r="353" spans="1:153">
      <c r="A353" s="56">
        <v>37316</v>
      </c>
      <c r="B353" s="57">
        <v>2002</v>
      </c>
      <c r="C353" s="71">
        <v>0.115</v>
      </c>
      <c r="D353" s="61">
        <v>2E-3</v>
      </c>
      <c r="E353" s="61">
        <v>21.201000000000001</v>
      </c>
      <c r="F353" s="61">
        <v>0.89</v>
      </c>
      <c r="G353" s="61">
        <v>0.114</v>
      </c>
      <c r="H353" s="61">
        <v>43.526000000000003</v>
      </c>
      <c r="I353" s="61">
        <v>4.9059999999999997</v>
      </c>
      <c r="J353" s="61">
        <v>38.619999999999997</v>
      </c>
      <c r="K353" s="61"/>
      <c r="L353" s="61"/>
      <c r="M353" s="61">
        <v>59.82</v>
      </c>
      <c r="N353" s="61">
        <v>2.512</v>
      </c>
      <c r="O353" s="71">
        <v>0.32100000000000001</v>
      </c>
      <c r="P353" s="60">
        <v>159.64400000000001</v>
      </c>
      <c r="Q353" s="61">
        <v>24.003</v>
      </c>
      <c r="R353" s="61">
        <v>217.56800000000001</v>
      </c>
      <c r="S353" s="61">
        <v>459.45699999999999</v>
      </c>
      <c r="T353" s="61">
        <v>213.72300000000001</v>
      </c>
      <c r="U353" s="61">
        <v>14.682</v>
      </c>
      <c r="V353" s="61">
        <v>4.8159999999999998</v>
      </c>
      <c r="W353" s="61">
        <v>8.6679999999999993</v>
      </c>
      <c r="X353" s="61">
        <v>159.64400000000001</v>
      </c>
      <c r="Y353" s="61">
        <v>33.920999999999999</v>
      </c>
      <c r="Z353" s="61">
        <v>21.036999999999999</v>
      </c>
      <c r="AA353" s="61">
        <v>214.601</v>
      </c>
      <c r="AB353" s="60">
        <v>456.49</v>
      </c>
      <c r="AC353" s="62"/>
      <c r="AD353" s="61"/>
      <c r="AE353" s="61"/>
      <c r="AF353" s="61"/>
      <c r="AG353" s="61"/>
      <c r="AH353" s="61"/>
      <c r="AI353" s="61"/>
      <c r="AJ353" s="61"/>
      <c r="AK353" s="62"/>
      <c r="AL353" s="63"/>
      <c r="AM353" s="64"/>
      <c r="AN353" s="65" t="e">
        <v>#N/A</v>
      </c>
      <c r="AO353" s="61" t="e">
        <v>#N/A</v>
      </c>
      <c r="AP353" s="61" t="e">
        <v>#N/A</v>
      </c>
      <c r="AQ353" s="61" t="e">
        <v>#N/A</v>
      </c>
      <c r="AR353" s="61" t="e">
        <v>#N/A</v>
      </c>
      <c r="AS353" s="61" t="e">
        <v>#N/A</v>
      </c>
      <c r="AT353" s="61" t="e">
        <v>#N/A</v>
      </c>
      <c r="AU353" s="61" t="e">
        <v>#N/A</v>
      </c>
      <c r="AV353" s="61" t="e">
        <v>#N/A</v>
      </c>
      <c r="AW353" s="61" t="e">
        <v>#N/A</v>
      </c>
      <c r="AX353" s="65" t="e">
        <v>#N/A</v>
      </c>
      <c r="AY353" s="66">
        <v>0.86699999999999999</v>
      </c>
      <c r="AZ353" s="61">
        <v>4.2880000000000003</v>
      </c>
      <c r="BA353" s="61">
        <v>32.274000000000001</v>
      </c>
      <c r="BB353" s="61">
        <v>37.429000000000002</v>
      </c>
      <c r="BC353" s="61">
        <v>1.0999999999999999E-2</v>
      </c>
      <c r="BD353" s="61">
        <v>0.74299999999999999</v>
      </c>
      <c r="BE353" s="61">
        <v>6.3E-2</v>
      </c>
      <c r="BF353" s="61" t="s">
        <v>122</v>
      </c>
      <c r="BG353" s="61">
        <v>5.8339999999999996</v>
      </c>
      <c r="BH353" s="61">
        <v>1.913</v>
      </c>
      <c r="BI353" s="61">
        <v>2.8000000000000001E-2</v>
      </c>
      <c r="BJ353" s="61">
        <v>7.7750000000000004</v>
      </c>
      <c r="BK353" s="66">
        <v>8.5920000000000005</v>
      </c>
      <c r="BL353" s="67">
        <v>10.366</v>
      </c>
      <c r="BM353" s="61">
        <v>0.32100000000000001</v>
      </c>
      <c r="BN353" s="61" t="s">
        <v>121</v>
      </c>
      <c r="BO353" s="61" t="s">
        <v>121</v>
      </c>
      <c r="BP353" s="61">
        <v>10.686</v>
      </c>
      <c r="BQ353" s="61">
        <v>210.904</v>
      </c>
      <c r="BR353" s="61">
        <v>12.664999999999999</v>
      </c>
      <c r="BS353" s="61">
        <v>0.45200000000000001</v>
      </c>
      <c r="BT353" s="61">
        <v>8.6679999999999993</v>
      </c>
      <c r="BU353" s="61">
        <v>13.156000000000001</v>
      </c>
      <c r="BV353" s="61">
        <v>19.015999999999998</v>
      </c>
      <c r="BW353" s="61">
        <v>32.171999999999997</v>
      </c>
      <c r="BX353" s="67">
        <v>264.86200000000002</v>
      </c>
      <c r="BY353" s="68">
        <v>104158</v>
      </c>
      <c r="BZ353" s="68">
        <v>116236</v>
      </c>
      <c r="CA353" s="69">
        <v>7263</v>
      </c>
      <c r="CB353" s="68">
        <v>123099</v>
      </c>
      <c r="CC353" s="68">
        <v>2090</v>
      </c>
      <c r="CD353" s="61"/>
      <c r="CE353" s="64"/>
      <c r="CF353" s="64"/>
      <c r="CG353" s="70">
        <f t="shared" si="27"/>
        <v>5170.1580000000004</v>
      </c>
      <c r="CH353" s="70">
        <f t="shared" si="28"/>
        <v>305.04599999999999</v>
      </c>
      <c r="CI353" s="70">
        <f t="shared" si="29"/>
        <v>87.78</v>
      </c>
      <c r="CJ353" s="70">
        <f t="shared" si="30"/>
        <v>4374.6360000000004</v>
      </c>
      <c r="CK353" s="70">
        <f t="shared" si="30"/>
        <v>4881.9120000000003</v>
      </c>
      <c r="CL353" s="70">
        <f t="shared" si="26"/>
        <v>0</v>
      </c>
      <c r="CM353" s="61"/>
      <c r="CN353" s="61"/>
      <c r="CO353" s="61"/>
      <c r="CP353" s="61"/>
      <c r="CQ353" s="61"/>
      <c r="CR353" s="61"/>
      <c r="CS353" s="61"/>
      <c r="CT353" s="61"/>
      <c r="CU353" s="61"/>
      <c r="CV353" s="61"/>
      <c r="CW353" s="61"/>
      <c r="CX353" s="61"/>
      <c r="CY353" s="61"/>
      <c r="CZ353" s="61"/>
      <c r="DA353" s="61"/>
      <c r="DB353" s="61"/>
      <c r="DC353" s="61"/>
      <c r="DD353" s="61"/>
      <c r="DE353" s="61"/>
      <c r="DF353" s="61"/>
      <c r="DG353" s="61"/>
      <c r="DH353" s="61"/>
      <c r="DI353" s="61"/>
      <c r="DJ353" s="61"/>
      <c r="DK353" s="61"/>
      <c r="DL353" s="61"/>
      <c r="DM353" s="61"/>
      <c r="DN353" s="61"/>
      <c r="DO353" s="61"/>
      <c r="DP353" s="61"/>
      <c r="DQ353" s="61"/>
      <c r="DR353" s="61"/>
      <c r="DS353" s="61"/>
      <c r="DT353" s="61"/>
      <c r="DU353" s="61"/>
      <c r="DV353" s="61"/>
      <c r="DW353" s="61"/>
      <c r="DX353" s="61"/>
      <c r="DY353" s="61"/>
      <c r="DZ353" s="61"/>
      <c r="EA353" s="61"/>
      <c r="EB353" s="61"/>
      <c r="EC353" s="61"/>
      <c r="ED353" s="61"/>
      <c r="EE353" s="61"/>
      <c r="EF353" s="61"/>
      <c r="EG353" s="61"/>
      <c r="EH353" s="61"/>
      <c r="EI353" s="61"/>
      <c r="EJ353" s="61"/>
      <c r="EK353" s="61"/>
      <c r="EL353" s="61"/>
      <c r="EM353" s="61"/>
      <c r="EN353" s="61"/>
      <c r="EO353" s="61"/>
      <c r="EP353" s="61"/>
      <c r="EQ353" s="61"/>
      <c r="ER353" s="61"/>
      <c r="ES353" s="61"/>
      <c r="ET353" s="61"/>
      <c r="EU353" s="61"/>
      <c r="EV353" s="61"/>
      <c r="EW353" s="61"/>
    </row>
    <row r="354" spans="1:153">
      <c r="A354" s="56">
        <v>37347</v>
      </c>
      <c r="B354" s="57">
        <v>2002</v>
      </c>
      <c r="C354" s="71">
        <v>0.111</v>
      </c>
      <c r="D354" s="61">
        <v>2E-3</v>
      </c>
      <c r="E354" s="61">
        <v>20.516999999999999</v>
      </c>
      <c r="F354" s="61">
        <v>0.86199999999999999</v>
      </c>
      <c r="G354" s="61">
        <v>0.11</v>
      </c>
      <c r="H354" s="61">
        <v>9.9570000000000007</v>
      </c>
      <c r="I354" s="61">
        <v>4.8339999999999996</v>
      </c>
      <c r="J354" s="61">
        <v>5.1230000000000002</v>
      </c>
      <c r="K354" s="61"/>
      <c r="L354" s="61"/>
      <c r="M354" s="61">
        <v>25.638999999999999</v>
      </c>
      <c r="N354" s="61">
        <v>1.077</v>
      </c>
      <c r="O354" s="71">
        <v>0.13700000000000001</v>
      </c>
      <c r="P354" s="60">
        <v>158.33600000000001</v>
      </c>
      <c r="Q354" s="61">
        <v>22.916</v>
      </c>
      <c r="R354" s="61">
        <v>212.852</v>
      </c>
      <c r="S354" s="61">
        <v>488.50299999999999</v>
      </c>
      <c r="T354" s="61">
        <v>246.661</v>
      </c>
      <c r="U354" s="61">
        <v>13.292</v>
      </c>
      <c r="V354" s="61">
        <v>5.2770000000000001</v>
      </c>
      <c r="W354" s="61">
        <v>10.420999999999999</v>
      </c>
      <c r="X354" s="61">
        <v>158.33600000000001</v>
      </c>
      <c r="Y354" s="61">
        <v>31.600999999999999</v>
      </c>
      <c r="Z354" s="61">
        <v>22.43</v>
      </c>
      <c r="AA354" s="61">
        <v>212.36600000000001</v>
      </c>
      <c r="AB354" s="60">
        <v>488.017</v>
      </c>
      <c r="AC354" s="62"/>
      <c r="AD354" s="61"/>
      <c r="AE354" s="61"/>
      <c r="AF354" s="61"/>
      <c r="AG354" s="61"/>
      <c r="AH354" s="61"/>
      <c r="AI354" s="61"/>
      <c r="AJ354" s="61"/>
      <c r="AK354" s="62"/>
      <c r="AL354" s="63"/>
      <c r="AM354" s="64"/>
      <c r="AN354" s="65" t="e">
        <v>#N/A</v>
      </c>
      <c r="AO354" s="61" t="e">
        <v>#N/A</v>
      </c>
      <c r="AP354" s="61" t="e">
        <v>#N/A</v>
      </c>
      <c r="AQ354" s="61" t="e">
        <v>#N/A</v>
      </c>
      <c r="AR354" s="61" t="e">
        <v>#N/A</v>
      </c>
      <c r="AS354" s="61" t="e">
        <v>#N/A</v>
      </c>
      <c r="AT354" s="61" t="e">
        <v>#N/A</v>
      </c>
      <c r="AU354" s="61" t="e">
        <v>#N/A</v>
      </c>
      <c r="AV354" s="61" t="e">
        <v>#N/A</v>
      </c>
      <c r="AW354" s="61" t="e">
        <v>#N/A</v>
      </c>
      <c r="AX354" s="65" t="e">
        <v>#N/A</v>
      </c>
      <c r="AY354" s="66">
        <v>0.83899999999999997</v>
      </c>
      <c r="AZ354" s="61">
        <v>4.726</v>
      </c>
      <c r="BA354" s="61">
        <v>31.233000000000001</v>
      </c>
      <c r="BB354" s="61">
        <v>36.798000000000002</v>
      </c>
      <c r="BC354" s="61">
        <v>8.0000000000000002E-3</v>
      </c>
      <c r="BD354" s="61">
        <v>0.71899999999999997</v>
      </c>
      <c r="BE354" s="61">
        <v>6.9000000000000006E-2</v>
      </c>
      <c r="BF354" s="61" t="s">
        <v>122</v>
      </c>
      <c r="BG354" s="61">
        <v>5.6459999999999999</v>
      </c>
      <c r="BH354" s="61">
        <v>1.9750000000000001</v>
      </c>
      <c r="BI354" s="61">
        <v>3.4000000000000002E-2</v>
      </c>
      <c r="BJ354" s="61">
        <v>7.6539999999999999</v>
      </c>
      <c r="BK354" s="66">
        <v>8.4510000000000005</v>
      </c>
      <c r="BL354" s="67">
        <v>12.359</v>
      </c>
      <c r="BM354" s="61">
        <v>0.13700000000000001</v>
      </c>
      <c r="BN354" s="61" t="s">
        <v>121</v>
      </c>
      <c r="BO354" s="61" t="s">
        <v>121</v>
      </c>
      <c r="BP354" s="61">
        <v>12.496</v>
      </c>
      <c r="BQ354" s="61">
        <v>243.43199999999999</v>
      </c>
      <c r="BR354" s="61">
        <v>11.34</v>
      </c>
      <c r="BS354" s="61">
        <v>0.46700000000000003</v>
      </c>
      <c r="BT354" s="61">
        <v>10.420999999999999</v>
      </c>
      <c r="BU354" s="61">
        <v>11.337</v>
      </c>
      <c r="BV354" s="61">
        <v>17.835000000000001</v>
      </c>
      <c r="BW354" s="61">
        <v>29.172000000000001</v>
      </c>
      <c r="BX354" s="67">
        <v>294.83300000000003</v>
      </c>
      <c r="BY354" s="68">
        <v>109410</v>
      </c>
      <c r="BZ354" s="68">
        <v>114644</v>
      </c>
      <c r="CA354" s="69">
        <v>6583</v>
      </c>
      <c r="CB354" s="68">
        <v>122397</v>
      </c>
      <c r="CC354" s="68">
        <v>2051</v>
      </c>
      <c r="CD354" s="61"/>
      <c r="CE354" s="64"/>
      <c r="CF354" s="64"/>
      <c r="CG354" s="70">
        <f t="shared" si="27"/>
        <v>5140.674</v>
      </c>
      <c r="CH354" s="70">
        <f t="shared" si="28"/>
        <v>276.48599999999999</v>
      </c>
      <c r="CI354" s="70">
        <f t="shared" si="29"/>
        <v>86.141999999999996</v>
      </c>
      <c r="CJ354" s="70">
        <f t="shared" si="30"/>
        <v>4595.22</v>
      </c>
      <c r="CK354" s="70">
        <f t="shared" si="30"/>
        <v>4815.0479999999998</v>
      </c>
      <c r="CL354" s="70">
        <f t="shared" si="26"/>
        <v>0</v>
      </c>
      <c r="CM354" s="61"/>
      <c r="CN354" s="61"/>
      <c r="CO354" s="61"/>
      <c r="CP354" s="61"/>
      <c r="CQ354" s="61"/>
      <c r="CR354" s="61"/>
      <c r="CS354" s="61"/>
      <c r="CT354" s="61"/>
      <c r="CU354" s="61"/>
      <c r="CV354" s="61"/>
      <c r="CW354" s="61"/>
      <c r="CX354" s="61"/>
      <c r="CY354" s="61"/>
      <c r="CZ354" s="61"/>
      <c r="DA354" s="61"/>
      <c r="DB354" s="61"/>
      <c r="DC354" s="61"/>
      <c r="DD354" s="61"/>
      <c r="DE354" s="61"/>
      <c r="DF354" s="61"/>
      <c r="DG354" s="61"/>
      <c r="DH354" s="61"/>
      <c r="DI354" s="61"/>
      <c r="DJ354" s="61"/>
      <c r="DK354" s="61"/>
      <c r="DL354" s="61"/>
      <c r="DM354" s="61"/>
      <c r="DN354" s="61"/>
      <c r="DO354" s="61"/>
      <c r="DP354" s="61"/>
      <c r="DQ354" s="61"/>
      <c r="DR354" s="61"/>
      <c r="DS354" s="61"/>
      <c r="DT354" s="61"/>
      <c r="DU354" s="61"/>
      <c r="DV354" s="61"/>
      <c r="DW354" s="61"/>
      <c r="DX354" s="61"/>
      <c r="DY354" s="61"/>
      <c r="DZ354" s="61"/>
      <c r="EA354" s="61"/>
      <c r="EB354" s="61"/>
      <c r="EC354" s="61"/>
      <c r="ED354" s="61"/>
      <c r="EE354" s="61"/>
      <c r="EF354" s="61"/>
      <c r="EG354" s="61"/>
      <c r="EH354" s="61"/>
      <c r="EI354" s="61"/>
      <c r="EJ354" s="61"/>
      <c r="EK354" s="61"/>
      <c r="EL354" s="61"/>
      <c r="EM354" s="61"/>
      <c r="EN354" s="61"/>
      <c r="EO354" s="61"/>
      <c r="EP354" s="61"/>
      <c r="EQ354" s="61"/>
      <c r="ER354" s="61"/>
      <c r="ES354" s="61"/>
      <c r="ET354" s="61"/>
      <c r="EU354" s="61"/>
      <c r="EV354" s="61"/>
      <c r="EW354" s="61"/>
    </row>
    <row r="355" spans="1:153">
      <c r="A355" s="56">
        <v>37377</v>
      </c>
      <c r="B355" s="57">
        <v>2002</v>
      </c>
      <c r="C355" s="71">
        <v>0.115</v>
      </c>
      <c r="D355" s="61">
        <v>2E-3</v>
      </c>
      <c r="E355" s="61">
        <v>21.201000000000001</v>
      </c>
      <c r="F355" s="61">
        <v>0.89</v>
      </c>
      <c r="G355" s="61">
        <v>0.114</v>
      </c>
      <c r="H355" s="61">
        <v>16.445</v>
      </c>
      <c r="I355" s="61">
        <v>6.3440000000000003</v>
      </c>
      <c r="J355" s="61">
        <v>10.101000000000001</v>
      </c>
      <c r="K355" s="61"/>
      <c r="L355" s="61"/>
      <c r="M355" s="61">
        <v>31.300999999999998</v>
      </c>
      <c r="N355" s="61">
        <v>1.3149999999999999</v>
      </c>
      <c r="O355" s="71">
        <v>0.16800000000000001</v>
      </c>
      <c r="P355" s="60">
        <v>168.01300000000001</v>
      </c>
      <c r="Q355" s="61">
        <v>24.238</v>
      </c>
      <c r="R355" s="61">
        <v>225.155</v>
      </c>
      <c r="S355" s="61">
        <v>527.64</v>
      </c>
      <c r="T355" s="61">
        <v>271.24</v>
      </c>
      <c r="U355" s="61">
        <v>14.385999999999999</v>
      </c>
      <c r="V355" s="61">
        <v>5.8970000000000002</v>
      </c>
      <c r="W355" s="61">
        <v>10.962999999999999</v>
      </c>
      <c r="X355" s="61">
        <v>168.01300000000001</v>
      </c>
      <c r="Y355" s="61">
        <v>32.904000000000003</v>
      </c>
      <c r="Z355" s="61">
        <v>23.838000000000001</v>
      </c>
      <c r="AA355" s="61">
        <v>224.755</v>
      </c>
      <c r="AB355" s="60">
        <v>527.24</v>
      </c>
      <c r="AC355" s="62"/>
      <c r="AD355" s="61"/>
      <c r="AE355" s="61"/>
      <c r="AF355" s="61"/>
      <c r="AG355" s="61"/>
      <c r="AH355" s="61"/>
      <c r="AI355" s="61"/>
      <c r="AJ355" s="61"/>
      <c r="AK355" s="62"/>
      <c r="AL355" s="63"/>
      <c r="AM355" s="64"/>
      <c r="AN355" s="65" t="e">
        <v>#N/A</v>
      </c>
      <c r="AO355" s="61" t="e">
        <v>#N/A</v>
      </c>
      <c r="AP355" s="61" t="e">
        <v>#N/A</v>
      </c>
      <c r="AQ355" s="61" t="e">
        <v>#N/A</v>
      </c>
      <c r="AR355" s="61" t="e">
        <v>#N/A</v>
      </c>
      <c r="AS355" s="61" t="e">
        <v>#N/A</v>
      </c>
      <c r="AT355" s="61" t="e">
        <v>#N/A</v>
      </c>
      <c r="AU355" s="61" t="e">
        <v>#N/A</v>
      </c>
      <c r="AV355" s="61" t="e">
        <v>#N/A</v>
      </c>
      <c r="AW355" s="61" t="e">
        <v>#N/A</v>
      </c>
      <c r="AX355" s="65" t="e">
        <v>#N/A</v>
      </c>
      <c r="AY355" s="66">
        <v>0.86699999999999999</v>
      </c>
      <c r="AZ355" s="61">
        <v>5.2169999999999996</v>
      </c>
      <c r="BA355" s="61">
        <v>32.274000000000001</v>
      </c>
      <c r="BB355" s="61">
        <v>38.357999999999997</v>
      </c>
      <c r="BC355" s="61">
        <v>8.9999999999999993E-3</v>
      </c>
      <c r="BD355" s="61">
        <v>0.74299999999999999</v>
      </c>
      <c r="BE355" s="61">
        <v>7.5999999999999998E-2</v>
      </c>
      <c r="BF355" s="61" t="s">
        <v>122</v>
      </c>
      <c r="BG355" s="61">
        <v>5.8109999999999999</v>
      </c>
      <c r="BH355" s="61">
        <v>2.2850000000000001</v>
      </c>
      <c r="BI355" s="61">
        <v>3.5999999999999997E-2</v>
      </c>
      <c r="BJ355" s="61">
        <v>8.1319999999999997</v>
      </c>
      <c r="BK355" s="66">
        <v>8.9610000000000003</v>
      </c>
      <c r="BL355" s="67">
        <v>13.16</v>
      </c>
      <c r="BM355" s="61">
        <v>0.16800000000000001</v>
      </c>
      <c r="BN355" s="61" t="s">
        <v>121</v>
      </c>
      <c r="BO355" s="61" t="s">
        <v>121</v>
      </c>
      <c r="BP355" s="61">
        <v>13.327999999999999</v>
      </c>
      <c r="BQ355" s="61">
        <v>268.31299999999999</v>
      </c>
      <c r="BR355" s="61">
        <v>12.369</v>
      </c>
      <c r="BS355" s="61">
        <v>0.58599999999999997</v>
      </c>
      <c r="BT355" s="61">
        <v>10.962999999999999</v>
      </c>
      <c r="BU355" s="61">
        <v>11.398</v>
      </c>
      <c r="BV355" s="61">
        <v>18.797999999999998</v>
      </c>
      <c r="BW355" s="61">
        <v>30.196000000000002</v>
      </c>
      <c r="BX355" s="67">
        <v>322.428</v>
      </c>
      <c r="BY355" s="68">
        <v>114976</v>
      </c>
      <c r="BZ355" s="68">
        <v>114060</v>
      </c>
      <c r="CA355" s="69">
        <v>5990</v>
      </c>
      <c r="CB355" s="68">
        <v>127021</v>
      </c>
      <c r="CC355" s="68">
        <v>2282</v>
      </c>
      <c r="CD355" s="61"/>
      <c r="CE355" s="64"/>
      <c r="CF355" s="64"/>
      <c r="CG355" s="70">
        <f t="shared" si="27"/>
        <v>5334.8819999999996</v>
      </c>
      <c r="CH355" s="70">
        <f t="shared" si="28"/>
        <v>251.58</v>
      </c>
      <c r="CI355" s="70">
        <f t="shared" si="29"/>
        <v>95.843999999999994</v>
      </c>
      <c r="CJ355" s="70">
        <f t="shared" si="30"/>
        <v>4828.9920000000002</v>
      </c>
      <c r="CK355" s="70">
        <f t="shared" si="30"/>
        <v>4790.5200000000004</v>
      </c>
      <c r="CL355" s="70">
        <f t="shared" si="26"/>
        <v>0</v>
      </c>
      <c r="CM355" s="61"/>
      <c r="CN355" s="61"/>
      <c r="CO355" s="61"/>
      <c r="CP355" s="61"/>
      <c r="CQ355" s="61"/>
      <c r="CR355" s="61"/>
      <c r="CS355" s="61"/>
      <c r="CT355" s="61"/>
      <c r="CU355" s="61"/>
      <c r="CV355" s="61"/>
      <c r="CW355" s="61"/>
      <c r="CX355" s="61"/>
      <c r="CY355" s="61"/>
      <c r="CZ355" s="61"/>
      <c r="DA355" s="61"/>
      <c r="DB355" s="61"/>
      <c r="DC355" s="61"/>
      <c r="DD355" s="61"/>
      <c r="DE355" s="61"/>
      <c r="DF355" s="61"/>
      <c r="DG355" s="61"/>
      <c r="DH355" s="61"/>
      <c r="DI355" s="61"/>
      <c r="DJ355" s="61"/>
      <c r="DK355" s="61"/>
      <c r="DL355" s="61"/>
      <c r="DM355" s="61"/>
      <c r="DN355" s="61"/>
      <c r="DO355" s="61"/>
      <c r="DP355" s="61"/>
      <c r="DQ355" s="61"/>
      <c r="DR355" s="61"/>
      <c r="DS355" s="61"/>
      <c r="DT355" s="61"/>
      <c r="DU355" s="61"/>
      <c r="DV355" s="61"/>
      <c r="DW355" s="61"/>
      <c r="DX355" s="61"/>
      <c r="DY355" s="61"/>
      <c r="DZ355" s="61"/>
      <c r="EA355" s="61"/>
      <c r="EB355" s="61"/>
      <c r="EC355" s="61"/>
      <c r="ED355" s="61"/>
      <c r="EE355" s="61"/>
      <c r="EF355" s="61"/>
      <c r="EG355" s="61"/>
      <c r="EH355" s="61"/>
      <c r="EI355" s="61"/>
      <c r="EJ355" s="61"/>
      <c r="EK355" s="61"/>
      <c r="EL355" s="61"/>
      <c r="EM355" s="61"/>
      <c r="EN355" s="61"/>
      <c r="EO355" s="61"/>
      <c r="EP355" s="61"/>
      <c r="EQ355" s="61"/>
      <c r="ER355" s="61"/>
      <c r="ES355" s="61"/>
      <c r="ET355" s="61"/>
      <c r="EU355" s="61"/>
      <c r="EV355" s="61"/>
      <c r="EW355" s="61"/>
    </row>
    <row r="356" spans="1:153">
      <c r="A356" s="56">
        <v>37408</v>
      </c>
      <c r="B356" s="57">
        <v>2002</v>
      </c>
      <c r="C356" s="71">
        <v>0.111</v>
      </c>
      <c r="D356" s="61">
        <v>2E-3</v>
      </c>
      <c r="E356" s="61">
        <v>20.516999999999999</v>
      </c>
      <c r="F356" s="61">
        <v>0.86199999999999999</v>
      </c>
      <c r="G356" s="61">
        <v>0.11</v>
      </c>
      <c r="H356" s="61">
        <v>17.907</v>
      </c>
      <c r="I356" s="61">
        <v>5.4349999999999996</v>
      </c>
      <c r="J356" s="61">
        <v>12.472</v>
      </c>
      <c r="K356" s="61"/>
      <c r="L356" s="61"/>
      <c r="M356" s="61">
        <v>32.988999999999997</v>
      </c>
      <c r="N356" s="61">
        <v>1.3859999999999999</v>
      </c>
      <c r="O356" s="71">
        <v>0.17699999999999999</v>
      </c>
      <c r="P356" s="60">
        <v>159.32599999999999</v>
      </c>
      <c r="Q356" s="61">
        <v>22.416</v>
      </c>
      <c r="R356" s="61">
        <v>215.107</v>
      </c>
      <c r="S356" s="61">
        <v>533.56299999999999</v>
      </c>
      <c r="T356" s="61">
        <v>287.00900000000001</v>
      </c>
      <c r="U356" s="61">
        <v>13.659000000000001</v>
      </c>
      <c r="V356" s="61">
        <v>6.33</v>
      </c>
      <c r="W356" s="61">
        <v>11.458</v>
      </c>
      <c r="X356" s="61">
        <v>159.32599999999999</v>
      </c>
      <c r="Y356" s="61">
        <v>33.365000000000002</v>
      </c>
      <c r="Z356" s="61">
        <v>21.847999999999999</v>
      </c>
      <c r="AA356" s="61">
        <v>214.53899999999999</v>
      </c>
      <c r="AB356" s="60">
        <v>532.995</v>
      </c>
      <c r="AC356" s="62"/>
      <c r="AD356" s="61"/>
      <c r="AE356" s="61"/>
      <c r="AF356" s="61"/>
      <c r="AG356" s="61"/>
      <c r="AH356" s="61"/>
      <c r="AI356" s="61"/>
      <c r="AJ356" s="61"/>
      <c r="AK356" s="62"/>
      <c r="AL356" s="63"/>
      <c r="AM356" s="64"/>
      <c r="AN356" s="65" t="e">
        <v>#N/A</v>
      </c>
      <c r="AO356" s="61" t="e">
        <v>#N/A</v>
      </c>
      <c r="AP356" s="61" t="e">
        <v>#N/A</v>
      </c>
      <c r="AQ356" s="61" t="e">
        <v>#N/A</v>
      </c>
      <c r="AR356" s="61" t="e">
        <v>#N/A</v>
      </c>
      <c r="AS356" s="61" t="e">
        <v>#N/A</v>
      </c>
      <c r="AT356" s="61" t="e">
        <v>#N/A</v>
      </c>
      <c r="AU356" s="61" t="e">
        <v>#N/A</v>
      </c>
      <c r="AV356" s="61" t="e">
        <v>#N/A</v>
      </c>
      <c r="AW356" s="61" t="e">
        <v>#N/A</v>
      </c>
      <c r="AX356" s="65" t="e">
        <v>#N/A</v>
      </c>
      <c r="AY356" s="66">
        <v>0.83899999999999997</v>
      </c>
      <c r="AZ356" s="61">
        <v>5.2640000000000002</v>
      </c>
      <c r="BA356" s="61">
        <v>31.233000000000001</v>
      </c>
      <c r="BB356" s="61">
        <v>37.335999999999999</v>
      </c>
      <c r="BC356" s="61">
        <v>1.2E-2</v>
      </c>
      <c r="BD356" s="61">
        <v>0.71899999999999997</v>
      </c>
      <c r="BE356" s="61">
        <v>7.6999999999999999E-2</v>
      </c>
      <c r="BF356" s="61" t="s">
        <v>122</v>
      </c>
      <c r="BG356" s="61">
        <v>5.6280000000000001</v>
      </c>
      <c r="BH356" s="61">
        <v>2.3069999999999999</v>
      </c>
      <c r="BI356" s="61">
        <v>3.3000000000000002E-2</v>
      </c>
      <c r="BJ356" s="61">
        <v>7.9669999999999996</v>
      </c>
      <c r="BK356" s="66">
        <v>8.7759999999999998</v>
      </c>
      <c r="BL356" s="67">
        <v>11.958</v>
      </c>
      <c r="BM356" s="61">
        <v>0.17699999999999999</v>
      </c>
      <c r="BN356" s="61" t="s">
        <v>121</v>
      </c>
      <c r="BO356" s="61" t="s">
        <v>121</v>
      </c>
      <c r="BP356" s="61">
        <v>12.135</v>
      </c>
      <c r="BQ356" s="61">
        <v>284.40800000000002</v>
      </c>
      <c r="BR356" s="61">
        <v>11.707000000000001</v>
      </c>
      <c r="BS356" s="61">
        <v>0.97199999999999998</v>
      </c>
      <c r="BT356" s="61">
        <v>11.458</v>
      </c>
      <c r="BU356" s="61">
        <v>11.756</v>
      </c>
      <c r="BV356" s="61">
        <v>19.518000000000001</v>
      </c>
      <c r="BW356" s="61">
        <v>31.274000000000001</v>
      </c>
      <c r="BX356" s="67">
        <v>339.81799999999998</v>
      </c>
      <c r="BY356" s="68">
        <v>110375</v>
      </c>
      <c r="BZ356" s="68">
        <v>107607</v>
      </c>
      <c r="CA356" s="69">
        <v>6116</v>
      </c>
      <c r="CB356" s="68">
        <v>133124</v>
      </c>
      <c r="CC356" s="68">
        <v>2781</v>
      </c>
      <c r="CD356" s="61"/>
      <c r="CE356" s="64"/>
      <c r="CF356" s="64"/>
      <c r="CG356" s="70">
        <f t="shared" si="27"/>
        <v>5591.2079999999996</v>
      </c>
      <c r="CH356" s="70">
        <f t="shared" si="28"/>
        <v>256.87200000000001</v>
      </c>
      <c r="CI356" s="70">
        <f t="shared" si="29"/>
        <v>116.80200000000001</v>
      </c>
      <c r="CJ356" s="70">
        <f t="shared" si="30"/>
        <v>4635.75</v>
      </c>
      <c r="CK356" s="70">
        <f t="shared" si="30"/>
        <v>4519.4939999999997</v>
      </c>
      <c r="CL356" s="70">
        <f t="shared" si="26"/>
        <v>0</v>
      </c>
      <c r="CM356" s="61"/>
      <c r="CN356" s="61"/>
      <c r="CO356" s="61"/>
      <c r="CP356" s="61"/>
      <c r="CQ356" s="61"/>
      <c r="CR356" s="61"/>
      <c r="CS356" s="61"/>
      <c r="CT356" s="61"/>
      <c r="CU356" s="61"/>
      <c r="CV356" s="61"/>
      <c r="CW356" s="61"/>
      <c r="CX356" s="61"/>
      <c r="CY356" s="61"/>
      <c r="CZ356" s="61"/>
      <c r="DA356" s="61"/>
      <c r="DB356" s="61"/>
      <c r="DC356" s="61"/>
      <c r="DD356" s="61"/>
      <c r="DE356" s="61"/>
      <c r="DF356" s="61"/>
      <c r="DG356" s="61"/>
      <c r="DH356" s="61"/>
      <c r="DI356" s="61"/>
      <c r="DJ356" s="61"/>
      <c r="DK356" s="61"/>
      <c r="DL356" s="61"/>
      <c r="DM356" s="61"/>
      <c r="DN356" s="61"/>
      <c r="DO356" s="61"/>
      <c r="DP356" s="61"/>
      <c r="DQ356" s="61"/>
      <c r="DR356" s="61"/>
      <c r="DS356" s="61"/>
      <c r="DT356" s="61"/>
      <c r="DU356" s="61"/>
      <c r="DV356" s="61"/>
      <c r="DW356" s="61"/>
      <c r="DX356" s="61"/>
      <c r="DY356" s="61"/>
      <c r="DZ356" s="61"/>
      <c r="EA356" s="61"/>
      <c r="EB356" s="61"/>
      <c r="EC356" s="61"/>
      <c r="ED356" s="61"/>
      <c r="EE356" s="61"/>
      <c r="EF356" s="61"/>
      <c r="EG356" s="61"/>
      <c r="EH356" s="61"/>
      <c r="EI356" s="61"/>
      <c r="EJ356" s="61"/>
      <c r="EK356" s="61"/>
      <c r="EL356" s="61"/>
      <c r="EM356" s="61"/>
      <c r="EN356" s="61"/>
      <c r="EO356" s="61"/>
      <c r="EP356" s="61"/>
      <c r="EQ356" s="61"/>
      <c r="ER356" s="61"/>
      <c r="ES356" s="61"/>
      <c r="ET356" s="61"/>
      <c r="EU356" s="61"/>
      <c r="EV356" s="61"/>
      <c r="EW356" s="61"/>
    </row>
    <row r="357" spans="1:153">
      <c r="A357" s="56">
        <v>37438</v>
      </c>
      <c r="B357" s="57">
        <v>2002</v>
      </c>
      <c r="C357" s="71">
        <v>0.115</v>
      </c>
      <c r="D357" s="61">
        <v>2E-3</v>
      </c>
      <c r="E357" s="61">
        <v>21.201000000000001</v>
      </c>
      <c r="F357" s="61">
        <v>0.89</v>
      </c>
      <c r="G357" s="61">
        <v>0.114</v>
      </c>
      <c r="H357" s="61">
        <v>21.85</v>
      </c>
      <c r="I357" s="61">
        <v>4.4169999999999998</v>
      </c>
      <c r="J357" s="61">
        <v>17.433</v>
      </c>
      <c r="K357" s="61"/>
      <c r="L357" s="61"/>
      <c r="M357" s="61">
        <v>38.634</v>
      </c>
      <c r="N357" s="61">
        <v>1.623</v>
      </c>
      <c r="O357" s="71">
        <v>0.20699999999999999</v>
      </c>
      <c r="P357" s="60">
        <v>176.434</v>
      </c>
      <c r="Q357" s="61">
        <v>24.015000000000001</v>
      </c>
      <c r="R357" s="61">
        <v>235.71299999999999</v>
      </c>
      <c r="S357" s="61">
        <v>525.23699999999997</v>
      </c>
      <c r="T357" s="61">
        <v>259.113</v>
      </c>
      <c r="U357" s="61">
        <v>14.856999999999999</v>
      </c>
      <c r="V357" s="61">
        <v>6.4950000000000001</v>
      </c>
      <c r="W357" s="61">
        <v>9.0589999999999993</v>
      </c>
      <c r="X357" s="61">
        <v>176.434</v>
      </c>
      <c r="Y357" s="61">
        <v>35.264000000000003</v>
      </c>
      <c r="Z357" s="61">
        <v>24.562999999999999</v>
      </c>
      <c r="AA357" s="61">
        <v>236.261</v>
      </c>
      <c r="AB357" s="60">
        <v>525.78499999999997</v>
      </c>
      <c r="AC357" s="62"/>
      <c r="AD357" s="61"/>
      <c r="AE357" s="61"/>
      <c r="AF357" s="61"/>
      <c r="AG357" s="61"/>
      <c r="AH357" s="61"/>
      <c r="AI357" s="61"/>
      <c r="AJ357" s="61"/>
      <c r="AK357" s="62"/>
      <c r="AL357" s="63"/>
      <c r="AM357" s="64"/>
      <c r="AN357" s="65" t="e">
        <v>#N/A</v>
      </c>
      <c r="AO357" s="61" t="e">
        <v>#N/A</v>
      </c>
      <c r="AP357" s="61" t="e">
        <v>#N/A</v>
      </c>
      <c r="AQ357" s="61" t="e">
        <v>#N/A</v>
      </c>
      <c r="AR357" s="61" t="e">
        <v>#N/A</v>
      </c>
      <c r="AS357" s="61" t="e">
        <v>#N/A</v>
      </c>
      <c r="AT357" s="61" t="e">
        <v>#N/A</v>
      </c>
      <c r="AU357" s="61" t="e">
        <v>#N/A</v>
      </c>
      <c r="AV357" s="61" t="e">
        <v>#N/A</v>
      </c>
      <c r="AW357" s="61" t="e">
        <v>#N/A</v>
      </c>
      <c r="AX357" s="65" t="e">
        <v>#N/A</v>
      </c>
      <c r="AY357" s="66">
        <v>0.86699999999999999</v>
      </c>
      <c r="AZ357" s="61">
        <v>5.5259999999999998</v>
      </c>
      <c r="BA357" s="61">
        <v>32.274000000000001</v>
      </c>
      <c r="BB357" s="61">
        <v>38.667000000000002</v>
      </c>
      <c r="BC357" s="61">
        <v>1.2999999999999999E-2</v>
      </c>
      <c r="BD357" s="61">
        <v>0.74299999999999999</v>
      </c>
      <c r="BE357" s="61">
        <v>8.1000000000000003E-2</v>
      </c>
      <c r="BF357" s="61" t="s">
        <v>122</v>
      </c>
      <c r="BG357" s="61">
        <v>5.8659999999999997</v>
      </c>
      <c r="BH357" s="61">
        <v>2.4910000000000001</v>
      </c>
      <c r="BI357" s="61">
        <v>3.7999999999999999E-2</v>
      </c>
      <c r="BJ357" s="61">
        <v>8.3949999999999996</v>
      </c>
      <c r="BK357" s="66">
        <v>9.2319999999999993</v>
      </c>
      <c r="BL357" s="67">
        <v>13.923999999999999</v>
      </c>
      <c r="BM357" s="61">
        <v>0.20699999999999999</v>
      </c>
      <c r="BN357" s="61" t="s">
        <v>121</v>
      </c>
      <c r="BO357" s="61" t="s">
        <v>121</v>
      </c>
      <c r="BP357" s="61">
        <v>14.131</v>
      </c>
      <c r="BQ357" s="61">
        <v>256.32</v>
      </c>
      <c r="BR357" s="61">
        <v>12.840999999999999</v>
      </c>
      <c r="BS357" s="61">
        <v>0.87</v>
      </c>
      <c r="BT357" s="61">
        <v>9.0589999999999993</v>
      </c>
      <c r="BU357" s="61">
        <v>12.874000000000001</v>
      </c>
      <c r="BV357" s="61">
        <v>20.876000000000001</v>
      </c>
      <c r="BW357" s="61">
        <v>33.75</v>
      </c>
      <c r="BX357" s="67">
        <v>312.839</v>
      </c>
      <c r="BY357" s="68">
        <v>110392</v>
      </c>
      <c r="BZ357" s="68">
        <v>114178</v>
      </c>
      <c r="CA357" s="69">
        <v>5834</v>
      </c>
      <c r="CB357" s="68">
        <v>133795</v>
      </c>
      <c r="CC357" s="68">
        <v>1377</v>
      </c>
      <c r="CD357" s="61"/>
      <c r="CE357" s="64"/>
      <c r="CF357" s="64"/>
      <c r="CG357" s="70">
        <f t="shared" si="27"/>
        <v>5619.39</v>
      </c>
      <c r="CH357" s="70">
        <f t="shared" si="28"/>
        <v>245.02799999999999</v>
      </c>
      <c r="CI357" s="70">
        <f t="shared" si="29"/>
        <v>57.834000000000003</v>
      </c>
      <c r="CJ357" s="70">
        <f t="shared" si="30"/>
        <v>4636.4639999999999</v>
      </c>
      <c r="CK357" s="70">
        <f t="shared" si="30"/>
        <v>4795.4759999999997</v>
      </c>
      <c r="CL357" s="70">
        <f t="shared" si="26"/>
        <v>0</v>
      </c>
      <c r="CM357" s="61"/>
      <c r="CN357" s="61"/>
      <c r="CO357" s="61"/>
      <c r="CP357" s="61"/>
      <c r="CQ357" s="61"/>
      <c r="CR357" s="61"/>
      <c r="CS357" s="61"/>
      <c r="CT357" s="61"/>
      <c r="CU357" s="61"/>
      <c r="CV357" s="61"/>
      <c r="CW357" s="61"/>
      <c r="CX357" s="61"/>
      <c r="CY357" s="61"/>
      <c r="CZ357" s="61"/>
      <c r="DA357" s="61"/>
      <c r="DB357" s="61"/>
      <c r="DC357" s="61"/>
      <c r="DD357" s="61"/>
      <c r="DE357" s="61"/>
      <c r="DF357" s="61"/>
      <c r="DG357" s="61"/>
      <c r="DH357" s="61"/>
      <c r="DI357" s="61"/>
      <c r="DJ357" s="61"/>
      <c r="DK357" s="61"/>
      <c r="DL357" s="61"/>
      <c r="DM357" s="61"/>
      <c r="DN357" s="61"/>
      <c r="DO357" s="61"/>
      <c r="DP357" s="61"/>
      <c r="DQ357" s="61"/>
      <c r="DR357" s="61"/>
      <c r="DS357" s="61"/>
      <c r="DT357" s="61"/>
      <c r="DU357" s="61"/>
      <c r="DV357" s="61"/>
      <c r="DW357" s="61"/>
      <c r="DX357" s="61"/>
      <c r="DY357" s="61"/>
      <c r="DZ357" s="61"/>
      <c r="EA357" s="61"/>
      <c r="EB357" s="61"/>
      <c r="EC357" s="61"/>
      <c r="ED357" s="61"/>
      <c r="EE357" s="61"/>
      <c r="EF357" s="61"/>
      <c r="EG357" s="61"/>
      <c r="EH357" s="61"/>
      <c r="EI357" s="61"/>
      <c r="EJ357" s="61"/>
      <c r="EK357" s="61"/>
      <c r="EL357" s="61"/>
      <c r="EM357" s="61"/>
      <c r="EN357" s="61"/>
      <c r="EO357" s="61"/>
      <c r="EP357" s="61"/>
      <c r="EQ357" s="61"/>
      <c r="ER357" s="61"/>
      <c r="ES357" s="61"/>
      <c r="ET357" s="61"/>
      <c r="EU357" s="61"/>
      <c r="EV357" s="61"/>
      <c r="EW357" s="61"/>
    </row>
    <row r="358" spans="1:153">
      <c r="A358" s="56">
        <v>37469</v>
      </c>
      <c r="B358" s="57">
        <v>2002</v>
      </c>
      <c r="C358" s="71">
        <v>0.115</v>
      </c>
      <c r="D358" s="61">
        <v>2E-3</v>
      </c>
      <c r="E358" s="61">
        <v>21.201000000000001</v>
      </c>
      <c r="F358" s="61">
        <v>0.89</v>
      </c>
      <c r="G358" s="61">
        <v>0.114</v>
      </c>
      <c r="H358" s="61">
        <v>7.2949999999999999</v>
      </c>
      <c r="I358" s="61">
        <v>4.7869999999999999</v>
      </c>
      <c r="J358" s="61">
        <v>2.508</v>
      </c>
      <c r="K358" s="61"/>
      <c r="L358" s="61"/>
      <c r="M358" s="61">
        <v>23.709</v>
      </c>
      <c r="N358" s="61">
        <v>0.996</v>
      </c>
      <c r="O358" s="71">
        <v>0.127</v>
      </c>
      <c r="P358" s="60">
        <v>163.55600000000001</v>
      </c>
      <c r="Q358" s="61">
        <v>25.417999999999999</v>
      </c>
      <c r="R358" s="61">
        <v>224.4</v>
      </c>
      <c r="S358" s="61">
        <v>469.65100000000001</v>
      </c>
      <c r="T358" s="61">
        <v>214.48699999999999</v>
      </c>
      <c r="U358" s="61">
        <v>14.5</v>
      </c>
      <c r="V358" s="61">
        <v>6.3289999999999997</v>
      </c>
      <c r="W358" s="61">
        <v>9.9359999999999999</v>
      </c>
      <c r="X358" s="61">
        <v>163.55600000000001</v>
      </c>
      <c r="Y358" s="61">
        <v>35.426000000000002</v>
      </c>
      <c r="Z358" s="61">
        <v>24.98</v>
      </c>
      <c r="AA358" s="61">
        <v>223.96299999999999</v>
      </c>
      <c r="AB358" s="60">
        <v>469.214</v>
      </c>
      <c r="AC358" s="62"/>
      <c r="AD358" s="61"/>
      <c r="AE358" s="61"/>
      <c r="AF358" s="61"/>
      <c r="AG358" s="61"/>
      <c r="AH358" s="61"/>
      <c r="AI358" s="61"/>
      <c r="AJ358" s="61"/>
      <c r="AK358" s="62"/>
      <c r="AL358" s="63"/>
      <c r="AM358" s="64"/>
      <c r="AN358" s="65" t="e">
        <v>#N/A</v>
      </c>
      <c r="AO358" s="61" t="e">
        <v>#N/A</v>
      </c>
      <c r="AP358" s="61" t="e">
        <v>#N/A</v>
      </c>
      <c r="AQ358" s="61" t="e">
        <v>#N/A</v>
      </c>
      <c r="AR358" s="61" t="e">
        <v>#N/A</v>
      </c>
      <c r="AS358" s="61" t="e">
        <v>#N/A</v>
      </c>
      <c r="AT358" s="61" t="e">
        <v>#N/A</v>
      </c>
      <c r="AU358" s="61" t="e">
        <v>#N/A</v>
      </c>
      <c r="AV358" s="61" t="e">
        <v>#N/A</v>
      </c>
      <c r="AW358" s="61" t="e">
        <v>#N/A</v>
      </c>
      <c r="AX358" s="65" t="e">
        <v>#N/A</v>
      </c>
      <c r="AY358" s="66">
        <v>0.86699999999999999</v>
      </c>
      <c r="AZ358" s="61">
        <v>5.4690000000000003</v>
      </c>
      <c r="BA358" s="61">
        <v>32.274000000000001</v>
      </c>
      <c r="BB358" s="61">
        <v>38.61</v>
      </c>
      <c r="BC358" s="61">
        <v>1.2E-2</v>
      </c>
      <c r="BD358" s="61">
        <v>0.74299999999999999</v>
      </c>
      <c r="BE358" s="61">
        <v>0.08</v>
      </c>
      <c r="BF358" s="61" t="s">
        <v>122</v>
      </c>
      <c r="BG358" s="61">
        <v>5.8540000000000001</v>
      </c>
      <c r="BH358" s="61">
        <v>2.5510000000000002</v>
      </c>
      <c r="BI358" s="61">
        <v>3.7999999999999999E-2</v>
      </c>
      <c r="BJ358" s="61">
        <v>8.4429999999999996</v>
      </c>
      <c r="BK358" s="66">
        <v>9.2780000000000005</v>
      </c>
      <c r="BL358" s="67">
        <v>13.829000000000001</v>
      </c>
      <c r="BM358" s="61">
        <v>0.127</v>
      </c>
      <c r="BN358" s="61" t="s">
        <v>121</v>
      </c>
      <c r="BO358" s="61" t="s">
        <v>121</v>
      </c>
      <c r="BP358" s="61">
        <v>13.956</v>
      </c>
      <c r="BQ358" s="61">
        <v>211.65799999999999</v>
      </c>
      <c r="BR358" s="61">
        <v>12.483000000000001</v>
      </c>
      <c r="BS358" s="61">
        <v>0.76200000000000001</v>
      </c>
      <c r="BT358" s="61">
        <v>9.9359999999999999</v>
      </c>
      <c r="BU358" s="61">
        <v>13.272</v>
      </c>
      <c r="BV358" s="61">
        <v>20.870999999999999</v>
      </c>
      <c r="BW358" s="61">
        <v>34.143000000000001</v>
      </c>
      <c r="BX358" s="67">
        <v>268.98200000000003</v>
      </c>
      <c r="BY358" s="68">
        <v>109689</v>
      </c>
      <c r="BZ358" s="68">
        <v>115561</v>
      </c>
      <c r="CA358" s="69">
        <v>6346</v>
      </c>
      <c r="CB358" s="68">
        <v>130584</v>
      </c>
      <c r="CC358" s="68">
        <v>3685</v>
      </c>
      <c r="CD358" s="61"/>
      <c r="CE358" s="64"/>
      <c r="CF358" s="64"/>
      <c r="CG358" s="70">
        <f t="shared" si="27"/>
        <v>5484.5280000000002</v>
      </c>
      <c r="CH358" s="70">
        <f t="shared" si="28"/>
        <v>266.53199999999998</v>
      </c>
      <c r="CI358" s="70">
        <f t="shared" si="29"/>
        <v>154.77000000000001</v>
      </c>
      <c r="CJ358" s="70">
        <f t="shared" si="30"/>
        <v>4606.9380000000001</v>
      </c>
      <c r="CK358" s="70">
        <f t="shared" si="30"/>
        <v>4853.5619999999999</v>
      </c>
      <c r="CL358" s="70">
        <f t="shared" si="26"/>
        <v>0</v>
      </c>
      <c r="CM358" s="61"/>
      <c r="CN358" s="61"/>
      <c r="CO358" s="61"/>
      <c r="CP358" s="61"/>
      <c r="CQ358" s="61"/>
      <c r="CR358" s="61"/>
      <c r="CS358" s="61"/>
      <c r="CT358" s="61"/>
      <c r="CU358" s="61"/>
      <c r="CV358" s="61"/>
      <c r="CW358" s="61"/>
      <c r="CX358" s="61"/>
      <c r="CY358" s="61"/>
      <c r="CZ358" s="61"/>
      <c r="DA358" s="61"/>
      <c r="DB358" s="61"/>
      <c r="DC358" s="61"/>
      <c r="DD358" s="61"/>
      <c r="DE358" s="61"/>
      <c r="DF358" s="61"/>
      <c r="DG358" s="61"/>
      <c r="DH358" s="61"/>
      <c r="DI358" s="61"/>
      <c r="DJ358" s="61"/>
      <c r="DK358" s="61"/>
      <c r="DL358" s="61"/>
      <c r="DM358" s="61"/>
      <c r="DN358" s="61"/>
      <c r="DO358" s="61"/>
      <c r="DP358" s="61"/>
      <c r="DQ358" s="61"/>
      <c r="DR358" s="61"/>
      <c r="DS358" s="61"/>
      <c r="DT358" s="61"/>
      <c r="DU358" s="61"/>
      <c r="DV358" s="61"/>
      <c r="DW358" s="61"/>
      <c r="DX358" s="61"/>
      <c r="DY358" s="61"/>
      <c r="DZ358" s="61"/>
      <c r="EA358" s="61"/>
      <c r="EB358" s="61"/>
      <c r="EC358" s="61"/>
      <c r="ED358" s="61"/>
      <c r="EE358" s="61"/>
      <c r="EF358" s="61"/>
      <c r="EG358" s="61"/>
      <c r="EH358" s="61"/>
      <c r="EI358" s="61"/>
      <c r="EJ358" s="61"/>
      <c r="EK358" s="61"/>
      <c r="EL358" s="61"/>
      <c r="EM358" s="61"/>
      <c r="EN358" s="61"/>
      <c r="EO358" s="61"/>
      <c r="EP358" s="61"/>
      <c r="EQ358" s="61"/>
      <c r="ER358" s="61"/>
      <c r="ES358" s="61"/>
      <c r="ET358" s="61"/>
      <c r="EU358" s="61"/>
      <c r="EV358" s="61"/>
      <c r="EW358" s="61"/>
    </row>
    <row r="359" spans="1:153">
      <c r="A359" s="56">
        <v>37500</v>
      </c>
      <c r="B359" s="57">
        <v>2002</v>
      </c>
      <c r="C359" s="71">
        <v>0.111</v>
      </c>
      <c r="D359" s="61">
        <v>2E-3</v>
      </c>
      <c r="E359" s="61">
        <v>20.516999999999999</v>
      </c>
      <c r="F359" s="61">
        <v>0.86199999999999999</v>
      </c>
      <c r="G359" s="61">
        <v>0.11</v>
      </c>
      <c r="H359" s="61">
        <v>7.0339999999999998</v>
      </c>
      <c r="I359" s="61">
        <v>3.7639999999999998</v>
      </c>
      <c r="J359" s="61">
        <v>3.27</v>
      </c>
      <c r="K359" s="61"/>
      <c r="L359" s="61"/>
      <c r="M359" s="61">
        <v>23.786999999999999</v>
      </c>
      <c r="N359" s="61">
        <v>0.999</v>
      </c>
      <c r="O359" s="71">
        <v>0.127</v>
      </c>
      <c r="P359" s="60">
        <v>171.21100000000001</v>
      </c>
      <c r="Q359" s="61">
        <v>26.251000000000001</v>
      </c>
      <c r="R359" s="61">
        <v>230.85499999999999</v>
      </c>
      <c r="S359" s="61">
        <v>431.88600000000002</v>
      </c>
      <c r="T359" s="61">
        <v>173.82400000000001</v>
      </c>
      <c r="U359" s="61">
        <v>14.109</v>
      </c>
      <c r="V359" s="61">
        <v>5.6120000000000001</v>
      </c>
      <c r="W359" s="61">
        <v>7.4859999999999998</v>
      </c>
      <c r="X359" s="61">
        <v>171.21100000000001</v>
      </c>
      <c r="Y359" s="61">
        <v>33.393999999999998</v>
      </c>
      <c r="Z359" s="61">
        <v>25.367000000000001</v>
      </c>
      <c r="AA359" s="61">
        <v>229.971</v>
      </c>
      <c r="AB359" s="60">
        <v>431.00200000000001</v>
      </c>
      <c r="AC359" s="62"/>
      <c r="AD359" s="61"/>
      <c r="AE359" s="61"/>
      <c r="AF359" s="61"/>
      <c r="AG359" s="61"/>
      <c r="AH359" s="61"/>
      <c r="AI359" s="61"/>
      <c r="AJ359" s="61"/>
      <c r="AK359" s="62"/>
      <c r="AL359" s="63"/>
      <c r="AM359" s="64"/>
      <c r="AN359" s="65" t="e">
        <v>#N/A</v>
      </c>
      <c r="AO359" s="61" t="e">
        <v>#N/A</v>
      </c>
      <c r="AP359" s="61" t="e">
        <v>#N/A</v>
      </c>
      <c r="AQ359" s="61" t="e">
        <v>#N/A</v>
      </c>
      <c r="AR359" s="61" t="e">
        <v>#N/A</v>
      </c>
      <c r="AS359" s="61" t="e">
        <v>#N/A</v>
      </c>
      <c r="AT359" s="61" t="e">
        <v>#N/A</v>
      </c>
      <c r="AU359" s="61" t="e">
        <v>#N/A</v>
      </c>
      <c r="AV359" s="61" t="e">
        <v>#N/A</v>
      </c>
      <c r="AW359" s="61" t="e">
        <v>#N/A</v>
      </c>
      <c r="AX359" s="65" t="e">
        <v>#N/A</v>
      </c>
      <c r="AY359" s="66">
        <v>0.83899999999999997</v>
      </c>
      <c r="AZ359" s="61">
        <v>4.9880000000000004</v>
      </c>
      <c r="BA359" s="61">
        <v>31.233000000000001</v>
      </c>
      <c r="BB359" s="61">
        <v>37.06</v>
      </c>
      <c r="BC359" s="61">
        <v>0.01</v>
      </c>
      <c r="BD359" s="61">
        <v>0.71899999999999997</v>
      </c>
      <c r="BE359" s="61">
        <v>7.2999999999999995E-2</v>
      </c>
      <c r="BF359" s="61" t="s">
        <v>122</v>
      </c>
      <c r="BG359" s="61">
        <v>5.6459999999999999</v>
      </c>
      <c r="BH359" s="61">
        <v>2.3530000000000002</v>
      </c>
      <c r="BI359" s="61">
        <v>3.7999999999999999E-2</v>
      </c>
      <c r="BJ359" s="61">
        <v>8.0370000000000008</v>
      </c>
      <c r="BK359" s="66">
        <v>8.84</v>
      </c>
      <c r="BL359" s="67">
        <v>13.859</v>
      </c>
      <c r="BM359" s="61">
        <v>0.127</v>
      </c>
      <c r="BN359" s="61" t="s">
        <v>121</v>
      </c>
      <c r="BO359" s="61" t="s">
        <v>121</v>
      </c>
      <c r="BP359" s="61">
        <v>13.987</v>
      </c>
      <c r="BQ359" s="61">
        <v>171.30099999999999</v>
      </c>
      <c r="BR359" s="61">
        <v>12.157999999999999</v>
      </c>
      <c r="BS359" s="61">
        <v>0.53500000000000003</v>
      </c>
      <c r="BT359" s="61">
        <v>7.4859999999999998</v>
      </c>
      <c r="BU359" s="61">
        <v>13.808</v>
      </c>
      <c r="BV359" s="61">
        <v>19.492000000000001</v>
      </c>
      <c r="BW359" s="61">
        <v>33.299999999999997</v>
      </c>
      <c r="BX359" s="67">
        <v>224.78</v>
      </c>
      <c r="BY359" s="68">
        <v>106082</v>
      </c>
      <c r="BZ359" s="68">
        <v>111897</v>
      </c>
      <c r="CA359" s="69">
        <v>5883</v>
      </c>
      <c r="CB359" s="68">
        <v>126853</v>
      </c>
      <c r="CC359" s="68">
        <v>3799</v>
      </c>
      <c r="CD359" s="61"/>
      <c r="CE359" s="64"/>
      <c r="CF359" s="64"/>
      <c r="CG359" s="70">
        <f t="shared" si="27"/>
        <v>5327.826</v>
      </c>
      <c r="CH359" s="70">
        <f t="shared" si="28"/>
        <v>247.08600000000001</v>
      </c>
      <c r="CI359" s="70">
        <f t="shared" si="29"/>
        <v>159.55799999999999</v>
      </c>
      <c r="CJ359" s="70">
        <f t="shared" si="30"/>
        <v>4455.4440000000004</v>
      </c>
      <c r="CK359" s="70">
        <f t="shared" si="30"/>
        <v>4699.674</v>
      </c>
      <c r="CL359" s="70">
        <f t="shared" si="26"/>
        <v>0</v>
      </c>
      <c r="CM359" s="61"/>
      <c r="CN359" s="61"/>
      <c r="CO359" s="61"/>
      <c r="CP359" s="61"/>
      <c r="CQ359" s="61"/>
      <c r="CR359" s="61"/>
      <c r="CS359" s="61"/>
      <c r="CT359" s="61"/>
      <c r="CU359" s="61"/>
      <c r="CV359" s="61"/>
      <c r="CW359" s="61"/>
      <c r="CX359" s="61"/>
      <c r="CY359" s="61"/>
      <c r="CZ359" s="61"/>
      <c r="DA359" s="61"/>
      <c r="DB359" s="61"/>
      <c r="DC359" s="61"/>
      <c r="DD359" s="61"/>
      <c r="DE359" s="61"/>
      <c r="DF359" s="61"/>
      <c r="DG359" s="61"/>
      <c r="DH359" s="61"/>
      <c r="DI359" s="61"/>
      <c r="DJ359" s="61"/>
      <c r="DK359" s="61"/>
      <c r="DL359" s="61"/>
      <c r="DM359" s="61"/>
      <c r="DN359" s="61"/>
      <c r="DO359" s="61"/>
      <c r="DP359" s="61"/>
      <c r="DQ359" s="61"/>
      <c r="DR359" s="61"/>
      <c r="DS359" s="61"/>
      <c r="DT359" s="61"/>
      <c r="DU359" s="61"/>
      <c r="DV359" s="61"/>
      <c r="DW359" s="61"/>
      <c r="DX359" s="61"/>
      <c r="DY359" s="61"/>
      <c r="DZ359" s="61"/>
      <c r="EA359" s="61"/>
      <c r="EB359" s="61"/>
      <c r="EC359" s="61"/>
      <c r="ED359" s="61"/>
      <c r="EE359" s="61"/>
      <c r="EF359" s="61"/>
      <c r="EG359" s="61"/>
      <c r="EH359" s="61"/>
      <c r="EI359" s="61"/>
      <c r="EJ359" s="61"/>
      <c r="EK359" s="61"/>
      <c r="EL359" s="61"/>
      <c r="EM359" s="61"/>
      <c r="EN359" s="61"/>
      <c r="EO359" s="61"/>
      <c r="EP359" s="61"/>
      <c r="EQ359" s="61"/>
      <c r="ER359" s="61"/>
      <c r="ES359" s="61"/>
      <c r="ET359" s="61"/>
      <c r="EU359" s="61"/>
      <c r="EV359" s="61"/>
      <c r="EW359" s="61"/>
    </row>
    <row r="360" spans="1:153">
      <c r="A360" s="56">
        <v>37530</v>
      </c>
      <c r="B360" s="57">
        <v>2002</v>
      </c>
      <c r="C360" s="71">
        <v>0.115</v>
      </c>
      <c r="D360" s="61">
        <v>2E-3</v>
      </c>
      <c r="E360" s="61">
        <v>21.201000000000001</v>
      </c>
      <c r="F360" s="61">
        <v>0.89</v>
      </c>
      <c r="G360" s="61">
        <v>0.114</v>
      </c>
      <c r="H360" s="61">
        <v>8.8130000000000006</v>
      </c>
      <c r="I360" s="61">
        <v>4.8129999999999997</v>
      </c>
      <c r="J360" s="61">
        <v>4.0010000000000003</v>
      </c>
      <c r="K360" s="61"/>
      <c r="L360" s="61"/>
      <c r="M360" s="61">
        <v>25.201000000000001</v>
      </c>
      <c r="N360" s="61">
        <v>1.0580000000000001</v>
      </c>
      <c r="O360" s="71">
        <v>0.13500000000000001</v>
      </c>
      <c r="P360" s="60">
        <v>180.316</v>
      </c>
      <c r="Q360" s="61">
        <v>29.849</v>
      </c>
      <c r="R360" s="61">
        <v>243.767</v>
      </c>
      <c r="S360" s="61">
        <v>445.44499999999999</v>
      </c>
      <c r="T360" s="61">
        <v>174.684</v>
      </c>
      <c r="U360" s="61">
        <v>14.581</v>
      </c>
      <c r="V360" s="61">
        <v>4.9420000000000002</v>
      </c>
      <c r="W360" s="61">
        <v>7.4710000000000001</v>
      </c>
      <c r="X360" s="61">
        <v>180.316</v>
      </c>
      <c r="Y360" s="61">
        <v>33.603000000000002</v>
      </c>
      <c r="Z360" s="61">
        <v>29.756</v>
      </c>
      <c r="AA360" s="61">
        <v>243.67400000000001</v>
      </c>
      <c r="AB360" s="60">
        <v>445.35199999999998</v>
      </c>
      <c r="AC360" s="62"/>
      <c r="AD360" s="61"/>
      <c r="AE360" s="61"/>
      <c r="AF360" s="61"/>
      <c r="AG360" s="61"/>
      <c r="AH360" s="61"/>
      <c r="AI360" s="61"/>
      <c r="AJ360" s="61"/>
      <c r="AK360" s="62"/>
      <c r="AL360" s="63"/>
      <c r="AM360" s="64"/>
      <c r="AN360" s="65" t="e">
        <v>#N/A</v>
      </c>
      <c r="AO360" s="61" t="e">
        <v>#N/A</v>
      </c>
      <c r="AP360" s="61" t="e">
        <v>#N/A</v>
      </c>
      <c r="AQ360" s="61" t="e">
        <v>#N/A</v>
      </c>
      <c r="AR360" s="61" t="e">
        <v>#N/A</v>
      </c>
      <c r="AS360" s="61" t="e">
        <v>#N/A</v>
      </c>
      <c r="AT360" s="61" t="e">
        <v>#N/A</v>
      </c>
      <c r="AU360" s="61" t="e">
        <v>#N/A</v>
      </c>
      <c r="AV360" s="61" t="e">
        <v>#N/A</v>
      </c>
      <c r="AW360" s="61" t="e">
        <v>#N/A</v>
      </c>
      <c r="AX360" s="65" t="e">
        <v>#N/A</v>
      </c>
      <c r="AY360" s="66">
        <v>0.86699999999999999</v>
      </c>
      <c r="AZ360" s="61">
        <v>4.5460000000000003</v>
      </c>
      <c r="BA360" s="61">
        <v>32.274000000000001</v>
      </c>
      <c r="BB360" s="61">
        <v>37.686999999999998</v>
      </c>
      <c r="BC360" s="61">
        <v>0.01</v>
      </c>
      <c r="BD360" s="61">
        <v>0.74299999999999999</v>
      </c>
      <c r="BE360" s="61">
        <v>6.7000000000000004E-2</v>
      </c>
      <c r="BF360" s="61" t="s">
        <v>122</v>
      </c>
      <c r="BG360" s="61">
        <v>5.8159999999999998</v>
      </c>
      <c r="BH360" s="61">
        <v>2.306</v>
      </c>
      <c r="BI360" s="61">
        <v>4.5999999999999999E-2</v>
      </c>
      <c r="BJ360" s="61">
        <v>8.1669999999999998</v>
      </c>
      <c r="BK360" s="66">
        <v>8.9879999999999995</v>
      </c>
      <c r="BL360" s="67">
        <v>16.657</v>
      </c>
      <c r="BM360" s="61">
        <v>0.13500000000000001</v>
      </c>
      <c r="BN360" s="61" t="s">
        <v>121</v>
      </c>
      <c r="BO360" s="61" t="s">
        <v>121</v>
      </c>
      <c r="BP360" s="61">
        <v>16.792000000000002</v>
      </c>
      <c r="BQ360" s="61">
        <v>171.18799999999999</v>
      </c>
      <c r="BR360" s="61">
        <v>12.564</v>
      </c>
      <c r="BS360" s="61">
        <v>0.315</v>
      </c>
      <c r="BT360" s="61">
        <v>7.4710000000000001</v>
      </c>
      <c r="BU360" s="61">
        <v>12.702999999999999</v>
      </c>
      <c r="BV360" s="61">
        <v>18.931999999999999</v>
      </c>
      <c r="BW360" s="61">
        <v>31.635000000000002</v>
      </c>
      <c r="BX360" s="67">
        <v>223.17400000000001</v>
      </c>
      <c r="BY360" s="68">
        <v>104782</v>
      </c>
      <c r="BZ360" s="68">
        <v>118053</v>
      </c>
      <c r="CA360" s="69">
        <v>10836</v>
      </c>
      <c r="CB360" s="68">
        <v>121433</v>
      </c>
      <c r="CC360" s="68">
        <v>2985</v>
      </c>
      <c r="CD360" s="61"/>
      <c r="CE360" s="64"/>
      <c r="CF360" s="64"/>
      <c r="CG360" s="70">
        <f t="shared" si="27"/>
        <v>5100.1859999999997</v>
      </c>
      <c r="CH360" s="70">
        <f t="shared" si="28"/>
        <v>455.11200000000002</v>
      </c>
      <c r="CI360" s="70">
        <f t="shared" si="29"/>
        <v>125.37</v>
      </c>
      <c r="CJ360" s="70">
        <f t="shared" si="30"/>
        <v>4400.8440000000001</v>
      </c>
      <c r="CK360" s="70">
        <f t="shared" si="30"/>
        <v>4958.2259999999997</v>
      </c>
      <c r="CL360" s="70">
        <f t="shared" si="26"/>
        <v>0</v>
      </c>
      <c r="CM360" s="61"/>
      <c r="CN360" s="61"/>
      <c r="CO360" s="61"/>
      <c r="CP360" s="61"/>
      <c r="CQ360" s="61"/>
      <c r="CR360" s="61"/>
      <c r="CS360" s="61"/>
      <c r="CT360" s="61"/>
      <c r="CU360" s="61"/>
      <c r="CV360" s="61"/>
      <c r="CW360" s="61"/>
      <c r="CX360" s="61"/>
      <c r="CY360" s="61"/>
      <c r="CZ360" s="61"/>
      <c r="DA360" s="61"/>
      <c r="DB360" s="61"/>
      <c r="DC360" s="61"/>
      <c r="DD360" s="61"/>
      <c r="DE360" s="61"/>
      <c r="DF360" s="61"/>
      <c r="DG360" s="61"/>
      <c r="DH360" s="61"/>
      <c r="DI360" s="61"/>
      <c r="DJ360" s="61"/>
      <c r="DK360" s="61"/>
      <c r="DL360" s="61"/>
      <c r="DM360" s="61"/>
      <c r="DN360" s="61"/>
      <c r="DO360" s="61"/>
      <c r="DP360" s="61"/>
      <c r="DQ360" s="61"/>
      <c r="DR360" s="61"/>
      <c r="DS360" s="61"/>
      <c r="DT360" s="61"/>
      <c r="DU360" s="61"/>
      <c r="DV360" s="61"/>
      <c r="DW360" s="61"/>
      <c r="DX360" s="61"/>
      <c r="DY360" s="61"/>
      <c r="DZ360" s="61"/>
      <c r="EA360" s="61"/>
      <c r="EB360" s="61"/>
      <c r="EC360" s="61"/>
      <c r="ED360" s="61"/>
      <c r="EE360" s="61"/>
      <c r="EF360" s="61"/>
      <c r="EG360" s="61"/>
      <c r="EH360" s="61"/>
      <c r="EI360" s="61"/>
      <c r="EJ360" s="61"/>
      <c r="EK360" s="61"/>
      <c r="EL360" s="61"/>
      <c r="EM360" s="61"/>
      <c r="EN360" s="61"/>
      <c r="EO360" s="61"/>
      <c r="EP360" s="61"/>
      <c r="EQ360" s="61"/>
      <c r="ER360" s="61"/>
      <c r="ES360" s="61"/>
      <c r="ET360" s="61"/>
      <c r="EU360" s="61"/>
      <c r="EV360" s="61"/>
      <c r="EW360" s="61"/>
    </row>
    <row r="361" spans="1:153">
      <c r="A361" s="56">
        <v>37561</v>
      </c>
      <c r="B361" s="57">
        <v>2002</v>
      </c>
      <c r="C361" s="71">
        <v>0.111</v>
      </c>
      <c r="D361" s="61">
        <v>2E-3</v>
      </c>
      <c r="E361" s="61">
        <v>20.516999999999999</v>
      </c>
      <c r="F361" s="61">
        <v>0.86199999999999999</v>
      </c>
      <c r="G361" s="61">
        <v>0.11</v>
      </c>
      <c r="H361" s="61">
        <v>11.5</v>
      </c>
      <c r="I361" s="61">
        <v>5.157</v>
      </c>
      <c r="J361" s="61">
        <v>6.343</v>
      </c>
      <c r="K361" s="61"/>
      <c r="L361" s="61"/>
      <c r="M361" s="61">
        <v>26.86</v>
      </c>
      <c r="N361" s="61">
        <v>1.1279999999999999</v>
      </c>
      <c r="O361" s="71">
        <v>0.14399999999999999</v>
      </c>
      <c r="P361" s="60">
        <v>166.49199999999999</v>
      </c>
      <c r="Q361" s="61">
        <v>30.001000000000001</v>
      </c>
      <c r="R361" s="61">
        <v>230.328</v>
      </c>
      <c r="S361" s="61">
        <v>455.84800000000001</v>
      </c>
      <c r="T361" s="61">
        <v>200.714</v>
      </c>
      <c r="U361" s="61">
        <v>14.051</v>
      </c>
      <c r="V361" s="61">
        <v>4.0819999999999999</v>
      </c>
      <c r="W361" s="61">
        <v>6.673</v>
      </c>
      <c r="X361" s="61">
        <v>166.49199999999999</v>
      </c>
      <c r="Y361" s="61">
        <v>33.835000000000001</v>
      </c>
      <c r="Z361" s="61">
        <v>32.207000000000001</v>
      </c>
      <c r="AA361" s="61">
        <v>232.53299999999999</v>
      </c>
      <c r="AB361" s="60">
        <v>458.053</v>
      </c>
      <c r="AC361" s="62"/>
      <c r="AD361" s="61"/>
      <c r="AE361" s="61"/>
      <c r="AF361" s="61"/>
      <c r="AG361" s="61"/>
      <c r="AH361" s="61"/>
      <c r="AI361" s="61"/>
      <c r="AJ361" s="61"/>
      <c r="AK361" s="62"/>
      <c r="AL361" s="63"/>
      <c r="AM361" s="64"/>
      <c r="AN361" s="65" t="e">
        <v>#N/A</v>
      </c>
      <c r="AO361" s="61" t="e">
        <v>#N/A</v>
      </c>
      <c r="AP361" s="61" t="e">
        <v>#N/A</v>
      </c>
      <c r="AQ361" s="61" t="e">
        <v>#N/A</v>
      </c>
      <c r="AR361" s="61" t="e">
        <v>#N/A</v>
      </c>
      <c r="AS361" s="61" t="e">
        <v>#N/A</v>
      </c>
      <c r="AT361" s="61" t="e">
        <v>#N/A</v>
      </c>
      <c r="AU361" s="61" t="e">
        <v>#N/A</v>
      </c>
      <c r="AV361" s="61" t="e">
        <v>#N/A</v>
      </c>
      <c r="AW361" s="61" t="e">
        <v>#N/A</v>
      </c>
      <c r="AX361" s="65" t="e">
        <v>#N/A</v>
      </c>
      <c r="AY361" s="66">
        <v>0.83899999999999997</v>
      </c>
      <c r="AZ361" s="61">
        <v>3.7290000000000001</v>
      </c>
      <c r="BA361" s="61">
        <v>31.233000000000001</v>
      </c>
      <c r="BB361" s="61">
        <v>35.801000000000002</v>
      </c>
      <c r="BC361" s="61">
        <v>1.2999999999999999E-2</v>
      </c>
      <c r="BD361" s="61">
        <v>0.71899999999999997</v>
      </c>
      <c r="BE361" s="61">
        <v>5.5E-2</v>
      </c>
      <c r="BF361" s="61" t="s">
        <v>122</v>
      </c>
      <c r="BG361" s="61">
        <v>5.6219999999999999</v>
      </c>
      <c r="BH361" s="61">
        <v>2.2440000000000002</v>
      </c>
      <c r="BI361" s="61">
        <v>5.1999999999999998E-2</v>
      </c>
      <c r="BJ361" s="61">
        <v>7.9180000000000001</v>
      </c>
      <c r="BK361" s="66">
        <v>8.7040000000000006</v>
      </c>
      <c r="BL361" s="67">
        <v>18.983000000000001</v>
      </c>
      <c r="BM361" s="61">
        <v>0.14399999999999999</v>
      </c>
      <c r="BN361" s="61" t="s">
        <v>121</v>
      </c>
      <c r="BO361" s="61" t="s">
        <v>121</v>
      </c>
      <c r="BP361" s="61">
        <v>19.126999999999999</v>
      </c>
      <c r="BQ361" s="61">
        <v>196.15199999999999</v>
      </c>
      <c r="BR361" s="61">
        <v>12.099</v>
      </c>
      <c r="BS361" s="61">
        <v>0.28699999999999998</v>
      </c>
      <c r="BT361" s="61">
        <v>6.673</v>
      </c>
      <c r="BU361" s="61">
        <v>13.166</v>
      </c>
      <c r="BV361" s="61">
        <v>18.622</v>
      </c>
      <c r="BW361" s="61">
        <v>31.788</v>
      </c>
      <c r="BX361" s="67">
        <v>247</v>
      </c>
      <c r="BY361" s="68">
        <v>113045</v>
      </c>
      <c r="BZ361" s="68">
        <v>117870</v>
      </c>
      <c r="CA361" s="69">
        <v>11202</v>
      </c>
      <c r="CB361" s="68">
        <v>124403</v>
      </c>
      <c r="CC361" s="68">
        <v>3407</v>
      </c>
      <c r="CD361" s="61"/>
      <c r="CE361" s="64"/>
      <c r="CF361" s="64"/>
      <c r="CG361" s="70">
        <f t="shared" si="27"/>
        <v>5224.9260000000004</v>
      </c>
      <c r="CH361" s="70">
        <f t="shared" si="28"/>
        <v>470.48399999999998</v>
      </c>
      <c r="CI361" s="70">
        <f t="shared" si="29"/>
        <v>143.09399999999999</v>
      </c>
      <c r="CJ361" s="70">
        <f t="shared" si="30"/>
        <v>4747.8900000000003</v>
      </c>
      <c r="CK361" s="70">
        <f t="shared" si="30"/>
        <v>4950.54</v>
      </c>
      <c r="CL361" s="70">
        <f t="shared" si="26"/>
        <v>0</v>
      </c>
      <c r="CM361" s="61"/>
      <c r="CN361" s="61"/>
      <c r="CO361" s="61"/>
      <c r="CP361" s="61"/>
      <c r="CQ361" s="61"/>
      <c r="CR361" s="61"/>
      <c r="CS361" s="61"/>
      <c r="CT361" s="61"/>
      <c r="CU361" s="61"/>
      <c r="CV361" s="61"/>
      <c r="CW361" s="61"/>
      <c r="CX361" s="61"/>
      <c r="CY361" s="61"/>
      <c r="CZ361" s="61"/>
      <c r="DA361" s="61"/>
      <c r="DB361" s="61"/>
      <c r="DC361" s="61"/>
      <c r="DD361" s="61"/>
      <c r="DE361" s="61"/>
      <c r="DF361" s="61"/>
      <c r="DG361" s="61"/>
      <c r="DH361" s="61"/>
      <c r="DI361" s="61"/>
      <c r="DJ361" s="61"/>
      <c r="DK361" s="61"/>
      <c r="DL361" s="61"/>
      <c r="DM361" s="61"/>
      <c r="DN361" s="61"/>
      <c r="DO361" s="61"/>
      <c r="DP361" s="61"/>
      <c r="DQ361" s="61"/>
      <c r="DR361" s="61"/>
      <c r="DS361" s="61"/>
      <c r="DT361" s="61"/>
      <c r="DU361" s="61"/>
      <c r="DV361" s="61"/>
      <c r="DW361" s="61"/>
      <c r="DX361" s="61"/>
      <c r="DY361" s="61"/>
      <c r="DZ361" s="61"/>
      <c r="EA361" s="61"/>
      <c r="EB361" s="61"/>
      <c r="EC361" s="61"/>
      <c r="ED361" s="61"/>
      <c r="EE361" s="61"/>
      <c r="EF361" s="61"/>
      <c r="EG361" s="61"/>
      <c r="EH361" s="61"/>
      <c r="EI361" s="61"/>
      <c r="EJ361" s="61"/>
      <c r="EK361" s="61"/>
      <c r="EL361" s="61"/>
      <c r="EM361" s="61"/>
      <c r="EN361" s="61"/>
      <c r="EO361" s="61"/>
      <c r="EP361" s="61"/>
      <c r="EQ361" s="61"/>
      <c r="ER361" s="61"/>
      <c r="ES361" s="61"/>
      <c r="ET361" s="61"/>
      <c r="EU361" s="61"/>
      <c r="EV361" s="61"/>
      <c r="EW361" s="61"/>
    </row>
    <row r="362" spans="1:153">
      <c r="A362" s="56">
        <v>37591</v>
      </c>
      <c r="B362" s="57">
        <v>2002</v>
      </c>
      <c r="C362" s="71">
        <v>0.115</v>
      </c>
      <c r="D362" s="61">
        <v>2E-3</v>
      </c>
      <c r="E362" s="61">
        <v>21.201000000000001</v>
      </c>
      <c r="F362" s="61">
        <v>0.89</v>
      </c>
      <c r="G362" s="61">
        <v>0.114</v>
      </c>
      <c r="H362" s="61">
        <v>10.38</v>
      </c>
      <c r="I362" s="61">
        <v>5.1840000000000002</v>
      </c>
      <c r="J362" s="61">
        <v>5.1950000000000003</v>
      </c>
      <c r="K362" s="61"/>
      <c r="L362" s="61"/>
      <c r="M362" s="61">
        <v>26.396000000000001</v>
      </c>
      <c r="N362" s="61">
        <v>1.109</v>
      </c>
      <c r="O362" s="71">
        <v>0.14099999999999999</v>
      </c>
      <c r="P362" s="60">
        <v>174.13300000000001</v>
      </c>
      <c r="Q362" s="61">
        <v>32.930999999999997</v>
      </c>
      <c r="R362" s="61">
        <v>242.334</v>
      </c>
      <c r="S362" s="61">
        <v>488.69099999999997</v>
      </c>
      <c r="T362" s="61">
        <v>220.434</v>
      </c>
      <c r="U362" s="61">
        <v>14.593999999999999</v>
      </c>
      <c r="V362" s="61">
        <v>3.6469999999999998</v>
      </c>
      <c r="W362" s="61">
        <v>7.6829999999999998</v>
      </c>
      <c r="X362" s="61">
        <v>174.13300000000001</v>
      </c>
      <c r="Y362" s="61">
        <v>35.270000000000003</v>
      </c>
      <c r="Z362" s="61">
        <v>32.335000000000001</v>
      </c>
      <c r="AA362" s="61">
        <v>241.73699999999999</v>
      </c>
      <c r="AB362" s="60">
        <v>488.09500000000003</v>
      </c>
      <c r="AC362" s="62"/>
      <c r="AD362" s="61"/>
      <c r="AE362" s="61"/>
      <c r="AF362" s="61"/>
      <c r="AG362" s="61"/>
      <c r="AH362" s="61"/>
      <c r="AI362" s="61"/>
      <c r="AJ362" s="61"/>
      <c r="AK362" s="62"/>
      <c r="AL362" s="63"/>
      <c r="AM362" s="64"/>
      <c r="AN362" s="65" t="e">
        <v>#N/A</v>
      </c>
      <c r="AO362" s="61" t="e">
        <v>#N/A</v>
      </c>
      <c r="AP362" s="61" t="e">
        <v>#N/A</v>
      </c>
      <c r="AQ362" s="61" t="e">
        <v>#N/A</v>
      </c>
      <c r="AR362" s="61" t="e">
        <v>#N/A</v>
      </c>
      <c r="AS362" s="61" t="e">
        <v>#N/A</v>
      </c>
      <c r="AT362" s="61" t="e">
        <v>#N/A</v>
      </c>
      <c r="AU362" s="61" t="e">
        <v>#N/A</v>
      </c>
      <c r="AV362" s="61" t="e">
        <v>#N/A</v>
      </c>
      <c r="AW362" s="61" t="e">
        <v>#N/A</v>
      </c>
      <c r="AX362" s="65" t="e">
        <v>#N/A</v>
      </c>
      <c r="AY362" s="66">
        <v>0.86699999999999999</v>
      </c>
      <c r="AZ362" s="61">
        <v>3.54</v>
      </c>
      <c r="BA362" s="61">
        <v>32.274000000000001</v>
      </c>
      <c r="BB362" s="61">
        <v>36.68</v>
      </c>
      <c r="BC362" s="61">
        <v>1.2999999999999999E-2</v>
      </c>
      <c r="BD362" s="61">
        <v>0.74299999999999999</v>
      </c>
      <c r="BE362" s="61">
        <v>5.1999999999999998E-2</v>
      </c>
      <c r="BF362" s="61" t="s">
        <v>122</v>
      </c>
      <c r="BG362" s="61">
        <v>5.8239999999999998</v>
      </c>
      <c r="BH362" s="61">
        <v>1.907</v>
      </c>
      <c r="BI362" s="61">
        <v>4.9000000000000002E-2</v>
      </c>
      <c r="BJ362" s="61">
        <v>7.78</v>
      </c>
      <c r="BK362" s="66">
        <v>8.5879999999999992</v>
      </c>
      <c r="BL362" s="67">
        <v>17.896000000000001</v>
      </c>
      <c r="BM362" s="61">
        <v>0.14099999999999999</v>
      </c>
      <c r="BN362" s="61" t="s">
        <v>121</v>
      </c>
      <c r="BO362" s="61" t="s">
        <v>121</v>
      </c>
      <c r="BP362" s="61">
        <v>18.038</v>
      </c>
      <c r="BQ362" s="61">
        <v>215.03700000000001</v>
      </c>
      <c r="BR362" s="61">
        <v>12.577999999999999</v>
      </c>
      <c r="BS362" s="61">
        <v>4.3999999999999997E-2</v>
      </c>
      <c r="BT362" s="61">
        <v>7.6829999999999998</v>
      </c>
      <c r="BU362" s="61">
        <v>14.125</v>
      </c>
      <c r="BV362" s="61">
        <v>20.030999999999999</v>
      </c>
      <c r="BW362" s="61">
        <v>34.155999999999999</v>
      </c>
      <c r="BX362" s="67">
        <v>269.49700000000001</v>
      </c>
      <c r="BY362" s="68">
        <v>121571</v>
      </c>
      <c r="BZ362" s="68">
        <v>121950</v>
      </c>
      <c r="CA362" s="69">
        <v>15370</v>
      </c>
      <c r="CB362" s="68">
        <v>134085</v>
      </c>
      <c r="CC362" s="68">
        <v>5309</v>
      </c>
      <c r="CD362" s="61"/>
      <c r="CE362" s="64"/>
      <c r="CF362" s="64"/>
      <c r="CG362" s="70">
        <f t="shared" si="27"/>
        <v>5631.57</v>
      </c>
      <c r="CH362" s="70">
        <f t="shared" si="28"/>
        <v>645.54</v>
      </c>
      <c r="CI362" s="70">
        <f t="shared" si="29"/>
        <v>222.97800000000001</v>
      </c>
      <c r="CJ362" s="70">
        <f t="shared" si="30"/>
        <v>5105.982</v>
      </c>
      <c r="CK362" s="70">
        <f t="shared" si="30"/>
        <v>5121.8999999999996</v>
      </c>
      <c r="CL362" s="70">
        <f t="shared" si="26"/>
        <v>0</v>
      </c>
      <c r="CM362" s="61"/>
      <c r="CN362" s="61"/>
      <c r="CO362" s="61"/>
      <c r="CP362" s="61"/>
      <c r="CQ362" s="61"/>
      <c r="CR362" s="61"/>
      <c r="CS362" s="61"/>
      <c r="CT362" s="61"/>
      <c r="CU362" s="61"/>
      <c r="CV362" s="61"/>
      <c r="CW362" s="61"/>
      <c r="CX362" s="61"/>
      <c r="CY362" s="61"/>
      <c r="CZ362" s="61"/>
      <c r="DA362" s="61"/>
      <c r="DB362" s="61"/>
      <c r="DC362" s="61"/>
      <c r="DD362" s="61"/>
      <c r="DE362" s="61"/>
      <c r="DF362" s="61"/>
      <c r="DG362" s="61"/>
      <c r="DH362" s="61"/>
      <c r="DI362" s="61"/>
      <c r="DJ362" s="61"/>
      <c r="DK362" s="61"/>
      <c r="DL362" s="61"/>
      <c r="DM362" s="61"/>
      <c r="DN362" s="61"/>
      <c r="DO362" s="61"/>
      <c r="DP362" s="61"/>
      <c r="DQ362" s="61"/>
      <c r="DR362" s="61"/>
      <c r="DS362" s="61"/>
      <c r="DT362" s="61"/>
      <c r="DU362" s="61"/>
      <c r="DV362" s="61"/>
      <c r="DW362" s="61"/>
      <c r="DX362" s="61"/>
      <c r="DY362" s="61"/>
      <c r="DZ362" s="61"/>
      <c r="EA362" s="61"/>
      <c r="EB362" s="61"/>
      <c r="EC362" s="61"/>
      <c r="ED362" s="61"/>
      <c r="EE362" s="61"/>
      <c r="EF362" s="61"/>
      <c r="EG362" s="61"/>
      <c r="EH362" s="61"/>
      <c r="EI362" s="61"/>
      <c r="EJ362" s="61"/>
      <c r="EK362" s="61"/>
      <c r="EL362" s="61"/>
      <c r="EM362" s="61"/>
      <c r="EN362" s="61"/>
      <c r="EO362" s="61"/>
      <c r="EP362" s="61"/>
      <c r="EQ362" s="61"/>
      <c r="ER362" s="61"/>
      <c r="ES362" s="61"/>
      <c r="ET362" s="61"/>
      <c r="EU362" s="61"/>
      <c r="EV362" s="61"/>
      <c r="EW362" s="61"/>
    </row>
    <row r="363" spans="1:153">
      <c r="A363" s="56">
        <v>37622</v>
      </c>
      <c r="B363" s="57">
        <v>2003</v>
      </c>
      <c r="C363" s="71">
        <v>0.156</v>
      </c>
      <c r="D363" s="61">
        <v>2E-3</v>
      </c>
      <c r="E363" s="61">
        <v>28.734000000000002</v>
      </c>
      <c r="F363" s="61">
        <v>1.2070000000000001</v>
      </c>
      <c r="G363" s="61">
        <v>0.154</v>
      </c>
      <c r="H363" s="61">
        <v>14.164999999999999</v>
      </c>
      <c r="I363" s="61">
        <v>8.8960000000000008</v>
      </c>
      <c r="J363" s="61">
        <v>5.2679999999999998</v>
      </c>
      <c r="K363" s="61"/>
      <c r="L363" s="61"/>
      <c r="M363" s="61">
        <v>34.002000000000002</v>
      </c>
      <c r="N363" s="61">
        <v>1.4279999999999999</v>
      </c>
      <c r="O363" s="71">
        <v>0.182</v>
      </c>
      <c r="P363" s="60">
        <v>169.56399999999999</v>
      </c>
      <c r="Q363" s="61">
        <v>33.049999999999997</v>
      </c>
      <c r="R363" s="61">
        <v>237.04400000000001</v>
      </c>
      <c r="S363" s="61">
        <v>470.084</v>
      </c>
      <c r="T363" s="61">
        <v>208.57599999999999</v>
      </c>
      <c r="U363" s="61">
        <v>15.061</v>
      </c>
      <c r="V363" s="61">
        <v>3.0009999999999999</v>
      </c>
      <c r="W363" s="61">
        <v>6.4020000000000001</v>
      </c>
      <c r="X363" s="61">
        <v>169.56399999999999</v>
      </c>
      <c r="Y363" s="61">
        <v>34.430999999999997</v>
      </c>
      <c r="Z363" s="61">
        <v>30.722999999999999</v>
      </c>
      <c r="AA363" s="61">
        <v>234.71700000000001</v>
      </c>
      <c r="AB363" s="60">
        <v>467.75700000000001</v>
      </c>
      <c r="AC363" s="62"/>
      <c r="AD363" s="61"/>
      <c r="AE363" s="61"/>
      <c r="AF363" s="61"/>
      <c r="AG363" s="61"/>
      <c r="AH363" s="61"/>
      <c r="AI363" s="61"/>
      <c r="AJ363" s="61"/>
      <c r="AK363" s="62"/>
      <c r="AL363" s="63"/>
      <c r="AM363" s="64"/>
      <c r="AN363" s="65" t="e">
        <v>#N/A</v>
      </c>
      <c r="AO363" s="61" t="e">
        <v>#N/A</v>
      </c>
      <c r="AP363" s="61" t="e">
        <v>#N/A</v>
      </c>
      <c r="AQ363" s="61" t="e">
        <v>#N/A</v>
      </c>
      <c r="AR363" s="61" t="e">
        <v>#N/A</v>
      </c>
      <c r="AS363" s="61" t="e">
        <v>#N/A</v>
      </c>
      <c r="AT363" s="61" t="e">
        <v>#N/A</v>
      </c>
      <c r="AU363" s="61" t="e">
        <v>#N/A</v>
      </c>
      <c r="AV363" s="61" t="e">
        <v>#N/A</v>
      </c>
      <c r="AW363" s="61" t="e">
        <v>#N/A</v>
      </c>
      <c r="AX363" s="65" t="e">
        <v>#N/A</v>
      </c>
      <c r="AY363" s="66">
        <v>1.1040000000000001</v>
      </c>
      <c r="AZ363" s="61">
        <v>2.8069999999999999</v>
      </c>
      <c r="BA363" s="61">
        <v>33.972999999999999</v>
      </c>
      <c r="BB363" s="61">
        <v>37.884</v>
      </c>
      <c r="BC363" s="61">
        <v>5.8999999999999997E-2</v>
      </c>
      <c r="BD363" s="61">
        <v>0.93400000000000005</v>
      </c>
      <c r="BE363" s="61">
        <v>4.9000000000000002E-2</v>
      </c>
      <c r="BF363" s="61" t="s">
        <v>122</v>
      </c>
      <c r="BG363" s="61">
        <v>6.0789999999999997</v>
      </c>
      <c r="BH363" s="61">
        <v>2.456</v>
      </c>
      <c r="BI363" s="61">
        <v>5.8999999999999997E-2</v>
      </c>
      <c r="BJ363" s="61">
        <v>8.5939999999999994</v>
      </c>
      <c r="BK363" s="66">
        <v>9.6359999999999992</v>
      </c>
      <c r="BL363" s="67">
        <v>16.332000000000001</v>
      </c>
      <c r="BM363" s="61">
        <v>0.182</v>
      </c>
      <c r="BN363" s="61" t="s">
        <v>121</v>
      </c>
      <c r="BO363" s="61" t="s">
        <v>121</v>
      </c>
      <c r="BP363" s="61">
        <v>16.513999999999999</v>
      </c>
      <c r="BQ363" s="61">
        <v>204.917</v>
      </c>
      <c r="BR363" s="61">
        <v>12.734</v>
      </c>
      <c r="BS363" s="61">
        <v>0.13400000000000001</v>
      </c>
      <c r="BT363" s="61">
        <v>6.4020000000000001</v>
      </c>
      <c r="BU363" s="61">
        <v>15.72</v>
      </c>
      <c r="BV363" s="61">
        <v>19.242999999999999</v>
      </c>
      <c r="BW363" s="61">
        <v>34.963000000000001</v>
      </c>
      <c r="BX363" s="67">
        <v>259.14999999999998</v>
      </c>
      <c r="BY363" s="68">
        <v>105483</v>
      </c>
      <c r="BZ363" s="68">
        <v>133342</v>
      </c>
      <c r="CA363" s="69">
        <v>10064</v>
      </c>
      <c r="CB363" s="68">
        <v>112589</v>
      </c>
      <c r="CC363" s="68">
        <v>3701</v>
      </c>
      <c r="CD363" s="61"/>
      <c r="CE363" s="64"/>
      <c r="CF363" s="64"/>
      <c r="CG363" s="70">
        <f t="shared" si="27"/>
        <v>4728.7380000000003</v>
      </c>
      <c r="CH363" s="70">
        <f t="shared" si="28"/>
        <v>422.68799999999999</v>
      </c>
      <c r="CI363" s="70">
        <f t="shared" si="29"/>
        <v>155.44200000000001</v>
      </c>
      <c r="CJ363" s="70">
        <f t="shared" si="30"/>
        <v>4430.2860000000001</v>
      </c>
      <c r="CK363" s="70">
        <f t="shared" si="30"/>
        <v>5600.3639999999996</v>
      </c>
      <c r="CL363" s="70">
        <f t="shared" si="26"/>
        <v>0</v>
      </c>
      <c r="CM363" s="61"/>
      <c r="CN363" s="61"/>
      <c r="CO363" s="61"/>
      <c r="CP363" s="61"/>
      <c r="CQ363" s="61"/>
      <c r="CR363" s="61"/>
      <c r="CS363" s="61"/>
      <c r="CT363" s="61"/>
      <c r="CU363" s="61"/>
      <c r="CV363" s="61"/>
      <c r="CW363" s="61"/>
      <c r="CX363" s="61"/>
      <c r="CY363" s="61"/>
      <c r="CZ363" s="61"/>
      <c r="DA363" s="61"/>
      <c r="DB363" s="61"/>
      <c r="DC363" s="61"/>
      <c r="DD363" s="61"/>
      <c r="DE363" s="61"/>
      <c r="DF363" s="61"/>
      <c r="DG363" s="61"/>
      <c r="DH363" s="61"/>
      <c r="DI363" s="61"/>
      <c r="DJ363" s="61"/>
      <c r="DK363" s="61"/>
      <c r="DL363" s="61"/>
      <c r="DM363" s="61"/>
      <c r="DN363" s="61"/>
      <c r="DO363" s="61"/>
      <c r="DP363" s="61"/>
      <c r="DQ363" s="61"/>
      <c r="DR363" s="61"/>
      <c r="DS363" s="61"/>
      <c r="DT363" s="61"/>
      <c r="DU363" s="61"/>
      <c r="DV363" s="61"/>
      <c r="DW363" s="61"/>
      <c r="DX363" s="61"/>
      <c r="DY363" s="61"/>
      <c r="DZ363" s="61"/>
      <c r="EA363" s="61"/>
      <c r="EB363" s="61"/>
      <c r="EC363" s="61"/>
      <c r="ED363" s="61"/>
      <c r="EE363" s="61"/>
      <c r="EF363" s="61"/>
      <c r="EG363" s="61"/>
      <c r="EH363" s="61"/>
      <c r="EI363" s="61"/>
      <c r="EJ363" s="61"/>
      <c r="EK363" s="61"/>
      <c r="EL363" s="61"/>
      <c r="EM363" s="61"/>
      <c r="EN363" s="61"/>
      <c r="EO363" s="61"/>
      <c r="EP363" s="61"/>
      <c r="EQ363" s="61"/>
      <c r="ER363" s="61"/>
      <c r="ES363" s="61"/>
      <c r="ET363" s="61"/>
      <c r="EU363" s="61"/>
      <c r="EV363" s="61"/>
      <c r="EW363" s="61"/>
    </row>
    <row r="364" spans="1:153">
      <c r="A364" s="56">
        <v>37653</v>
      </c>
      <c r="B364" s="57">
        <v>2003</v>
      </c>
      <c r="C364" s="71">
        <v>0.14099999999999999</v>
      </c>
      <c r="D364" s="61">
        <v>2E-3</v>
      </c>
      <c r="E364" s="61">
        <v>25.952999999999999</v>
      </c>
      <c r="F364" s="61">
        <v>1.0900000000000001</v>
      </c>
      <c r="G364" s="61">
        <v>0.13900000000000001</v>
      </c>
      <c r="H364" s="61">
        <v>2.7170000000000001</v>
      </c>
      <c r="I364" s="61">
        <v>9.4779999999999998</v>
      </c>
      <c r="J364" s="61">
        <v>-6.7610000000000001</v>
      </c>
      <c r="K364" s="61"/>
      <c r="L364" s="61"/>
      <c r="M364" s="61">
        <v>19.192</v>
      </c>
      <c r="N364" s="61">
        <v>0.80600000000000005</v>
      </c>
      <c r="O364" s="71">
        <v>0.10299999999999999</v>
      </c>
      <c r="P364" s="60">
        <v>153.71799999999999</v>
      </c>
      <c r="Q364" s="61">
        <v>28.469000000000001</v>
      </c>
      <c r="R364" s="61">
        <v>212.69300000000001</v>
      </c>
      <c r="S364" s="61">
        <v>437.32900000000001</v>
      </c>
      <c r="T364" s="61">
        <v>200.27099999999999</v>
      </c>
      <c r="U364" s="61">
        <v>13.547000000000001</v>
      </c>
      <c r="V364" s="61">
        <v>3.2709999999999999</v>
      </c>
      <c r="W364" s="61">
        <v>7.5469999999999997</v>
      </c>
      <c r="X364" s="61">
        <v>153.71799999999999</v>
      </c>
      <c r="Y364" s="61">
        <v>30.507000000000001</v>
      </c>
      <c r="Z364" s="61">
        <v>31.893999999999998</v>
      </c>
      <c r="AA364" s="61">
        <v>216.11799999999999</v>
      </c>
      <c r="AB364" s="60">
        <v>440.75400000000002</v>
      </c>
      <c r="AC364" s="62"/>
      <c r="AD364" s="61"/>
      <c r="AE364" s="61"/>
      <c r="AF364" s="61"/>
      <c r="AG364" s="61"/>
      <c r="AH364" s="61"/>
      <c r="AI364" s="61"/>
      <c r="AJ364" s="61"/>
      <c r="AK364" s="62"/>
      <c r="AL364" s="63"/>
      <c r="AM364" s="64"/>
      <c r="AN364" s="65" t="e">
        <v>#N/A</v>
      </c>
      <c r="AO364" s="61" t="e">
        <v>#N/A</v>
      </c>
      <c r="AP364" s="61" t="e">
        <v>#N/A</v>
      </c>
      <c r="AQ364" s="61" t="e">
        <v>#N/A</v>
      </c>
      <c r="AR364" s="61" t="e">
        <v>#N/A</v>
      </c>
      <c r="AS364" s="61" t="e">
        <v>#N/A</v>
      </c>
      <c r="AT364" s="61" t="e">
        <v>#N/A</v>
      </c>
      <c r="AU364" s="61" t="e">
        <v>#N/A</v>
      </c>
      <c r="AV364" s="61" t="e">
        <v>#N/A</v>
      </c>
      <c r="AW364" s="61" t="e">
        <v>#N/A</v>
      </c>
      <c r="AX364" s="65" t="e">
        <v>#N/A</v>
      </c>
      <c r="AY364" s="66">
        <v>0.997</v>
      </c>
      <c r="AZ364" s="61">
        <v>3.0259999999999998</v>
      </c>
      <c r="BA364" s="61">
        <v>30.684999999999999</v>
      </c>
      <c r="BB364" s="61">
        <v>34.707999999999998</v>
      </c>
      <c r="BC364" s="61">
        <v>5.5E-2</v>
      </c>
      <c r="BD364" s="61">
        <v>0.84399999999999997</v>
      </c>
      <c r="BE364" s="61">
        <v>5.2999999999999999E-2</v>
      </c>
      <c r="BF364" s="61" t="s">
        <v>122</v>
      </c>
      <c r="BG364" s="61">
        <v>5.4859999999999998</v>
      </c>
      <c r="BH364" s="61">
        <v>2.1160000000000001</v>
      </c>
      <c r="BI364" s="61">
        <v>7.0000000000000007E-2</v>
      </c>
      <c r="BJ364" s="61">
        <v>7.6719999999999997</v>
      </c>
      <c r="BK364" s="66">
        <v>8.6229999999999993</v>
      </c>
      <c r="BL364" s="67">
        <v>19.43</v>
      </c>
      <c r="BM364" s="61">
        <v>0.10299999999999999</v>
      </c>
      <c r="BN364" s="61" t="s">
        <v>121</v>
      </c>
      <c r="BO364" s="61" t="s">
        <v>121</v>
      </c>
      <c r="BP364" s="61">
        <v>19.533000000000001</v>
      </c>
      <c r="BQ364" s="61">
        <v>197.17400000000001</v>
      </c>
      <c r="BR364" s="61">
        <v>11.445</v>
      </c>
      <c r="BS364" s="61">
        <v>0.18099999999999999</v>
      </c>
      <c r="BT364" s="61">
        <v>7.5469999999999997</v>
      </c>
      <c r="BU364" s="61">
        <v>13.302</v>
      </c>
      <c r="BV364" s="61">
        <v>16.838000000000001</v>
      </c>
      <c r="BW364" s="61">
        <v>30.14</v>
      </c>
      <c r="BX364" s="67">
        <v>246.48500000000001</v>
      </c>
      <c r="BY364" s="68">
        <v>96843</v>
      </c>
      <c r="BZ364" s="68">
        <v>122143</v>
      </c>
      <c r="CA364" s="69">
        <v>14097</v>
      </c>
      <c r="CB364" s="68">
        <v>97684</v>
      </c>
      <c r="CC364" s="68">
        <v>3702</v>
      </c>
      <c r="CD364" s="61"/>
      <c r="CE364" s="64"/>
      <c r="CF364" s="64"/>
      <c r="CG364" s="70">
        <f t="shared" si="27"/>
        <v>4102.7280000000001</v>
      </c>
      <c r="CH364" s="70">
        <f t="shared" si="28"/>
        <v>592.07399999999996</v>
      </c>
      <c r="CI364" s="70">
        <f t="shared" si="29"/>
        <v>155.48400000000001</v>
      </c>
      <c r="CJ364" s="70">
        <f t="shared" si="30"/>
        <v>4067.4059999999999</v>
      </c>
      <c r="CK364" s="70">
        <f t="shared" si="30"/>
        <v>5130.0060000000003</v>
      </c>
      <c r="CL364" s="70">
        <f t="shared" si="26"/>
        <v>0</v>
      </c>
      <c r="CM364" s="61"/>
      <c r="CN364" s="61"/>
      <c r="CO364" s="61"/>
      <c r="CP364" s="61"/>
      <c r="CQ364" s="61"/>
      <c r="CR364" s="61"/>
      <c r="CS364" s="61"/>
      <c r="CT364" s="61"/>
      <c r="CU364" s="61"/>
      <c r="CV364" s="61"/>
      <c r="CW364" s="61"/>
      <c r="CX364" s="61"/>
      <c r="CY364" s="61"/>
      <c r="CZ364" s="61"/>
      <c r="DA364" s="61"/>
      <c r="DB364" s="61"/>
      <c r="DC364" s="61"/>
      <c r="DD364" s="61"/>
      <c r="DE364" s="61"/>
      <c r="DF364" s="61"/>
      <c r="DG364" s="61"/>
      <c r="DH364" s="61"/>
      <c r="DI364" s="61"/>
      <c r="DJ364" s="61"/>
      <c r="DK364" s="61"/>
      <c r="DL364" s="61"/>
      <c r="DM364" s="61"/>
      <c r="DN364" s="61"/>
      <c r="DO364" s="61"/>
      <c r="DP364" s="61"/>
      <c r="DQ364" s="61"/>
      <c r="DR364" s="61"/>
      <c r="DS364" s="61"/>
      <c r="DT364" s="61"/>
      <c r="DU364" s="61"/>
      <c r="DV364" s="61"/>
      <c r="DW364" s="61"/>
      <c r="DX364" s="61"/>
      <c r="DY364" s="61"/>
      <c r="DZ364" s="61"/>
      <c r="EA364" s="61"/>
      <c r="EB364" s="61"/>
      <c r="EC364" s="61"/>
      <c r="ED364" s="61"/>
      <c r="EE364" s="61"/>
      <c r="EF364" s="61"/>
      <c r="EG364" s="61"/>
      <c r="EH364" s="61"/>
      <c r="EI364" s="61"/>
      <c r="EJ364" s="61"/>
      <c r="EK364" s="61"/>
      <c r="EL364" s="61"/>
      <c r="EM364" s="61"/>
      <c r="EN364" s="61"/>
      <c r="EO364" s="61"/>
      <c r="EP364" s="61"/>
      <c r="EQ364" s="61"/>
      <c r="ER364" s="61"/>
      <c r="ES364" s="61"/>
      <c r="ET364" s="61"/>
      <c r="EU364" s="61"/>
      <c r="EV364" s="61"/>
      <c r="EW364" s="61"/>
    </row>
    <row r="365" spans="1:153">
      <c r="A365" s="56">
        <v>37681</v>
      </c>
      <c r="B365" s="57">
        <v>2003</v>
      </c>
      <c r="C365" s="71">
        <v>0.156</v>
      </c>
      <c r="D365" s="61">
        <v>2E-3</v>
      </c>
      <c r="E365" s="61">
        <v>28.734000000000002</v>
      </c>
      <c r="F365" s="61">
        <v>1.2070000000000001</v>
      </c>
      <c r="G365" s="61">
        <v>0.154</v>
      </c>
      <c r="H365" s="61">
        <v>4.2430000000000003</v>
      </c>
      <c r="I365" s="61">
        <v>8.4870000000000001</v>
      </c>
      <c r="J365" s="61">
        <v>-4.2439999999999998</v>
      </c>
      <c r="K365" s="61"/>
      <c r="L365" s="61"/>
      <c r="M365" s="61">
        <v>24.49</v>
      </c>
      <c r="N365" s="61">
        <v>1.0289999999999999</v>
      </c>
      <c r="O365" s="71">
        <v>0.13100000000000001</v>
      </c>
      <c r="P365" s="60">
        <v>166.33699999999999</v>
      </c>
      <c r="Q365" s="61">
        <v>32.649000000000001</v>
      </c>
      <c r="R365" s="61">
        <v>233.28800000000001</v>
      </c>
      <c r="S365" s="61">
        <v>508.19900000000001</v>
      </c>
      <c r="T365" s="61">
        <v>245.048</v>
      </c>
      <c r="U365" s="61">
        <v>14.606999999999999</v>
      </c>
      <c r="V365" s="61">
        <v>4.7640000000000002</v>
      </c>
      <c r="W365" s="61">
        <v>10.491</v>
      </c>
      <c r="X365" s="61">
        <v>166.33699999999999</v>
      </c>
      <c r="Y365" s="61">
        <v>34.302999999999997</v>
      </c>
      <c r="Z365" s="61">
        <v>30.555</v>
      </c>
      <c r="AA365" s="61">
        <v>231.19499999999999</v>
      </c>
      <c r="AB365" s="60">
        <v>506.10500000000002</v>
      </c>
      <c r="AC365" s="62"/>
      <c r="AD365" s="61"/>
      <c r="AE365" s="61"/>
      <c r="AF365" s="61"/>
      <c r="AG365" s="61"/>
      <c r="AH365" s="61"/>
      <c r="AI365" s="61"/>
      <c r="AJ365" s="61"/>
      <c r="AK365" s="62"/>
      <c r="AL365" s="63"/>
      <c r="AM365" s="64"/>
      <c r="AN365" s="65" t="e">
        <v>#N/A</v>
      </c>
      <c r="AO365" s="61" t="e">
        <v>#N/A</v>
      </c>
      <c r="AP365" s="61" t="e">
        <v>#N/A</v>
      </c>
      <c r="AQ365" s="61" t="e">
        <v>#N/A</v>
      </c>
      <c r="AR365" s="61" t="e">
        <v>#N/A</v>
      </c>
      <c r="AS365" s="61" t="e">
        <v>#N/A</v>
      </c>
      <c r="AT365" s="61" t="e">
        <v>#N/A</v>
      </c>
      <c r="AU365" s="61" t="e">
        <v>#N/A</v>
      </c>
      <c r="AV365" s="61" t="e">
        <v>#N/A</v>
      </c>
      <c r="AW365" s="61" t="e">
        <v>#N/A</v>
      </c>
      <c r="AX365" s="65" t="e">
        <v>#N/A</v>
      </c>
      <c r="AY365" s="66">
        <v>1.1040000000000001</v>
      </c>
      <c r="AZ365" s="61">
        <v>4.1689999999999996</v>
      </c>
      <c r="BA365" s="61">
        <v>33.972999999999999</v>
      </c>
      <c r="BB365" s="61">
        <v>39.246000000000002</v>
      </c>
      <c r="BC365" s="61">
        <v>6.4000000000000001E-2</v>
      </c>
      <c r="BD365" s="61">
        <v>0.93400000000000005</v>
      </c>
      <c r="BE365" s="61">
        <v>7.2999999999999995E-2</v>
      </c>
      <c r="BF365" s="61" t="s">
        <v>122</v>
      </c>
      <c r="BG365" s="61">
        <v>6.0609999999999999</v>
      </c>
      <c r="BH365" s="61">
        <v>2.4039999999999999</v>
      </c>
      <c r="BI365" s="61">
        <v>5.8999999999999997E-2</v>
      </c>
      <c r="BJ365" s="61">
        <v>8.5239999999999991</v>
      </c>
      <c r="BK365" s="66">
        <v>9.5950000000000006</v>
      </c>
      <c r="BL365" s="67">
        <v>16.382999999999999</v>
      </c>
      <c r="BM365" s="61">
        <v>0.13100000000000001</v>
      </c>
      <c r="BN365" s="61" t="s">
        <v>121</v>
      </c>
      <c r="BO365" s="61" t="s">
        <v>121</v>
      </c>
      <c r="BP365" s="61">
        <v>16.513999999999999</v>
      </c>
      <c r="BQ365" s="61">
        <v>241.28</v>
      </c>
      <c r="BR365" s="61">
        <v>12.28</v>
      </c>
      <c r="BS365" s="61">
        <v>0.50700000000000001</v>
      </c>
      <c r="BT365" s="61">
        <v>10.491</v>
      </c>
      <c r="BU365" s="61">
        <v>13.67</v>
      </c>
      <c r="BV365" s="61">
        <v>19.504000000000001</v>
      </c>
      <c r="BW365" s="61">
        <v>33.173999999999999</v>
      </c>
      <c r="BX365" s="67">
        <v>297.73200000000003</v>
      </c>
      <c r="BY365" s="68">
        <v>115686</v>
      </c>
      <c r="BZ365" s="68">
        <v>124044</v>
      </c>
      <c r="CA365" s="69">
        <v>14253</v>
      </c>
      <c r="CB365" s="68">
        <v>98602</v>
      </c>
      <c r="CC365" s="68">
        <v>4977</v>
      </c>
      <c r="CD365" s="61"/>
      <c r="CE365" s="64"/>
      <c r="CF365" s="64"/>
      <c r="CG365" s="70">
        <f t="shared" si="27"/>
        <v>4141.2839999999997</v>
      </c>
      <c r="CH365" s="70">
        <f t="shared" si="28"/>
        <v>598.62599999999998</v>
      </c>
      <c r="CI365" s="70">
        <f t="shared" si="29"/>
        <v>209.03399999999999</v>
      </c>
      <c r="CJ365" s="70">
        <f t="shared" si="30"/>
        <v>4858.8119999999999</v>
      </c>
      <c r="CK365" s="70">
        <f t="shared" si="30"/>
        <v>5209.848</v>
      </c>
      <c r="CL365" s="70">
        <f t="shared" si="26"/>
        <v>0</v>
      </c>
      <c r="CM365" s="61"/>
      <c r="CN365" s="61"/>
      <c r="CO365" s="61"/>
      <c r="CP365" s="61"/>
      <c r="CQ365" s="61"/>
      <c r="CR365" s="61"/>
      <c r="CS365" s="61"/>
      <c r="CT365" s="61"/>
      <c r="CU365" s="61"/>
      <c r="CV365" s="61"/>
      <c r="CW365" s="61"/>
      <c r="CX365" s="61"/>
      <c r="CY365" s="61"/>
      <c r="CZ365" s="61"/>
      <c r="DA365" s="61"/>
      <c r="DB365" s="61"/>
      <c r="DC365" s="61"/>
      <c r="DD365" s="61"/>
      <c r="DE365" s="61"/>
      <c r="DF365" s="61"/>
      <c r="DG365" s="61"/>
      <c r="DH365" s="61"/>
      <c r="DI365" s="61"/>
      <c r="DJ365" s="61"/>
      <c r="DK365" s="61"/>
      <c r="DL365" s="61"/>
      <c r="DM365" s="61"/>
      <c r="DN365" s="61"/>
      <c r="DO365" s="61"/>
      <c r="DP365" s="61"/>
      <c r="DQ365" s="61"/>
      <c r="DR365" s="61"/>
      <c r="DS365" s="61"/>
      <c r="DT365" s="61"/>
      <c r="DU365" s="61"/>
      <c r="DV365" s="61"/>
      <c r="DW365" s="61"/>
      <c r="DX365" s="61"/>
      <c r="DY365" s="61"/>
      <c r="DZ365" s="61"/>
      <c r="EA365" s="61"/>
      <c r="EB365" s="61"/>
      <c r="EC365" s="61"/>
      <c r="ED365" s="61"/>
      <c r="EE365" s="61"/>
      <c r="EF365" s="61"/>
      <c r="EG365" s="61"/>
      <c r="EH365" s="61"/>
      <c r="EI365" s="61"/>
      <c r="EJ365" s="61"/>
      <c r="EK365" s="61"/>
      <c r="EL365" s="61"/>
      <c r="EM365" s="61"/>
      <c r="EN365" s="61"/>
      <c r="EO365" s="61"/>
      <c r="EP365" s="61"/>
      <c r="EQ365" s="61"/>
      <c r="ER365" s="61"/>
      <c r="ES365" s="61"/>
      <c r="ET365" s="61"/>
      <c r="EU365" s="61"/>
      <c r="EV365" s="61"/>
      <c r="EW365" s="61"/>
    </row>
    <row r="366" spans="1:153">
      <c r="A366" s="56">
        <v>37712</v>
      </c>
      <c r="B366" s="57">
        <v>2003</v>
      </c>
      <c r="C366" s="71">
        <v>0.151</v>
      </c>
      <c r="D366" s="61">
        <v>2E-3</v>
      </c>
      <c r="E366" s="61">
        <v>27.806999999999999</v>
      </c>
      <c r="F366" s="61">
        <v>1.1679999999999999</v>
      </c>
      <c r="G366" s="61">
        <v>0.14899999999999999</v>
      </c>
      <c r="H366" s="61">
        <v>3.996</v>
      </c>
      <c r="I366" s="61">
        <v>11.574</v>
      </c>
      <c r="J366" s="61">
        <v>-7.5780000000000003</v>
      </c>
      <c r="K366" s="61"/>
      <c r="L366" s="61"/>
      <c r="M366" s="61">
        <v>20.228999999999999</v>
      </c>
      <c r="N366" s="61">
        <v>0.85</v>
      </c>
      <c r="O366" s="71">
        <v>0.108</v>
      </c>
      <c r="P366" s="60">
        <v>162.81299999999999</v>
      </c>
      <c r="Q366" s="61">
        <v>32.368000000000002</v>
      </c>
      <c r="R366" s="61">
        <v>228.51599999999999</v>
      </c>
      <c r="S366" s="61">
        <v>509.63099999999997</v>
      </c>
      <c r="T366" s="61">
        <v>250.685</v>
      </c>
      <c r="U366" s="61">
        <v>14.061999999999999</v>
      </c>
      <c r="V366" s="61">
        <v>5.3040000000000003</v>
      </c>
      <c r="W366" s="61">
        <v>11.064</v>
      </c>
      <c r="X366" s="61">
        <v>162.81299999999999</v>
      </c>
      <c r="Y366" s="61">
        <v>33.334000000000003</v>
      </c>
      <c r="Z366" s="61">
        <v>32.588000000000001</v>
      </c>
      <c r="AA366" s="61">
        <v>228.73599999999999</v>
      </c>
      <c r="AB366" s="60">
        <v>509.85</v>
      </c>
      <c r="AC366" s="62"/>
      <c r="AD366" s="61"/>
      <c r="AE366" s="61"/>
      <c r="AF366" s="61"/>
      <c r="AG366" s="61"/>
      <c r="AH366" s="61"/>
      <c r="AI366" s="61"/>
      <c r="AJ366" s="61"/>
      <c r="AK366" s="62"/>
      <c r="AL366" s="63"/>
      <c r="AM366" s="64"/>
      <c r="AN366" s="65" t="e">
        <v>#N/A</v>
      </c>
      <c r="AO366" s="61" t="e">
        <v>#N/A</v>
      </c>
      <c r="AP366" s="61" t="e">
        <v>#N/A</v>
      </c>
      <c r="AQ366" s="61" t="e">
        <v>#N/A</v>
      </c>
      <c r="AR366" s="61" t="e">
        <v>#N/A</v>
      </c>
      <c r="AS366" s="61" t="e">
        <v>#N/A</v>
      </c>
      <c r="AT366" s="61" t="e">
        <v>#N/A</v>
      </c>
      <c r="AU366" s="61" t="e">
        <v>#N/A</v>
      </c>
      <c r="AV366" s="61" t="e">
        <v>#N/A</v>
      </c>
      <c r="AW366" s="61" t="e">
        <v>#N/A</v>
      </c>
      <c r="AX366" s="65" t="e">
        <v>#N/A</v>
      </c>
      <c r="AY366" s="66">
        <v>1.0680000000000001</v>
      </c>
      <c r="AZ366" s="61">
        <v>4.5949999999999998</v>
      </c>
      <c r="BA366" s="61">
        <v>32.877000000000002</v>
      </c>
      <c r="BB366" s="61">
        <v>38.54</v>
      </c>
      <c r="BC366" s="61">
        <v>6.5000000000000002E-2</v>
      </c>
      <c r="BD366" s="61">
        <v>0.90400000000000003</v>
      </c>
      <c r="BE366" s="61">
        <v>0.08</v>
      </c>
      <c r="BF366" s="61" t="s">
        <v>122</v>
      </c>
      <c r="BG366" s="61">
        <v>5.8579999999999997</v>
      </c>
      <c r="BH366" s="61">
        <v>2.4049999999999998</v>
      </c>
      <c r="BI366" s="61">
        <v>6.7000000000000004E-2</v>
      </c>
      <c r="BJ366" s="61">
        <v>8.3290000000000006</v>
      </c>
      <c r="BK366" s="66">
        <v>9.3789999999999996</v>
      </c>
      <c r="BL366" s="67">
        <v>18.504999999999999</v>
      </c>
      <c r="BM366" s="61">
        <v>0.108</v>
      </c>
      <c r="BN366" s="61" t="s">
        <v>121</v>
      </c>
      <c r="BO366" s="61" t="s">
        <v>121</v>
      </c>
      <c r="BP366" s="61">
        <v>18.613</v>
      </c>
      <c r="BQ366" s="61">
        <v>248.18700000000001</v>
      </c>
      <c r="BR366" s="61">
        <v>11.81</v>
      </c>
      <c r="BS366" s="61">
        <v>0.61099999999999999</v>
      </c>
      <c r="BT366" s="61">
        <v>11.064</v>
      </c>
      <c r="BU366" s="61">
        <v>12.303000000000001</v>
      </c>
      <c r="BV366" s="61">
        <v>18.742000000000001</v>
      </c>
      <c r="BW366" s="61">
        <v>31.045000000000002</v>
      </c>
      <c r="BX366" s="67">
        <v>302.71699999999998</v>
      </c>
      <c r="BY366" s="68">
        <v>113892</v>
      </c>
      <c r="BZ366" s="68">
        <v>118530</v>
      </c>
      <c r="CA366" s="69">
        <v>7388</v>
      </c>
      <c r="CB366" s="68">
        <v>97181</v>
      </c>
      <c r="CC366" s="68">
        <v>4171</v>
      </c>
      <c r="CD366" s="61"/>
      <c r="CE366" s="64"/>
      <c r="CF366" s="64"/>
      <c r="CG366" s="70">
        <f t="shared" si="27"/>
        <v>4081.6019999999999</v>
      </c>
      <c r="CH366" s="70">
        <f t="shared" si="28"/>
        <v>310.29599999999999</v>
      </c>
      <c r="CI366" s="70">
        <f t="shared" si="29"/>
        <v>175.18199999999999</v>
      </c>
      <c r="CJ366" s="70">
        <f t="shared" si="30"/>
        <v>4783.4639999999999</v>
      </c>
      <c r="CK366" s="70">
        <f t="shared" si="30"/>
        <v>4978.26</v>
      </c>
      <c r="CL366" s="70">
        <f t="shared" si="26"/>
        <v>0</v>
      </c>
      <c r="CM366" s="61"/>
      <c r="CN366" s="61"/>
      <c r="CO366" s="61"/>
      <c r="CP366" s="61"/>
      <c r="CQ366" s="61"/>
      <c r="CR366" s="61"/>
      <c r="CS366" s="61"/>
      <c r="CT366" s="61"/>
      <c r="CU366" s="61"/>
      <c r="CV366" s="61"/>
      <c r="CW366" s="61"/>
      <c r="CX366" s="61"/>
      <c r="CY366" s="61"/>
      <c r="CZ366" s="61"/>
      <c r="DA366" s="61"/>
      <c r="DB366" s="61"/>
      <c r="DC366" s="61"/>
      <c r="DD366" s="61"/>
      <c r="DE366" s="61"/>
      <c r="DF366" s="61"/>
      <c r="DG366" s="61"/>
      <c r="DH366" s="61"/>
      <c r="DI366" s="61"/>
      <c r="DJ366" s="61"/>
      <c r="DK366" s="61"/>
      <c r="DL366" s="61"/>
      <c r="DM366" s="61"/>
      <c r="DN366" s="61"/>
      <c r="DO366" s="61"/>
      <c r="DP366" s="61"/>
      <c r="DQ366" s="61"/>
      <c r="DR366" s="61"/>
      <c r="DS366" s="61"/>
      <c r="DT366" s="61"/>
      <c r="DU366" s="61"/>
      <c r="DV366" s="61"/>
      <c r="DW366" s="61"/>
      <c r="DX366" s="61"/>
      <c r="DY366" s="61"/>
      <c r="DZ366" s="61"/>
      <c r="EA366" s="61"/>
      <c r="EB366" s="61"/>
      <c r="EC366" s="61"/>
      <c r="ED366" s="61"/>
      <c r="EE366" s="61"/>
      <c r="EF366" s="61"/>
      <c r="EG366" s="61"/>
      <c r="EH366" s="61"/>
      <c r="EI366" s="61"/>
      <c r="EJ366" s="61"/>
      <c r="EK366" s="61"/>
      <c r="EL366" s="61"/>
      <c r="EM366" s="61"/>
      <c r="EN366" s="61"/>
      <c r="EO366" s="61"/>
      <c r="EP366" s="61"/>
      <c r="EQ366" s="61"/>
      <c r="ER366" s="61"/>
      <c r="ES366" s="61"/>
      <c r="ET366" s="61"/>
      <c r="EU366" s="61"/>
      <c r="EV366" s="61"/>
      <c r="EW366" s="61"/>
    </row>
    <row r="367" spans="1:153">
      <c r="A367" s="56">
        <v>37742</v>
      </c>
      <c r="B367" s="57">
        <v>2003</v>
      </c>
      <c r="C367" s="71">
        <v>0.156</v>
      </c>
      <c r="D367" s="61">
        <v>2E-3</v>
      </c>
      <c r="E367" s="61">
        <v>28.734000000000002</v>
      </c>
      <c r="F367" s="61">
        <v>1.2070000000000001</v>
      </c>
      <c r="G367" s="61">
        <v>0.154</v>
      </c>
      <c r="H367" s="61">
        <v>3.7189999999999999</v>
      </c>
      <c r="I367" s="61">
        <v>11.439</v>
      </c>
      <c r="J367" s="61">
        <v>-7.72</v>
      </c>
      <c r="K367" s="61"/>
      <c r="L367" s="61"/>
      <c r="M367" s="61">
        <v>21.013999999999999</v>
      </c>
      <c r="N367" s="61">
        <v>0.88300000000000001</v>
      </c>
      <c r="O367" s="71">
        <v>0.113</v>
      </c>
      <c r="P367" s="60">
        <v>163.89099999999999</v>
      </c>
      <c r="Q367" s="61">
        <v>32.625</v>
      </c>
      <c r="R367" s="61">
        <v>229.756</v>
      </c>
      <c r="S367" s="61">
        <v>557.601</v>
      </c>
      <c r="T367" s="61">
        <v>297.62700000000001</v>
      </c>
      <c r="U367" s="61">
        <v>14.16</v>
      </c>
      <c r="V367" s="61">
        <v>5.8689999999999998</v>
      </c>
      <c r="W367" s="61">
        <v>10.19</v>
      </c>
      <c r="X367" s="61">
        <v>163.89099999999999</v>
      </c>
      <c r="Y367" s="61">
        <v>33.24</v>
      </c>
      <c r="Z367" s="61">
        <v>32.694000000000003</v>
      </c>
      <c r="AA367" s="61">
        <v>229.82499999999999</v>
      </c>
      <c r="AB367" s="60">
        <v>557.67100000000005</v>
      </c>
      <c r="AC367" s="62"/>
      <c r="AD367" s="61"/>
      <c r="AE367" s="61"/>
      <c r="AF367" s="61"/>
      <c r="AG367" s="61"/>
      <c r="AH367" s="61"/>
      <c r="AI367" s="61"/>
      <c r="AJ367" s="61"/>
      <c r="AK367" s="62"/>
      <c r="AL367" s="63"/>
      <c r="AM367" s="64"/>
      <c r="AN367" s="65" t="e">
        <v>#N/A</v>
      </c>
      <c r="AO367" s="61" t="e">
        <v>#N/A</v>
      </c>
      <c r="AP367" s="61" t="e">
        <v>#N/A</v>
      </c>
      <c r="AQ367" s="61" t="e">
        <v>#N/A</v>
      </c>
      <c r="AR367" s="61" t="e">
        <v>#N/A</v>
      </c>
      <c r="AS367" s="61" t="e">
        <v>#N/A</v>
      </c>
      <c r="AT367" s="61" t="e">
        <v>#N/A</v>
      </c>
      <c r="AU367" s="61" t="e">
        <v>#N/A</v>
      </c>
      <c r="AV367" s="61" t="e">
        <v>#N/A</v>
      </c>
      <c r="AW367" s="61" t="e">
        <v>#N/A</v>
      </c>
      <c r="AX367" s="65" t="e">
        <v>#N/A</v>
      </c>
      <c r="AY367" s="66">
        <v>1.1040000000000001</v>
      </c>
      <c r="AZ367" s="61">
        <v>5.0720000000000001</v>
      </c>
      <c r="BA367" s="61">
        <v>33.972999999999999</v>
      </c>
      <c r="BB367" s="61">
        <v>40.149000000000001</v>
      </c>
      <c r="BC367" s="61">
        <v>6.6000000000000003E-2</v>
      </c>
      <c r="BD367" s="61">
        <v>0.93400000000000005</v>
      </c>
      <c r="BE367" s="61">
        <v>8.8999999999999996E-2</v>
      </c>
      <c r="BF367" s="61" t="s">
        <v>122</v>
      </c>
      <c r="BG367" s="61">
        <v>6.05</v>
      </c>
      <c r="BH367" s="61">
        <v>2.5259999999999998</v>
      </c>
      <c r="BI367" s="61">
        <v>6.7000000000000004E-2</v>
      </c>
      <c r="BJ367" s="61">
        <v>8.6430000000000007</v>
      </c>
      <c r="BK367" s="66">
        <v>9.7319999999999993</v>
      </c>
      <c r="BL367" s="67">
        <v>18.501999999999999</v>
      </c>
      <c r="BM367" s="61">
        <v>0.113</v>
      </c>
      <c r="BN367" s="61" t="s">
        <v>121</v>
      </c>
      <c r="BO367" s="61" t="s">
        <v>121</v>
      </c>
      <c r="BP367" s="61">
        <v>18.614000000000001</v>
      </c>
      <c r="BQ367" s="61">
        <v>293.654</v>
      </c>
      <c r="BR367" s="61">
        <v>11.833</v>
      </c>
      <c r="BS367" s="61">
        <v>0.68799999999999994</v>
      </c>
      <c r="BT367" s="61">
        <v>10.19</v>
      </c>
      <c r="BU367" s="61">
        <v>11.584</v>
      </c>
      <c r="BV367" s="61">
        <v>19.294</v>
      </c>
      <c r="BW367" s="61">
        <v>30.878</v>
      </c>
      <c r="BX367" s="67">
        <v>347.24299999999999</v>
      </c>
      <c r="BY367" s="68">
        <v>118811</v>
      </c>
      <c r="BZ367" s="68">
        <v>113175</v>
      </c>
      <c r="CA367" s="69">
        <v>8884</v>
      </c>
      <c r="CB367" s="68">
        <v>106689</v>
      </c>
      <c r="CC367" s="68">
        <v>5012</v>
      </c>
      <c r="CD367" s="61"/>
      <c r="CE367" s="64"/>
      <c r="CF367" s="64"/>
      <c r="CG367" s="70">
        <f t="shared" si="27"/>
        <v>4480.9380000000001</v>
      </c>
      <c r="CH367" s="70">
        <f t="shared" si="28"/>
        <v>373.12799999999999</v>
      </c>
      <c r="CI367" s="70">
        <f t="shared" si="29"/>
        <v>210.50399999999999</v>
      </c>
      <c r="CJ367" s="70">
        <f t="shared" si="30"/>
        <v>4990.0619999999999</v>
      </c>
      <c r="CK367" s="70">
        <f t="shared" si="30"/>
        <v>4753.3500000000004</v>
      </c>
      <c r="CL367" s="70">
        <f t="shared" si="26"/>
        <v>0</v>
      </c>
      <c r="CM367" s="61"/>
      <c r="CN367" s="61"/>
      <c r="CO367" s="61"/>
      <c r="CP367" s="61"/>
      <c r="CQ367" s="61"/>
      <c r="CR367" s="61"/>
      <c r="CS367" s="61"/>
      <c r="CT367" s="61"/>
      <c r="CU367" s="61"/>
      <c r="CV367" s="61"/>
      <c r="CW367" s="61"/>
      <c r="CX367" s="61"/>
      <c r="CY367" s="61"/>
      <c r="CZ367" s="61"/>
      <c r="DA367" s="61"/>
      <c r="DB367" s="61"/>
      <c r="DC367" s="61"/>
      <c r="DD367" s="61"/>
      <c r="DE367" s="61"/>
      <c r="DF367" s="61"/>
      <c r="DG367" s="61"/>
      <c r="DH367" s="61"/>
      <c r="DI367" s="61"/>
      <c r="DJ367" s="61"/>
      <c r="DK367" s="61"/>
      <c r="DL367" s="61"/>
      <c r="DM367" s="61"/>
      <c r="DN367" s="61"/>
      <c r="DO367" s="61"/>
      <c r="DP367" s="61"/>
      <c r="DQ367" s="61"/>
      <c r="DR367" s="61"/>
      <c r="DS367" s="61"/>
      <c r="DT367" s="61"/>
      <c r="DU367" s="61"/>
      <c r="DV367" s="61"/>
      <c r="DW367" s="61"/>
      <c r="DX367" s="61"/>
      <c r="DY367" s="61"/>
      <c r="DZ367" s="61"/>
      <c r="EA367" s="61"/>
      <c r="EB367" s="61"/>
      <c r="EC367" s="61"/>
      <c r="ED367" s="61"/>
      <c r="EE367" s="61"/>
      <c r="EF367" s="61"/>
      <c r="EG367" s="61"/>
      <c r="EH367" s="61"/>
      <c r="EI367" s="61"/>
      <c r="EJ367" s="61"/>
      <c r="EK367" s="61"/>
      <c r="EL367" s="61"/>
      <c r="EM367" s="61"/>
      <c r="EN367" s="61"/>
      <c r="EO367" s="61"/>
      <c r="EP367" s="61"/>
      <c r="EQ367" s="61"/>
      <c r="ER367" s="61"/>
      <c r="ES367" s="61"/>
      <c r="ET367" s="61"/>
      <c r="EU367" s="61"/>
      <c r="EV367" s="61"/>
      <c r="EW367" s="61"/>
    </row>
    <row r="368" spans="1:153">
      <c r="A368" s="56">
        <v>37773</v>
      </c>
      <c r="B368" s="57">
        <v>2003</v>
      </c>
      <c r="C368" s="71">
        <v>0.151</v>
      </c>
      <c r="D368" s="61">
        <v>2E-3</v>
      </c>
      <c r="E368" s="61">
        <v>27.806999999999999</v>
      </c>
      <c r="F368" s="61">
        <v>1.1679999999999999</v>
      </c>
      <c r="G368" s="61">
        <v>0.14899999999999999</v>
      </c>
      <c r="H368" s="61">
        <v>3.7229999999999999</v>
      </c>
      <c r="I368" s="61">
        <v>10.109</v>
      </c>
      <c r="J368" s="61">
        <v>-6.3860000000000001</v>
      </c>
      <c r="K368" s="61"/>
      <c r="L368" s="61"/>
      <c r="M368" s="61">
        <v>21.420999999999999</v>
      </c>
      <c r="N368" s="61">
        <v>0.9</v>
      </c>
      <c r="O368" s="71">
        <v>0.115</v>
      </c>
      <c r="P368" s="60">
        <v>162.63499999999999</v>
      </c>
      <c r="Q368" s="61">
        <v>32.703000000000003</v>
      </c>
      <c r="R368" s="61">
        <v>228.25399999999999</v>
      </c>
      <c r="S368" s="61">
        <v>549.07100000000003</v>
      </c>
      <c r="T368" s="61">
        <v>289.43599999999998</v>
      </c>
      <c r="U368" s="61">
        <v>14.632999999999999</v>
      </c>
      <c r="V368" s="61">
        <v>6.1459999999999999</v>
      </c>
      <c r="W368" s="61">
        <v>10.602</v>
      </c>
      <c r="X368" s="61">
        <v>162.63499999999999</v>
      </c>
      <c r="Y368" s="61">
        <v>32.914999999999999</v>
      </c>
      <c r="Z368" s="61">
        <v>31.844000000000001</v>
      </c>
      <c r="AA368" s="61">
        <v>227.39500000000001</v>
      </c>
      <c r="AB368" s="60">
        <v>548.21199999999999</v>
      </c>
      <c r="AC368" s="62"/>
      <c r="AD368" s="61"/>
      <c r="AE368" s="61"/>
      <c r="AF368" s="61"/>
      <c r="AG368" s="61"/>
      <c r="AH368" s="61"/>
      <c r="AI368" s="61"/>
      <c r="AJ368" s="61"/>
      <c r="AK368" s="62"/>
      <c r="AL368" s="63"/>
      <c r="AM368" s="64"/>
      <c r="AN368" s="65" t="e">
        <v>#N/A</v>
      </c>
      <c r="AO368" s="61" t="e">
        <v>#N/A</v>
      </c>
      <c r="AP368" s="61" t="e">
        <v>#N/A</v>
      </c>
      <c r="AQ368" s="61" t="e">
        <v>#N/A</v>
      </c>
      <c r="AR368" s="61" t="e">
        <v>#N/A</v>
      </c>
      <c r="AS368" s="61" t="e">
        <v>#N/A</v>
      </c>
      <c r="AT368" s="61" t="e">
        <v>#N/A</v>
      </c>
      <c r="AU368" s="61" t="e">
        <v>#N/A</v>
      </c>
      <c r="AV368" s="61" t="e">
        <v>#N/A</v>
      </c>
      <c r="AW368" s="61" t="e">
        <v>#N/A</v>
      </c>
      <c r="AX368" s="65" t="e">
        <v>#N/A</v>
      </c>
      <c r="AY368" s="66">
        <v>1.0680000000000001</v>
      </c>
      <c r="AZ368" s="61">
        <v>5.1180000000000003</v>
      </c>
      <c r="BA368" s="61">
        <v>32.877000000000002</v>
      </c>
      <c r="BB368" s="61">
        <v>39.063000000000002</v>
      </c>
      <c r="BC368" s="61">
        <v>6.7000000000000004E-2</v>
      </c>
      <c r="BD368" s="61">
        <v>0.90400000000000003</v>
      </c>
      <c r="BE368" s="61">
        <v>0.09</v>
      </c>
      <c r="BF368" s="61" t="s">
        <v>122</v>
      </c>
      <c r="BG368" s="61">
        <v>5.8680000000000003</v>
      </c>
      <c r="BH368" s="61">
        <v>2.4590000000000001</v>
      </c>
      <c r="BI368" s="61">
        <v>6.4000000000000001E-2</v>
      </c>
      <c r="BJ368" s="61">
        <v>8.391</v>
      </c>
      <c r="BK368" s="66">
        <v>9.452</v>
      </c>
      <c r="BL368" s="67">
        <v>17.634</v>
      </c>
      <c r="BM368" s="61">
        <v>0.115</v>
      </c>
      <c r="BN368" s="61" t="s">
        <v>121</v>
      </c>
      <c r="BO368" s="61" t="s">
        <v>121</v>
      </c>
      <c r="BP368" s="61">
        <v>17.748999999999999</v>
      </c>
      <c r="BQ368" s="61">
        <v>285.69900000000001</v>
      </c>
      <c r="BR368" s="61">
        <v>12.381</v>
      </c>
      <c r="BS368" s="61">
        <v>0.91800000000000004</v>
      </c>
      <c r="BT368" s="61">
        <v>10.602</v>
      </c>
      <c r="BU368" s="61">
        <v>13.106</v>
      </c>
      <c r="BV368" s="61">
        <v>19.338000000000001</v>
      </c>
      <c r="BW368" s="61">
        <v>32.444000000000003</v>
      </c>
      <c r="BX368" s="67">
        <v>342.04399999999998</v>
      </c>
      <c r="BY368" s="68">
        <v>111847</v>
      </c>
      <c r="BZ368" s="68">
        <v>113431</v>
      </c>
      <c r="CA368" s="69">
        <v>10121</v>
      </c>
      <c r="CB368" s="68">
        <v>112204</v>
      </c>
      <c r="CC368" s="68">
        <v>3022</v>
      </c>
      <c r="CD368" s="61"/>
      <c r="CE368" s="64"/>
      <c r="CF368" s="64"/>
      <c r="CG368" s="70">
        <f t="shared" si="27"/>
        <v>4712.5680000000002</v>
      </c>
      <c r="CH368" s="70">
        <f t="shared" si="28"/>
        <v>425.08199999999999</v>
      </c>
      <c r="CI368" s="70">
        <f t="shared" si="29"/>
        <v>126.92400000000001</v>
      </c>
      <c r="CJ368" s="70">
        <f t="shared" si="30"/>
        <v>4697.5739999999996</v>
      </c>
      <c r="CK368" s="70">
        <f t="shared" si="30"/>
        <v>4764.1019999999999</v>
      </c>
      <c r="CL368" s="70">
        <f t="shared" si="26"/>
        <v>0</v>
      </c>
      <c r="CM368" s="61"/>
      <c r="CN368" s="61"/>
      <c r="CO368" s="61"/>
      <c r="CP368" s="61"/>
      <c r="CQ368" s="61"/>
      <c r="CR368" s="61"/>
      <c r="CS368" s="61"/>
      <c r="CT368" s="61"/>
      <c r="CU368" s="61"/>
      <c r="CV368" s="61"/>
      <c r="CW368" s="61"/>
      <c r="CX368" s="61"/>
      <c r="CY368" s="61"/>
      <c r="CZ368" s="61"/>
      <c r="DA368" s="61"/>
      <c r="DB368" s="61"/>
      <c r="DC368" s="61"/>
      <c r="DD368" s="61"/>
      <c r="DE368" s="61"/>
      <c r="DF368" s="61"/>
      <c r="DG368" s="61"/>
      <c r="DH368" s="61"/>
      <c r="DI368" s="61"/>
      <c r="DJ368" s="61"/>
      <c r="DK368" s="61"/>
      <c r="DL368" s="61"/>
      <c r="DM368" s="61"/>
      <c r="DN368" s="61"/>
      <c r="DO368" s="61"/>
      <c r="DP368" s="61"/>
      <c r="DQ368" s="61"/>
      <c r="DR368" s="61"/>
      <c r="DS368" s="61"/>
      <c r="DT368" s="61"/>
      <c r="DU368" s="61"/>
      <c r="DV368" s="61"/>
      <c r="DW368" s="61"/>
      <c r="DX368" s="61"/>
      <c r="DY368" s="61"/>
      <c r="DZ368" s="61"/>
      <c r="EA368" s="61"/>
      <c r="EB368" s="61"/>
      <c r="EC368" s="61"/>
      <c r="ED368" s="61"/>
      <c r="EE368" s="61"/>
      <c r="EF368" s="61"/>
      <c r="EG368" s="61"/>
      <c r="EH368" s="61"/>
      <c r="EI368" s="61"/>
      <c r="EJ368" s="61"/>
      <c r="EK368" s="61"/>
      <c r="EL368" s="61"/>
      <c r="EM368" s="61"/>
      <c r="EN368" s="61"/>
      <c r="EO368" s="61"/>
      <c r="EP368" s="61"/>
      <c r="EQ368" s="61"/>
      <c r="ER368" s="61"/>
      <c r="ES368" s="61"/>
      <c r="ET368" s="61"/>
      <c r="EU368" s="61"/>
      <c r="EV368" s="61"/>
      <c r="EW368" s="61"/>
    </row>
    <row r="369" spans="1:153">
      <c r="A369" s="56">
        <v>37803</v>
      </c>
      <c r="B369" s="57">
        <v>2003</v>
      </c>
      <c r="C369" s="71">
        <v>0.156</v>
      </c>
      <c r="D369" s="61">
        <v>2E-3</v>
      </c>
      <c r="E369" s="61">
        <v>28.734000000000002</v>
      </c>
      <c r="F369" s="61">
        <v>1.2070000000000001</v>
      </c>
      <c r="G369" s="61">
        <v>0.154</v>
      </c>
      <c r="H369" s="61">
        <v>4.1749999999999998</v>
      </c>
      <c r="I369" s="61">
        <v>10.211</v>
      </c>
      <c r="J369" s="61">
        <v>-6.0359999999999996</v>
      </c>
      <c r="K369" s="61"/>
      <c r="L369" s="61"/>
      <c r="M369" s="61">
        <v>22.698</v>
      </c>
      <c r="N369" s="61">
        <v>0.95299999999999996</v>
      </c>
      <c r="O369" s="71">
        <v>0.122</v>
      </c>
      <c r="P369" s="60">
        <v>174.30799999999999</v>
      </c>
      <c r="Q369" s="61">
        <v>33.241</v>
      </c>
      <c r="R369" s="61">
        <v>242.53299999999999</v>
      </c>
      <c r="S369" s="61">
        <v>524.60299999999995</v>
      </c>
      <c r="T369" s="61">
        <v>251.536</v>
      </c>
      <c r="U369" s="61">
        <v>14.76</v>
      </c>
      <c r="V369" s="61">
        <v>6.12</v>
      </c>
      <c r="W369" s="61">
        <v>9.6530000000000005</v>
      </c>
      <c r="X369" s="61">
        <v>174.30799999999999</v>
      </c>
      <c r="Y369" s="61">
        <v>34.984000000000002</v>
      </c>
      <c r="Z369" s="61">
        <v>32.472999999999999</v>
      </c>
      <c r="AA369" s="61">
        <v>241.76599999999999</v>
      </c>
      <c r="AB369" s="60">
        <v>523.83500000000004</v>
      </c>
      <c r="AC369" s="62"/>
      <c r="AD369" s="61"/>
      <c r="AE369" s="61"/>
      <c r="AF369" s="61"/>
      <c r="AG369" s="61"/>
      <c r="AH369" s="61"/>
      <c r="AI369" s="61"/>
      <c r="AJ369" s="61"/>
      <c r="AK369" s="62"/>
      <c r="AL369" s="63"/>
      <c r="AM369" s="64"/>
      <c r="AN369" s="65" t="e">
        <v>#N/A</v>
      </c>
      <c r="AO369" s="61" t="e">
        <v>#N/A</v>
      </c>
      <c r="AP369" s="61" t="e">
        <v>#N/A</v>
      </c>
      <c r="AQ369" s="61" t="e">
        <v>#N/A</v>
      </c>
      <c r="AR369" s="61" t="e">
        <v>#N/A</v>
      </c>
      <c r="AS369" s="61" t="e">
        <v>#N/A</v>
      </c>
      <c r="AT369" s="61" t="e">
        <v>#N/A</v>
      </c>
      <c r="AU369" s="61" t="e">
        <v>#N/A</v>
      </c>
      <c r="AV369" s="61" t="e">
        <v>#N/A</v>
      </c>
      <c r="AW369" s="61" t="e">
        <v>#N/A</v>
      </c>
      <c r="AX369" s="65" t="e">
        <v>#N/A</v>
      </c>
      <c r="AY369" s="66">
        <v>1.1040000000000001</v>
      </c>
      <c r="AZ369" s="61">
        <v>5.3730000000000002</v>
      </c>
      <c r="BA369" s="61">
        <v>33.972999999999999</v>
      </c>
      <c r="BB369" s="61">
        <v>40.450000000000003</v>
      </c>
      <c r="BC369" s="61">
        <v>6.5000000000000002E-2</v>
      </c>
      <c r="BD369" s="61">
        <v>0.93400000000000005</v>
      </c>
      <c r="BE369" s="61">
        <v>9.4E-2</v>
      </c>
      <c r="BF369" s="61" t="s">
        <v>122</v>
      </c>
      <c r="BG369" s="61">
        <v>6.0739999999999998</v>
      </c>
      <c r="BH369" s="61">
        <v>2.5819999999999999</v>
      </c>
      <c r="BI369" s="61">
        <v>6.5000000000000002E-2</v>
      </c>
      <c r="BJ369" s="61">
        <v>8.7210000000000001</v>
      </c>
      <c r="BK369" s="66">
        <v>9.8140000000000001</v>
      </c>
      <c r="BL369" s="67">
        <v>18.024000000000001</v>
      </c>
      <c r="BM369" s="61">
        <v>0.122</v>
      </c>
      <c r="BN369" s="61" t="s">
        <v>121</v>
      </c>
      <c r="BO369" s="61" t="s">
        <v>121</v>
      </c>
      <c r="BP369" s="61">
        <v>18.145</v>
      </c>
      <c r="BQ369" s="61">
        <v>247.78299999999999</v>
      </c>
      <c r="BR369" s="61">
        <v>12.433</v>
      </c>
      <c r="BS369" s="61">
        <v>0.63200000000000001</v>
      </c>
      <c r="BT369" s="61">
        <v>9.6530000000000005</v>
      </c>
      <c r="BU369" s="61">
        <v>14.962</v>
      </c>
      <c r="BV369" s="61">
        <v>20.527000000000001</v>
      </c>
      <c r="BW369" s="61">
        <v>35.488999999999997</v>
      </c>
      <c r="BX369" s="67">
        <v>305.99</v>
      </c>
      <c r="BY369" s="68">
        <v>113869</v>
      </c>
      <c r="BZ369" s="68">
        <v>114093</v>
      </c>
      <c r="CA369" s="69">
        <v>9256</v>
      </c>
      <c r="CB369" s="68">
        <v>118045</v>
      </c>
      <c r="CC369" s="68">
        <v>3191</v>
      </c>
      <c r="CD369" s="61"/>
      <c r="CE369" s="64"/>
      <c r="CF369" s="64"/>
      <c r="CG369" s="70">
        <f t="shared" si="27"/>
        <v>4957.8900000000003</v>
      </c>
      <c r="CH369" s="70">
        <f t="shared" si="28"/>
        <v>388.75200000000001</v>
      </c>
      <c r="CI369" s="70">
        <f t="shared" si="29"/>
        <v>134.02199999999999</v>
      </c>
      <c r="CJ369" s="70">
        <f t="shared" si="30"/>
        <v>4782.4979999999996</v>
      </c>
      <c r="CK369" s="70">
        <f t="shared" si="30"/>
        <v>4791.9059999999999</v>
      </c>
      <c r="CL369" s="70">
        <f t="shared" si="26"/>
        <v>0</v>
      </c>
      <c r="CM369" s="61"/>
      <c r="CN369" s="61"/>
      <c r="CO369" s="61"/>
      <c r="CP369" s="61"/>
      <c r="CQ369" s="61"/>
      <c r="CR369" s="61"/>
      <c r="CS369" s="61"/>
      <c r="CT369" s="61"/>
      <c r="CU369" s="61"/>
      <c r="CV369" s="61"/>
      <c r="CW369" s="61"/>
      <c r="CX369" s="61"/>
      <c r="CY369" s="61"/>
      <c r="CZ369" s="61"/>
      <c r="DA369" s="61"/>
      <c r="DB369" s="61"/>
      <c r="DC369" s="61"/>
      <c r="DD369" s="61"/>
      <c r="DE369" s="61"/>
      <c r="DF369" s="61"/>
      <c r="DG369" s="61"/>
      <c r="DH369" s="61"/>
      <c r="DI369" s="61"/>
      <c r="DJ369" s="61"/>
      <c r="DK369" s="61"/>
      <c r="DL369" s="61"/>
      <c r="DM369" s="61"/>
      <c r="DN369" s="61"/>
      <c r="DO369" s="61"/>
      <c r="DP369" s="61"/>
      <c r="DQ369" s="61"/>
      <c r="DR369" s="61"/>
      <c r="DS369" s="61"/>
      <c r="DT369" s="61"/>
      <c r="DU369" s="61"/>
      <c r="DV369" s="61"/>
      <c r="DW369" s="61"/>
      <c r="DX369" s="61"/>
      <c r="DY369" s="61"/>
      <c r="DZ369" s="61"/>
      <c r="EA369" s="61"/>
      <c r="EB369" s="61"/>
      <c r="EC369" s="61"/>
      <c r="ED369" s="61"/>
      <c r="EE369" s="61"/>
      <c r="EF369" s="61"/>
      <c r="EG369" s="61"/>
      <c r="EH369" s="61"/>
      <c r="EI369" s="61"/>
      <c r="EJ369" s="61"/>
      <c r="EK369" s="61"/>
      <c r="EL369" s="61"/>
      <c r="EM369" s="61"/>
      <c r="EN369" s="61"/>
      <c r="EO369" s="61"/>
      <c r="EP369" s="61"/>
      <c r="EQ369" s="61"/>
      <c r="ER369" s="61"/>
      <c r="ES369" s="61"/>
      <c r="ET369" s="61"/>
      <c r="EU369" s="61"/>
      <c r="EV369" s="61"/>
      <c r="EW369" s="61"/>
    </row>
    <row r="370" spans="1:153">
      <c r="A370" s="56">
        <v>37834</v>
      </c>
      <c r="B370" s="57">
        <v>2003</v>
      </c>
      <c r="C370" s="71">
        <v>0.156</v>
      </c>
      <c r="D370" s="61">
        <v>2E-3</v>
      </c>
      <c r="E370" s="61">
        <v>28.734000000000002</v>
      </c>
      <c r="F370" s="61">
        <v>1.2070000000000001</v>
      </c>
      <c r="G370" s="61">
        <v>0.154</v>
      </c>
      <c r="H370" s="61">
        <v>9.7460000000000004</v>
      </c>
      <c r="I370" s="61">
        <v>8.2170000000000005</v>
      </c>
      <c r="J370" s="61">
        <v>1.5289999999999999</v>
      </c>
      <c r="K370" s="61"/>
      <c r="L370" s="61"/>
      <c r="M370" s="61">
        <v>30.263000000000002</v>
      </c>
      <c r="N370" s="61">
        <v>1.2709999999999999</v>
      </c>
      <c r="O370" s="71">
        <v>0.16200000000000001</v>
      </c>
      <c r="P370" s="60">
        <v>171.77199999999999</v>
      </c>
      <c r="Q370" s="61">
        <v>33.6</v>
      </c>
      <c r="R370" s="61">
        <v>239.928</v>
      </c>
      <c r="S370" s="61">
        <v>501.50900000000001</v>
      </c>
      <c r="T370" s="61">
        <v>232.59200000000001</v>
      </c>
      <c r="U370" s="61">
        <v>14.673999999999999</v>
      </c>
      <c r="V370" s="61">
        <v>6.0579999999999998</v>
      </c>
      <c r="W370" s="61">
        <v>8.2560000000000002</v>
      </c>
      <c r="X370" s="61">
        <v>171.77199999999999</v>
      </c>
      <c r="Y370" s="61">
        <v>34.555999999999997</v>
      </c>
      <c r="Z370" s="61">
        <v>34.451000000000001</v>
      </c>
      <c r="AA370" s="61">
        <v>240.779</v>
      </c>
      <c r="AB370" s="60">
        <v>502.36</v>
      </c>
      <c r="AC370" s="62"/>
      <c r="AD370" s="61"/>
      <c r="AE370" s="61"/>
      <c r="AF370" s="61"/>
      <c r="AG370" s="61"/>
      <c r="AH370" s="61"/>
      <c r="AI370" s="61"/>
      <c r="AJ370" s="61"/>
      <c r="AK370" s="62"/>
      <c r="AL370" s="63"/>
      <c r="AM370" s="64"/>
      <c r="AN370" s="65" t="e">
        <v>#N/A</v>
      </c>
      <c r="AO370" s="61" t="e">
        <v>#N/A</v>
      </c>
      <c r="AP370" s="61" t="e">
        <v>#N/A</v>
      </c>
      <c r="AQ370" s="61" t="e">
        <v>#N/A</v>
      </c>
      <c r="AR370" s="61" t="e">
        <v>#N/A</v>
      </c>
      <c r="AS370" s="61" t="e">
        <v>#N/A</v>
      </c>
      <c r="AT370" s="61" t="e">
        <v>#N/A</v>
      </c>
      <c r="AU370" s="61" t="e">
        <v>#N/A</v>
      </c>
      <c r="AV370" s="61" t="e">
        <v>#N/A</v>
      </c>
      <c r="AW370" s="61" t="e">
        <v>#N/A</v>
      </c>
      <c r="AX370" s="65" t="e">
        <v>#N/A</v>
      </c>
      <c r="AY370" s="66">
        <v>1.1040000000000001</v>
      </c>
      <c r="AZ370" s="61">
        <v>5.3170000000000002</v>
      </c>
      <c r="BA370" s="61">
        <v>33.972999999999999</v>
      </c>
      <c r="BB370" s="61">
        <v>40.393999999999998</v>
      </c>
      <c r="BC370" s="61">
        <v>6.0999999999999999E-2</v>
      </c>
      <c r="BD370" s="61">
        <v>0.93400000000000005</v>
      </c>
      <c r="BE370" s="61">
        <v>9.2999999999999999E-2</v>
      </c>
      <c r="BF370" s="61" t="s">
        <v>122</v>
      </c>
      <c r="BG370" s="61">
        <v>6.08</v>
      </c>
      <c r="BH370" s="61">
        <v>2.5369999999999999</v>
      </c>
      <c r="BI370" s="61">
        <v>7.0999999999999994E-2</v>
      </c>
      <c r="BJ370" s="61">
        <v>8.6880000000000006</v>
      </c>
      <c r="BK370" s="66">
        <v>9.7759999999999998</v>
      </c>
      <c r="BL370" s="67">
        <v>19.768999999999998</v>
      </c>
      <c r="BM370" s="61">
        <v>0.16200000000000001</v>
      </c>
      <c r="BN370" s="61" t="s">
        <v>121</v>
      </c>
      <c r="BO370" s="61" t="s">
        <v>121</v>
      </c>
      <c r="BP370" s="61">
        <v>19.931000000000001</v>
      </c>
      <c r="BQ370" s="61">
        <v>228.79400000000001</v>
      </c>
      <c r="BR370" s="61">
        <v>12.347</v>
      </c>
      <c r="BS370" s="61">
        <v>0.628</v>
      </c>
      <c r="BT370" s="61">
        <v>8.2560000000000002</v>
      </c>
      <c r="BU370" s="61">
        <v>15.541</v>
      </c>
      <c r="BV370" s="61">
        <v>20.155999999999999</v>
      </c>
      <c r="BW370" s="61">
        <v>35.697000000000003</v>
      </c>
      <c r="BX370" s="67">
        <v>285.72199999999998</v>
      </c>
      <c r="BY370" s="68">
        <v>115643</v>
      </c>
      <c r="BZ370" s="68">
        <v>116323</v>
      </c>
      <c r="CA370" s="69">
        <v>11640</v>
      </c>
      <c r="CB370" s="68">
        <v>126524</v>
      </c>
      <c r="CC370" s="68">
        <v>2481</v>
      </c>
      <c r="CD370" s="61"/>
      <c r="CE370" s="64"/>
      <c r="CF370" s="64"/>
      <c r="CG370" s="70">
        <f t="shared" si="27"/>
        <v>5314.0079999999998</v>
      </c>
      <c r="CH370" s="70">
        <f t="shared" si="28"/>
        <v>488.88</v>
      </c>
      <c r="CI370" s="70">
        <f t="shared" si="29"/>
        <v>104.202</v>
      </c>
      <c r="CJ370" s="70">
        <f t="shared" si="30"/>
        <v>4857.0060000000003</v>
      </c>
      <c r="CK370" s="70">
        <f t="shared" si="30"/>
        <v>4885.5659999999998</v>
      </c>
      <c r="CL370" s="70">
        <f t="shared" si="26"/>
        <v>0</v>
      </c>
      <c r="CM370" s="61"/>
      <c r="CN370" s="61"/>
      <c r="CO370" s="61"/>
      <c r="CP370" s="61"/>
      <c r="CQ370" s="61"/>
      <c r="CR370" s="61"/>
      <c r="CS370" s="61"/>
      <c r="CT370" s="61"/>
      <c r="CU370" s="61"/>
      <c r="CV370" s="61"/>
      <c r="CW370" s="61"/>
      <c r="CX370" s="61"/>
      <c r="CY370" s="61"/>
      <c r="CZ370" s="61"/>
      <c r="DA370" s="61"/>
      <c r="DB370" s="61"/>
      <c r="DC370" s="61"/>
      <c r="DD370" s="61"/>
      <c r="DE370" s="61"/>
      <c r="DF370" s="61"/>
      <c r="DG370" s="61"/>
      <c r="DH370" s="61"/>
      <c r="DI370" s="61"/>
      <c r="DJ370" s="61"/>
      <c r="DK370" s="61"/>
      <c r="DL370" s="61"/>
      <c r="DM370" s="61"/>
      <c r="DN370" s="61"/>
      <c r="DO370" s="61"/>
      <c r="DP370" s="61"/>
      <c r="DQ370" s="61"/>
      <c r="DR370" s="61"/>
      <c r="DS370" s="61"/>
      <c r="DT370" s="61"/>
      <c r="DU370" s="61"/>
      <c r="DV370" s="61"/>
      <c r="DW370" s="61"/>
      <c r="DX370" s="61"/>
      <c r="DY370" s="61"/>
      <c r="DZ370" s="61"/>
      <c r="EA370" s="61"/>
      <c r="EB370" s="61"/>
      <c r="EC370" s="61"/>
      <c r="ED370" s="61"/>
      <c r="EE370" s="61"/>
      <c r="EF370" s="61"/>
      <c r="EG370" s="61"/>
      <c r="EH370" s="61"/>
      <c r="EI370" s="61"/>
      <c r="EJ370" s="61"/>
      <c r="EK370" s="61"/>
      <c r="EL370" s="61"/>
      <c r="EM370" s="61"/>
      <c r="EN370" s="61"/>
      <c r="EO370" s="61"/>
      <c r="EP370" s="61"/>
      <c r="EQ370" s="61"/>
      <c r="ER370" s="61"/>
      <c r="ES370" s="61"/>
      <c r="ET370" s="61"/>
      <c r="EU370" s="61"/>
      <c r="EV370" s="61"/>
      <c r="EW370" s="61"/>
    </row>
    <row r="371" spans="1:153">
      <c r="A371" s="56">
        <v>37865</v>
      </c>
      <c r="B371" s="57">
        <v>2003</v>
      </c>
      <c r="C371" s="71">
        <v>0.151</v>
      </c>
      <c r="D371" s="61">
        <v>2E-3</v>
      </c>
      <c r="E371" s="61">
        <v>27.806999999999999</v>
      </c>
      <c r="F371" s="61">
        <v>1.1679999999999999</v>
      </c>
      <c r="G371" s="61">
        <v>0.14899999999999999</v>
      </c>
      <c r="H371" s="61">
        <v>14.551</v>
      </c>
      <c r="I371" s="61">
        <v>6.4809999999999999</v>
      </c>
      <c r="J371" s="61">
        <v>8.07</v>
      </c>
      <c r="K371" s="61"/>
      <c r="L371" s="61"/>
      <c r="M371" s="61">
        <v>35.877000000000002</v>
      </c>
      <c r="N371" s="61">
        <v>1.5069999999999999</v>
      </c>
      <c r="O371" s="71">
        <v>0.192</v>
      </c>
      <c r="P371" s="60">
        <v>164.17</v>
      </c>
      <c r="Q371" s="61">
        <v>34.168999999999997</v>
      </c>
      <c r="R371" s="61">
        <v>230.96799999999999</v>
      </c>
      <c r="S371" s="61">
        <v>447.10199999999998</v>
      </c>
      <c r="T371" s="61">
        <v>187.11500000000001</v>
      </c>
      <c r="U371" s="61">
        <v>14.436999999999999</v>
      </c>
      <c r="V371" s="61">
        <v>5.5190000000000001</v>
      </c>
      <c r="W371" s="61">
        <v>9.0619999999999994</v>
      </c>
      <c r="X371" s="61">
        <v>164.17</v>
      </c>
      <c r="Y371" s="61">
        <v>32.628</v>
      </c>
      <c r="Z371" s="61">
        <v>32.475000000000001</v>
      </c>
      <c r="AA371" s="61">
        <v>229.274</v>
      </c>
      <c r="AB371" s="60">
        <v>445.40699999999998</v>
      </c>
      <c r="AC371" s="62"/>
      <c r="AD371" s="61"/>
      <c r="AE371" s="61"/>
      <c r="AF371" s="61"/>
      <c r="AG371" s="61"/>
      <c r="AH371" s="61"/>
      <c r="AI371" s="61"/>
      <c r="AJ371" s="61"/>
      <c r="AK371" s="62"/>
      <c r="AL371" s="63"/>
      <c r="AM371" s="64"/>
      <c r="AN371" s="65" t="e">
        <v>#N/A</v>
      </c>
      <c r="AO371" s="61" t="e">
        <v>#N/A</v>
      </c>
      <c r="AP371" s="61" t="e">
        <v>#N/A</v>
      </c>
      <c r="AQ371" s="61" t="e">
        <v>#N/A</v>
      </c>
      <c r="AR371" s="61" t="e">
        <v>#N/A</v>
      </c>
      <c r="AS371" s="61" t="e">
        <v>#N/A</v>
      </c>
      <c r="AT371" s="61" t="e">
        <v>#N/A</v>
      </c>
      <c r="AU371" s="61" t="e">
        <v>#N/A</v>
      </c>
      <c r="AV371" s="61" t="e">
        <v>#N/A</v>
      </c>
      <c r="AW371" s="61" t="e">
        <v>#N/A</v>
      </c>
      <c r="AX371" s="65" t="e">
        <v>#N/A</v>
      </c>
      <c r="AY371" s="66">
        <v>1.0680000000000001</v>
      </c>
      <c r="AZ371" s="61">
        <v>4.8490000000000002</v>
      </c>
      <c r="BA371" s="61">
        <v>32.877000000000002</v>
      </c>
      <c r="BB371" s="61">
        <v>38.795000000000002</v>
      </c>
      <c r="BC371" s="61">
        <v>4.9000000000000002E-2</v>
      </c>
      <c r="BD371" s="61">
        <v>0.90400000000000003</v>
      </c>
      <c r="BE371" s="61">
        <v>8.5000000000000006E-2</v>
      </c>
      <c r="BF371" s="61" t="s">
        <v>122</v>
      </c>
      <c r="BG371" s="61">
        <v>5.8710000000000004</v>
      </c>
      <c r="BH371" s="61">
        <v>2.3050000000000002</v>
      </c>
      <c r="BI371" s="61">
        <v>6.3E-2</v>
      </c>
      <c r="BJ371" s="61">
        <v>8.2390000000000008</v>
      </c>
      <c r="BK371" s="66">
        <v>9.2780000000000005</v>
      </c>
      <c r="BL371" s="67">
        <v>17.573</v>
      </c>
      <c r="BM371" s="61">
        <v>0.192</v>
      </c>
      <c r="BN371" s="61" t="s">
        <v>121</v>
      </c>
      <c r="BO371" s="61" t="s">
        <v>121</v>
      </c>
      <c r="BP371" s="61">
        <v>17.765000000000001</v>
      </c>
      <c r="BQ371" s="61">
        <v>183.70500000000001</v>
      </c>
      <c r="BR371" s="61">
        <v>12.185</v>
      </c>
      <c r="BS371" s="61">
        <v>0.56599999999999995</v>
      </c>
      <c r="BT371" s="61">
        <v>9.0619999999999994</v>
      </c>
      <c r="BU371" s="61">
        <v>13.801</v>
      </c>
      <c r="BV371" s="61">
        <v>18.989999999999998</v>
      </c>
      <c r="BW371" s="61">
        <v>32.790999999999997</v>
      </c>
      <c r="BX371" s="67">
        <v>238.31</v>
      </c>
      <c r="BY371" s="68">
        <v>111615</v>
      </c>
      <c r="BZ371" s="68">
        <v>116136</v>
      </c>
      <c r="CA371" s="69">
        <v>10571</v>
      </c>
      <c r="CB371" s="68">
        <v>131293</v>
      </c>
      <c r="CC371" s="68">
        <v>1281</v>
      </c>
      <c r="CD371" s="61"/>
      <c r="CE371" s="64"/>
      <c r="CF371" s="64"/>
      <c r="CG371" s="70">
        <f t="shared" si="27"/>
        <v>5514.3059999999996</v>
      </c>
      <c r="CH371" s="70">
        <f t="shared" si="28"/>
        <v>443.98200000000003</v>
      </c>
      <c r="CI371" s="70">
        <f t="shared" si="29"/>
        <v>53.802</v>
      </c>
      <c r="CJ371" s="70">
        <f t="shared" si="30"/>
        <v>4687.83</v>
      </c>
      <c r="CK371" s="70">
        <f t="shared" si="30"/>
        <v>4877.7120000000004</v>
      </c>
      <c r="CL371" s="70">
        <f t="shared" si="26"/>
        <v>0</v>
      </c>
      <c r="CM371" s="61"/>
      <c r="CN371" s="61"/>
      <c r="CO371" s="61"/>
      <c r="CP371" s="61"/>
      <c r="CQ371" s="61"/>
      <c r="CR371" s="61"/>
      <c r="CS371" s="61"/>
      <c r="CT371" s="61"/>
      <c r="CU371" s="61"/>
      <c r="CV371" s="61"/>
      <c r="CW371" s="61"/>
      <c r="CX371" s="61"/>
      <c r="CY371" s="61"/>
      <c r="CZ371" s="61"/>
      <c r="DA371" s="61"/>
      <c r="DB371" s="61"/>
      <c r="DC371" s="61"/>
      <c r="DD371" s="61"/>
      <c r="DE371" s="61"/>
      <c r="DF371" s="61"/>
      <c r="DG371" s="61"/>
      <c r="DH371" s="61"/>
      <c r="DI371" s="61"/>
      <c r="DJ371" s="61"/>
      <c r="DK371" s="61"/>
      <c r="DL371" s="61"/>
      <c r="DM371" s="61"/>
      <c r="DN371" s="61"/>
      <c r="DO371" s="61"/>
      <c r="DP371" s="61"/>
      <c r="DQ371" s="61"/>
      <c r="DR371" s="61"/>
      <c r="DS371" s="61"/>
      <c r="DT371" s="61"/>
      <c r="DU371" s="61"/>
      <c r="DV371" s="61"/>
      <c r="DW371" s="61"/>
      <c r="DX371" s="61"/>
      <c r="DY371" s="61"/>
      <c r="DZ371" s="61"/>
      <c r="EA371" s="61"/>
      <c r="EB371" s="61"/>
      <c r="EC371" s="61"/>
      <c r="ED371" s="61"/>
      <c r="EE371" s="61"/>
      <c r="EF371" s="61"/>
      <c r="EG371" s="61"/>
      <c r="EH371" s="61"/>
      <c r="EI371" s="61"/>
      <c r="EJ371" s="61"/>
      <c r="EK371" s="61"/>
      <c r="EL371" s="61"/>
      <c r="EM371" s="61"/>
      <c r="EN371" s="61"/>
      <c r="EO371" s="61"/>
      <c r="EP371" s="61"/>
      <c r="EQ371" s="61"/>
      <c r="ER371" s="61"/>
      <c r="ES371" s="61"/>
      <c r="ET371" s="61"/>
      <c r="EU371" s="61"/>
      <c r="EV371" s="61"/>
      <c r="EW371" s="61"/>
    </row>
    <row r="372" spans="1:153">
      <c r="A372" s="56">
        <v>37895</v>
      </c>
      <c r="B372" s="57">
        <v>2003</v>
      </c>
      <c r="C372" s="71">
        <v>0.156</v>
      </c>
      <c r="D372" s="61">
        <v>2E-3</v>
      </c>
      <c r="E372" s="61">
        <v>28.734000000000002</v>
      </c>
      <c r="F372" s="61">
        <v>1.2070000000000001</v>
      </c>
      <c r="G372" s="61">
        <v>0.154</v>
      </c>
      <c r="H372" s="61">
        <v>2.9620000000000002</v>
      </c>
      <c r="I372" s="61">
        <v>8.6449999999999996</v>
      </c>
      <c r="J372" s="61">
        <v>-5.6820000000000004</v>
      </c>
      <c r="K372" s="61"/>
      <c r="L372" s="61"/>
      <c r="M372" s="61">
        <v>23.052</v>
      </c>
      <c r="N372" s="61">
        <v>0.96799999999999997</v>
      </c>
      <c r="O372" s="71">
        <v>0.124</v>
      </c>
      <c r="P372" s="60">
        <v>169.07499999999999</v>
      </c>
      <c r="Q372" s="61">
        <v>35.036000000000001</v>
      </c>
      <c r="R372" s="61">
        <v>236.93799999999999</v>
      </c>
      <c r="S372" s="61">
        <v>451.91300000000001</v>
      </c>
      <c r="T372" s="61">
        <v>186.58799999999999</v>
      </c>
      <c r="U372" s="61">
        <v>14.430999999999999</v>
      </c>
      <c r="V372" s="61">
        <v>4.8730000000000002</v>
      </c>
      <c r="W372" s="61">
        <v>9.0839999999999996</v>
      </c>
      <c r="X372" s="61">
        <v>169.07499999999999</v>
      </c>
      <c r="Y372" s="61">
        <v>32.826999999999998</v>
      </c>
      <c r="Z372" s="61">
        <v>35.228000000000002</v>
      </c>
      <c r="AA372" s="61">
        <v>237.12899999999999</v>
      </c>
      <c r="AB372" s="60">
        <v>452.10500000000002</v>
      </c>
      <c r="AC372" s="62"/>
      <c r="AD372" s="61"/>
      <c r="AE372" s="61"/>
      <c r="AF372" s="61"/>
      <c r="AG372" s="61"/>
      <c r="AH372" s="61"/>
      <c r="AI372" s="61"/>
      <c r="AJ372" s="61"/>
      <c r="AK372" s="62"/>
      <c r="AL372" s="63"/>
      <c r="AM372" s="64"/>
      <c r="AN372" s="65" t="e">
        <v>#N/A</v>
      </c>
      <c r="AO372" s="61" t="e">
        <v>#N/A</v>
      </c>
      <c r="AP372" s="61" t="e">
        <v>#N/A</v>
      </c>
      <c r="AQ372" s="61" t="e">
        <v>#N/A</v>
      </c>
      <c r="AR372" s="61" t="e">
        <v>#N/A</v>
      </c>
      <c r="AS372" s="61" t="e">
        <v>#N/A</v>
      </c>
      <c r="AT372" s="61" t="e">
        <v>#N/A</v>
      </c>
      <c r="AU372" s="61" t="e">
        <v>#N/A</v>
      </c>
      <c r="AV372" s="61" t="e">
        <v>#N/A</v>
      </c>
      <c r="AW372" s="61" t="e">
        <v>#N/A</v>
      </c>
      <c r="AX372" s="65" t="e">
        <v>#N/A</v>
      </c>
      <c r="AY372" s="66">
        <v>1.1040000000000001</v>
      </c>
      <c r="AZ372" s="61">
        <v>4.42</v>
      </c>
      <c r="BA372" s="61">
        <v>33.972999999999999</v>
      </c>
      <c r="BB372" s="61">
        <v>39.497</v>
      </c>
      <c r="BC372" s="61">
        <v>5.5E-2</v>
      </c>
      <c r="BD372" s="61">
        <v>0.93400000000000005</v>
      </c>
      <c r="BE372" s="61">
        <v>7.6999999999999999E-2</v>
      </c>
      <c r="BF372" s="61" t="s">
        <v>122</v>
      </c>
      <c r="BG372" s="61">
        <v>6.0640000000000001</v>
      </c>
      <c r="BH372" s="61">
        <v>2.3759999999999999</v>
      </c>
      <c r="BI372" s="61">
        <v>7.1999999999999995E-2</v>
      </c>
      <c r="BJ372" s="61">
        <v>8.5120000000000005</v>
      </c>
      <c r="BK372" s="66">
        <v>9.5790000000000006</v>
      </c>
      <c r="BL372" s="67">
        <v>19.975999999999999</v>
      </c>
      <c r="BM372" s="61">
        <v>0.124</v>
      </c>
      <c r="BN372" s="61" t="s">
        <v>121</v>
      </c>
      <c r="BO372" s="61" t="s">
        <v>121</v>
      </c>
      <c r="BP372" s="61">
        <v>20.100000000000001</v>
      </c>
      <c r="BQ372" s="61">
        <v>183.19200000000001</v>
      </c>
      <c r="BR372" s="61">
        <v>12.103999999999999</v>
      </c>
      <c r="BS372" s="61">
        <v>0.35899999999999999</v>
      </c>
      <c r="BT372" s="61">
        <v>9.0839999999999996</v>
      </c>
      <c r="BU372" s="61">
        <v>13.763</v>
      </c>
      <c r="BV372" s="61">
        <v>18.420000000000002</v>
      </c>
      <c r="BW372" s="61">
        <v>32.183</v>
      </c>
      <c r="BX372" s="67">
        <v>236.92099999999999</v>
      </c>
      <c r="BY372" s="68">
        <v>116259</v>
      </c>
      <c r="BZ372" s="68">
        <v>122285</v>
      </c>
      <c r="CA372" s="69">
        <v>8721</v>
      </c>
      <c r="CB372" s="68">
        <v>132067</v>
      </c>
      <c r="CC372" s="68">
        <v>1921</v>
      </c>
      <c r="CD372" s="61"/>
      <c r="CE372" s="64"/>
      <c r="CF372" s="64"/>
      <c r="CG372" s="70">
        <f t="shared" si="27"/>
        <v>5546.8140000000003</v>
      </c>
      <c r="CH372" s="70">
        <f t="shared" si="28"/>
        <v>366.28199999999998</v>
      </c>
      <c r="CI372" s="70">
        <f t="shared" si="29"/>
        <v>80.682000000000002</v>
      </c>
      <c r="CJ372" s="70">
        <f t="shared" si="30"/>
        <v>4882.8779999999997</v>
      </c>
      <c r="CK372" s="70">
        <f t="shared" si="30"/>
        <v>5135.97</v>
      </c>
      <c r="CL372" s="70">
        <f t="shared" si="26"/>
        <v>0</v>
      </c>
      <c r="CM372" s="61"/>
      <c r="CN372" s="61"/>
      <c r="CO372" s="61"/>
      <c r="CP372" s="61"/>
      <c r="CQ372" s="61"/>
      <c r="CR372" s="61"/>
      <c r="CS372" s="61"/>
      <c r="CT372" s="61"/>
      <c r="CU372" s="61"/>
      <c r="CV372" s="61"/>
      <c r="CW372" s="61"/>
      <c r="CX372" s="61"/>
      <c r="CY372" s="61"/>
      <c r="CZ372" s="61"/>
      <c r="DA372" s="61"/>
      <c r="DB372" s="61"/>
      <c r="DC372" s="61"/>
      <c r="DD372" s="61"/>
      <c r="DE372" s="61"/>
      <c r="DF372" s="61"/>
      <c r="DG372" s="61"/>
      <c r="DH372" s="61"/>
      <c r="DI372" s="61"/>
      <c r="DJ372" s="61"/>
      <c r="DK372" s="61"/>
      <c r="DL372" s="61"/>
      <c r="DM372" s="61"/>
      <c r="DN372" s="61"/>
      <c r="DO372" s="61"/>
      <c r="DP372" s="61"/>
      <c r="DQ372" s="61"/>
      <c r="DR372" s="61"/>
      <c r="DS372" s="61"/>
      <c r="DT372" s="61"/>
      <c r="DU372" s="61"/>
      <c r="DV372" s="61"/>
      <c r="DW372" s="61"/>
      <c r="DX372" s="61"/>
      <c r="DY372" s="61"/>
      <c r="DZ372" s="61"/>
      <c r="EA372" s="61"/>
      <c r="EB372" s="61"/>
      <c r="EC372" s="61"/>
      <c r="ED372" s="61"/>
      <c r="EE372" s="61"/>
      <c r="EF372" s="61"/>
      <c r="EG372" s="61"/>
      <c r="EH372" s="61"/>
      <c r="EI372" s="61"/>
      <c r="EJ372" s="61"/>
      <c r="EK372" s="61"/>
      <c r="EL372" s="61"/>
      <c r="EM372" s="61"/>
      <c r="EN372" s="61"/>
      <c r="EO372" s="61"/>
      <c r="EP372" s="61"/>
      <c r="EQ372" s="61"/>
      <c r="ER372" s="61"/>
      <c r="ES372" s="61"/>
      <c r="ET372" s="61"/>
      <c r="EU372" s="61"/>
      <c r="EV372" s="61"/>
      <c r="EW372" s="61"/>
    </row>
    <row r="373" spans="1:153">
      <c r="A373" s="56">
        <v>37926</v>
      </c>
      <c r="B373" s="57">
        <v>2003</v>
      </c>
      <c r="C373" s="71">
        <v>0.151</v>
      </c>
      <c r="D373" s="61">
        <v>2E-3</v>
      </c>
      <c r="E373" s="61">
        <v>27.806999999999999</v>
      </c>
      <c r="F373" s="61">
        <v>1.1679999999999999</v>
      </c>
      <c r="G373" s="61">
        <v>0.14899999999999999</v>
      </c>
      <c r="H373" s="61">
        <v>29.379000000000001</v>
      </c>
      <c r="I373" s="61">
        <v>9.75</v>
      </c>
      <c r="J373" s="61">
        <v>19.629000000000001</v>
      </c>
      <c r="K373" s="61"/>
      <c r="L373" s="61"/>
      <c r="M373" s="61">
        <v>47.436999999999998</v>
      </c>
      <c r="N373" s="61">
        <v>1.992</v>
      </c>
      <c r="O373" s="71">
        <v>0.254</v>
      </c>
      <c r="P373" s="60">
        <v>166.30600000000001</v>
      </c>
      <c r="Q373" s="61">
        <v>34.893000000000001</v>
      </c>
      <c r="R373" s="61">
        <v>233.69800000000001</v>
      </c>
      <c r="S373" s="61">
        <v>460.803</v>
      </c>
      <c r="T373" s="61">
        <v>199.61699999999999</v>
      </c>
      <c r="U373" s="61">
        <v>13.907999999999999</v>
      </c>
      <c r="V373" s="61">
        <v>3.8450000000000002</v>
      </c>
      <c r="W373" s="61">
        <v>9.7349999999999994</v>
      </c>
      <c r="X373" s="61">
        <v>166.30600000000001</v>
      </c>
      <c r="Y373" s="61">
        <v>32.497999999999998</v>
      </c>
      <c r="Z373" s="61">
        <v>37.877000000000002</v>
      </c>
      <c r="AA373" s="61">
        <v>236.68199999999999</v>
      </c>
      <c r="AB373" s="60">
        <v>463.78699999999998</v>
      </c>
      <c r="AC373" s="62"/>
      <c r="AD373" s="61"/>
      <c r="AE373" s="61"/>
      <c r="AF373" s="61"/>
      <c r="AG373" s="61"/>
      <c r="AH373" s="61"/>
      <c r="AI373" s="61"/>
      <c r="AJ373" s="61"/>
      <c r="AK373" s="62"/>
      <c r="AL373" s="63"/>
      <c r="AM373" s="64"/>
      <c r="AN373" s="65" t="e">
        <v>#N/A</v>
      </c>
      <c r="AO373" s="61" t="e">
        <v>#N/A</v>
      </c>
      <c r="AP373" s="61" t="e">
        <v>#N/A</v>
      </c>
      <c r="AQ373" s="61" t="e">
        <v>#N/A</v>
      </c>
      <c r="AR373" s="61" t="e">
        <v>#N/A</v>
      </c>
      <c r="AS373" s="61" t="e">
        <v>#N/A</v>
      </c>
      <c r="AT373" s="61" t="e">
        <v>#N/A</v>
      </c>
      <c r="AU373" s="61" t="e">
        <v>#N/A</v>
      </c>
      <c r="AV373" s="61" t="e">
        <v>#N/A</v>
      </c>
      <c r="AW373" s="61" t="e">
        <v>#N/A</v>
      </c>
      <c r="AX373" s="65" t="e">
        <v>#N/A</v>
      </c>
      <c r="AY373" s="66">
        <v>1.0680000000000001</v>
      </c>
      <c r="AZ373" s="61">
        <v>3.6259999999999999</v>
      </c>
      <c r="BA373" s="61">
        <v>32.877000000000002</v>
      </c>
      <c r="BB373" s="61">
        <v>37.570999999999998</v>
      </c>
      <c r="BC373" s="61">
        <v>0.06</v>
      </c>
      <c r="BD373" s="61">
        <v>0.90400000000000003</v>
      </c>
      <c r="BE373" s="61">
        <v>6.3E-2</v>
      </c>
      <c r="BF373" s="61" t="s">
        <v>122</v>
      </c>
      <c r="BG373" s="61">
        <v>5.8719999999999999</v>
      </c>
      <c r="BH373" s="61">
        <v>2.266</v>
      </c>
      <c r="BI373" s="61">
        <v>8.1000000000000003E-2</v>
      </c>
      <c r="BJ373" s="61">
        <v>8.2189999999999994</v>
      </c>
      <c r="BK373" s="66">
        <v>9.2460000000000004</v>
      </c>
      <c r="BL373" s="67">
        <v>22.495000000000001</v>
      </c>
      <c r="BM373" s="61">
        <v>0.254</v>
      </c>
      <c r="BN373" s="61" t="s">
        <v>121</v>
      </c>
      <c r="BO373" s="61" t="s">
        <v>121</v>
      </c>
      <c r="BP373" s="61">
        <v>22.748999999999999</v>
      </c>
      <c r="BQ373" s="61">
        <v>196.04900000000001</v>
      </c>
      <c r="BR373" s="61">
        <v>11.656000000000001</v>
      </c>
      <c r="BS373" s="61">
        <v>0.14199999999999999</v>
      </c>
      <c r="BT373" s="61">
        <v>9.7349999999999994</v>
      </c>
      <c r="BU373" s="61">
        <v>14.334</v>
      </c>
      <c r="BV373" s="61">
        <v>18.565999999999999</v>
      </c>
      <c r="BW373" s="61">
        <v>32.9</v>
      </c>
      <c r="BX373" s="67">
        <v>250.483</v>
      </c>
      <c r="BY373" s="68">
        <v>113990</v>
      </c>
      <c r="BZ373" s="68">
        <v>114712</v>
      </c>
      <c r="CA373" s="69">
        <v>7227</v>
      </c>
      <c r="CB373" s="68">
        <v>136137</v>
      </c>
      <c r="CC373" s="68">
        <v>2435</v>
      </c>
      <c r="CD373" s="61"/>
      <c r="CE373" s="64"/>
      <c r="CF373" s="64"/>
      <c r="CG373" s="70">
        <f t="shared" si="27"/>
        <v>5717.7539999999999</v>
      </c>
      <c r="CH373" s="70">
        <f t="shared" si="28"/>
        <v>303.53399999999999</v>
      </c>
      <c r="CI373" s="70">
        <f t="shared" si="29"/>
        <v>102.27</v>
      </c>
      <c r="CJ373" s="70">
        <f t="shared" si="30"/>
        <v>4787.58</v>
      </c>
      <c r="CK373" s="70">
        <f t="shared" si="30"/>
        <v>4817.9040000000005</v>
      </c>
      <c r="CL373" s="70">
        <f t="shared" si="26"/>
        <v>0</v>
      </c>
      <c r="CM373" s="61"/>
      <c r="CN373" s="61"/>
      <c r="CO373" s="61"/>
      <c r="CP373" s="61"/>
      <c r="CQ373" s="61"/>
      <c r="CR373" s="61"/>
      <c r="CS373" s="61"/>
      <c r="CT373" s="61"/>
      <c r="CU373" s="61"/>
      <c r="CV373" s="61"/>
      <c r="CW373" s="61"/>
      <c r="CX373" s="61"/>
      <c r="CY373" s="61"/>
      <c r="CZ373" s="61"/>
      <c r="DA373" s="61"/>
      <c r="DB373" s="61"/>
      <c r="DC373" s="61"/>
      <c r="DD373" s="61"/>
      <c r="DE373" s="61"/>
      <c r="DF373" s="61"/>
      <c r="DG373" s="61"/>
      <c r="DH373" s="61"/>
      <c r="DI373" s="61"/>
      <c r="DJ373" s="61"/>
      <c r="DK373" s="61"/>
      <c r="DL373" s="61"/>
      <c r="DM373" s="61"/>
      <c r="DN373" s="61"/>
      <c r="DO373" s="61"/>
      <c r="DP373" s="61"/>
      <c r="DQ373" s="61"/>
      <c r="DR373" s="61"/>
      <c r="DS373" s="61"/>
      <c r="DT373" s="61"/>
      <c r="DU373" s="61"/>
      <c r="DV373" s="61"/>
      <c r="DW373" s="61"/>
      <c r="DX373" s="61"/>
      <c r="DY373" s="61"/>
      <c r="DZ373" s="61"/>
      <c r="EA373" s="61"/>
      <c r="EB373" s="61"/>
      <c r="EC373" s="61"/>
      <c r="ED373" s="61"/>
      <c r="EE373" s="61"/>
      <c r="EF373" s="61"/>
      <c r="EG373" s="61"/>
      <c r="EH373" s="61"/>
      <c r="EI373" s="61"/>
      <c r="EJ373" s="61"/>
      <c r="EK373" s="61"/>
      <c r="EL373" s="61"/>
      <c r="EM373" s="61"/>
      <c r="EN373" s="61"/>
      <c r="EO373" s="61"/>
      <c r="EP373" s="61"/>
      <c r="EQ373" s="61"/>
      <c r="ER373" s="61"/>
      <c r="ES373" s="61"/>
      <c r="ET373" s="61"/>
      <c r="EU373" s="61"/>
      <c r="EV373" s="61"/>
      <c r="EW373" s="61"/>
    </row>
    <row r="374" spans="1:153">
      <c r="A374" s="56">
        <v>37956</v>
      </c>
      <c r="B374" s="57">
        <v>2003</v>
      </c>
      <c r="C374" s="71">
        <v>0.156</v>
      </c>
      <c r="D374" s="61">
        <v>2E-3</v>
      </c>
      <c r="E374" s="61">
        <v>28.734000000000002</v>
      </c>
      <c r="F374" s="61">
        <v>1.2070000000000001</v>
      </c>
      <c r="G374" s="61">
        <v>0.154</v>
      </c>
      <c r="H374" s="61">
        <v>3.4279999999999999</v>
      </c>
      <c r="I374" s="61">
        <v>10.179</v>
      </c>
      <c r="J374" s="61">
        <v>-6.7510000000000003</v>
      </c>
      <c r="K374" s="61"/>
      <c r="L374" s="61"/>
      <c r="M374" s="61">
        <v>21.983000000000001</v>
      </c>
      <c r="N374" s="61">
        <v>0.92300000000000004</v>
      </c>
      <c r="O374" s="71">
        <v>0.11799999999999999</v>
      </c>
      <c r="P374" s="60">
        <v>177.447</v>
      </c>
      <c r="Q374" s="61">
        <v>38.591000000000001</v>
      </c>
      <c r="R374" s="61">
        <v>251.16</v>
      </c>
      <c r="S374" s="61">
        <v>524.51800000000003</v>
      </c>
      <c r="T374" s="61">
        <v>243.44900000000001</v>
      </c>
      <c r="U374" s="61">
        <v>15.164</v>
      </c>
      <c r="V374" s="61">
        <v>3.5579999999999998</v>
      </c>
      <c r="W374" s="61">
        <v>11.186999999999999</v>
      </c>
      <c r="X374" s="61">
        <v>177.447</v>
      </c>
      <c r="Y374" s="61">
        <v>35.122999999999998</v>
      </c>
      <c r="Z374" s="61">
        <v>40.284999999999997</v>
      </c>
      <c r="AA374" s="61">
        <v>252.85499999999999</v>
      </c>
      <c r="AB374" s="60">
        <v>526.21199999999999</v>
      </c>
      <c r="AC374" s="62"/>
      <c r="AD374" s="61"/>
      <c r="AE374" s="61"/>
      <c r="AF374" s="61"/>
      <c r="AG374" s="61"/>
      <c r="AH374" s="61"/>
      <c r="AI374" s="61"/>
      <c r="AJ374" s="61"/>
      <c r="AK374" s="62"/>
      <c r="AL374" s="63"/>
      <c r="AM374" s="64"/>
      <c r="AN374" s="65" t="e">
        <v>#N/A</v>
      </c>
      <c r="AO374" s="61" t="e">
        <v>#N/A</v>
      </c>
      <c r="AP374" s="61" t="e">
        <v>#N/A</v>
      </c>
      <c r="AQ374" s="61" t="e">
        <v>#N/A</v>
      </c>
      <c r="AR374" s="61" t="e">
        <v>#N/A</v>
      </c>
      <c r="AS374" s="61" t="e">
        <v>#N/A</v>
      </c>
      <c r="AT374" s="61" t="e">
        <v>#N/A</v>
      </c>
      <c r="AU374" s="61" t="e">
        <v>#N/A</v>
      </c>
      <c r="AV374" s="61" t="e">
        <v>#N/A</v>
      </c>
      <c r="AW374" s="61" t="e">
        <v>#N/A</v>
      </c>
      <c r="AX374" s="65" t="e">
        <v>#N/A</v>
      </c>
      <c r="AY374" s="66">
        <v>1.1040000000000001</v>
      </c>
      <c r="AZ374" s="61">
        <v>3.4409999999999998</v>
      </c>
      <c r="BA374" s="61">
        <v>33.972999999999999</v>
      </c>
      <c r="BB374" s="61">
        <v>38.518000000000001</v>
      </c>
      <c r="BC374" s="61">
        <v>6.6000000000000003E-2</v>
      </c>
      <c r="BD374" s="61">
        <v>0.93400000000000005</v>
      </c>
      <c r="BE374" s="61">
        <v>0.06</v>
      </c>
      <c r="BF374" s="61" t="s">
        <v>122</v>
      </c>
      <c r="BG374" s="61">
        <v>6.0730000000000004</v>
      </c>
      <c r="BH374" s="61">
        <v>2.5939999999999999</v>
      </c>
      <c r="BI374" s="61">
        <v>8.5000000000000006E-2</v>
      </c>
      <c r="BJ374" s="61">
        <v>8.7520000000000007</v>
      </c>
      <c r="BK374" s="66">
        <v>9.8130000000000006</v>
      </c>
      <c r="BL374" s="67">
        <v>23.463999999999999</v>
      </c>
      <c r="BM374" s="61">
        <v>0.11799999999999999</v>
      </c>
      <c r="BN374" s="61" t="s">
        <v>121</v>
      </c>
      <c r="BO374" s="61" t="s">
        <v>121</v>
      </c>
      <c r="BP374" s="61">
        <v>23.582000000000001</v>
      </c>
      <c r="BQ374" s="61">
        <v>238.62100000000001</v>
      </c>
      <c r="BR374" s="61">
        <v>12.837</v>
      </c>
      <c r="BS374" s="61">
        <v>4.2999999999999997E-2</v>
      </c>
      <c r="BT374" s="61">
        <v>11.186999999999999</v>
      </c>
      <c r="BU374" s="61">
        <v>15.201000000000001</v>
      </c>
      <c r="BV374" s="61">
        <v>20.263000000000002</v>
      </c>
      <c r="BW374" s="61">
        <v>35.463999999999999</v>
      </c>
      <c r="BX374" s="67">
        <v>298.15300000000002</v>
      </c>
      <c r="BY374" s="68">
        <v>119200</v>
      </c>
      <c r="BZ374" s="68">
        <v>125159</v>
      </c>
      <c r="CA374" s="69">
        <v>9450</v>
      </c>
      <c r="CB374" s="68">
        <v>136542</v>
      </c>
      <c r="CC374" s="68">
        <v>3086</v>
      </c>
      <c r="CD374" s="61"/>
      <c r="CE374" s="64"/>
      <c r="CF374" s="64"/>
      <c r="CG374" s="70">
        <f t="shared" si="27"/>
        <v>5734.7640000000001</v>
      </c>
      <c r="CH374" s="70">
        <f t="shared" si="28"/>
        <v>396.9</v>
      </c>
      <c r="CI374" s="70">
        <f t="shared" si="29"/>
        <v>129.61199999999999</v>
      </c>
      <c r="CJ374" s="70">
        <f t="shared" si="30"/>
        <v>5006.3999999999996</v>
      </c>
      <c r="CK374" s="70">
        <f t="shared" si="30"/>
        <v>5256.6779999999999</v>
      </c>
      <c r="CL374" s="70">
        <f t="shared" si="26"/>
        <v>0</v>
      </c>
      <c r="CM374" s="61"/>
      <c r="CN374" s="61"/>
      <c r="CO374" s="61"/>
      <c r="CP374" s="61"/>
      <c r="CQ374" s="61"/>
      <c r="CR374" s="61"/>
      <c r="CS374" s="61"/>
      <c r="CT374" s="61"/>
      <c r="CU374" s="61"/>
      <c r="CV374" s="61"/>
      <c r="CW374" s="61"/>
      <c r="CX374" s="61"/>
      <c r="CY374" s="61"/>
      <c r="CZ374" s="61"/>
      <c r="DA374" s="61"/>
      <c r="DB374" s="61"/>
      <c r="DC374" s="61"/>
      <c r="DD374" s="61"/>
      <c r="DE374" s="61"/>
      <c r="DF374" s="61"/>
      <c r="DG374" s="61"/>
      <c r="DH374" s="61"/>
      <c r="DI374" s="61"/>
      <c r="DJ374" s="61"/>
      <c r="DK374" s="61"/>
      <c r="DL374" s="61"/>
      <c r="DM374" s="61"/>
      <c r="DN374" s="61"/>
      <c r="DO374" s="61"/>
      <c r="DP374" s="61"/>
      <c r="DQ374" s="61"/>
      <c r="DR374" s="61"/>
      <c r="DS374" s="61"/>
      <c r="DT374" s="61"/>
      <c r="DU374" s="61"/>
      <c r="DV374" s="61"/>
      <c r="DW374" s="61"/>
      <c r="DX374" s="61"/>
      <c r="DY374" s="61"/>
      <c r="DZ374" s="61"/>
      <c r="EA374" s="61"/>
      <c r="EB374" s="61"/>
      <c r="EC374" s="61"/>
      <c r="ED374" s="61"/>
      <c r="EE374" s="61"/>
      <c r="EF374" s="61"/>
      <c r="EG374" s="61"/>
      <c r="EH374" s="61"/>
      <c r="EI374" s="61"/>
      <c r="EJ374" s="61"/>
      <c r="EK374" s="61"/>
      <c r="EL374" s="61"/>
      <c r="EM374" s="61"/>
      <c r="EN374" s="61"/>
      <c r="EO374" s="61"/>
      <c r="EP374" s="61"/>
      <c r="EQ374" s="61"/>
      <c r="ER374" s="61"/>
      <c r="ES374" s="61"/>
      <c r="ET374" s="61"/>
      <c r="EU374" s="61"/>
      <c r="EV374" s="61"/>
      <c r="EW374" s="61"/>
    </row>
    <row r="375" spans="1:153">
      <c r="A375" s="56">
        <v>37987</v>
      </c>
      <c r="B375" s="57">
        <v>2004</v>
      </c>
      <c r="C375" s="71">
        <v>0.307</v>
      </c>
      <c r="D375" s="61">
        <v>4.0000000000000001E-3</v>
      </c>
      <c r="E375" s="61">
        <v>56.43</v>
      </c>
      <c r="F375" s="61">
        <v>2.37</v>
      </c>
      <c r="G375" s="61">
        <v>0.30199999999999999</v>
      </c>
      <c r="H375" s="61">
        <v>10.584</v>
      </c>
      <c r="I375" s="61">
        <v>5.157</v>
      </c>
      <c r="J375" s="61">
        <v>5.4269999999999996</v>
      </c>
      <c r="K375" s="61"/>
      <c r="L375" s="61"/>
      <c r="M375" s="61">
        <v>61.856999999999999</v>
      </c>
      <c r="N375" s="61">
        <v>2.5979999999999999</v>
      </c>
      <c r="O375" s="71">
        <v>0.33100000000000002</v>
      </c>
      <c r="P375" s="60">
        <v>183.98500000000001</v>
      </c>
      <c r="Q375" s="61">
        <v>39.268999999999998</v>
      </c>
      <c r="R375" s="61">
        <v>255.57400000000001</v>
      </c>
      <c r="S375" s="61">
        <v>514.24800000000005</v>
      </c>
      <c r="T375" s="61">
        <v>230.20099999999999</v>
      </c>
      <c r="U375" s="61">
        <v>15.493</v>
      </c>
      <c r="V375" s="61">
        <v>2.97</v>
      </c>
      <c r="W375" s="61">
        <v>10.01</v>
      </c>
      <c r="X375" s="61">
        <v>183.98500000000001</v>
      </c>
      <c r="Y375" s="61">
        <v>32.32</v>
      </c>
      <c r="Z375" s="61">
        <v>40.19</v>
      </c>
      <c r="AA375" s="61">
        <v>256.495</v>
      </c>
      <c r="AB375" s="60">
        <v>515.16800000000001</v>
      </c>
      <c r="AC375" s="62"/>
      <c r="AD375" s="61"/>
      <c r="AE375" s="61"/>
      <c r="AF375" s="61"/>
      <c r="AG375" s="61"/>
      <c r="AH375" s="61"/>
      <c r="AI375" s="61"/>
      <c r="AJ375" s="61"/>
      <c r="AK375" s="62"/>
      <c r="AL375" s="63"/>
      <c r="AM375" s="64"/>
      <c r="AN375" s="65" t="e">
        <v>#N/A</v>
      </c>
      <c r="AO375" s="61" t="e">
        <v>#N/A</v>
      </c>
      <c r="AP375" s="61" t="e">
        <v>#N/A</v>
      </c>
      <c r="AQ375" s="61" t="e">
        <v>#N/A</v>
      </c>
      <c r="AR375" s="61" t="e">
        <v>#N/A</v>
      </c>
      <c r="AS375" s="61" t="e">
        <v>#N/A</v>
      </c>
      <c r="AT375" s="61" t="e">
        <v>#N/A</v>
      </c>
      <c r="AU375" s="61" t="e">
        <v>#N/A</v>
      </c>
      <c r="AV375" s="61" t="e">
        <v>#N/A</v>
      </c>
      <c r="AW375" s="61" t="e">
        <v>#N/A</v>
      </c>
      <c r="AX375" s="65" t="e">
        <v>#N/A</v>
      </c>
      <c r="AY375" s="66">
        <v>1.1859999999999999</v>
      </c>
      <c r="AZ375" s="61">
        <v>2.77</v>
      </c>
      <c r="BA375" s="61">
        <v>34.726999999999997</v>
      </c>
      <c r="BB375" s="61">
        <v>38.682000000000002</v>
      </c>
      <c r="BC375" s="61">
        <v>0.05</v>
      </c>
      <c r="BD375" s="61">
        <v>1.016</v>
      </c>
      <c r="BE375" s="61">
        <v>0.06</v>
      </c>
      <c r="BF375" s="61" t="s">
        <v>122</v>
      </c>
      <c r="BG375" s="61">
        <v>5.9939999999999998</v>
      </c>
      <c r="BH375" s="61">
        <v>2.7879999999999998</v>
      </c>
      <c r="BI375" s="61">
        <v>6.0999999999999999E-2</v>
      </c>
      <c r="BJ375" s="61">
        <v>8.843</v>
      </c>
      <c r="BK375" s="66">
        <v>9.9700000000000006</v>
      </c>
      <c r="BL375" s="67">
        <v>23.045000000000002</v>
      </c>
      <c r="BM375" s="61">
        <v>0.33100000000000002</v>
      </c>
      <c r="BN375" s="61" t="s">
        <v>121</v>
      </c>
      <c r="BO375" s="61" t="s">
        <v>121</v>
      </c>
      <c r="BP375" s="61">
        <v>23.376999999999999</v>
      </c>
      <c r="BQ375" s="61">
        <v>226.86799999999999</v>
      </c>
      <c r="BR375" s="61">
        <v>12.968</v>
      </c>
      <c r="BS375" s="61">
        <v>0.126</v>
      </c>
      <c r="BT375" s="61">
        <v>10.01</v>
      </c>
      <c r="BU375" s="61">
        <v>14.51</v>
      </c>
      <c r="BV375" s="61">
        <v>18.274000000000001</v>
      </c>
      <c r="BW375" s="61">
        <v>32.783999999999999</v>
      </c>
      <c r="BX375" s="67">
        <v>282.75700000000001</v>
      </c>
      <c r="BY375" s="68">
        <v>111366</v>
      </c>
      <c r="BZ375" s="68">
        <v>134342</v>
      </c>
      <c r="CA375" s="69">
        <v>11466</v>
      </c>
      <c r="CB375" s="68">
        <v>122791</v>
      </c>
      <c r="CC375" s="68">
        <v>2241</v>
      </c>
      <c r="CD375" s="61"/>
      <c r="CE375" s="64"/>
      <c r="CF375" s="64"/>
      <c r="CG375" s="70">
        <f t="shared" si="27"/>
        <v>5157.2219999999998</v>
      </c>
      <c r="CH375" s="70">
        <f t="shared" si="28"/>
        <v>481.572</v>
      </c>
      <c r="CI375" s="70">
        <f t="shared" si="29"/>
        <v>94.122</v>
      </c>
      <c r="CJ375" s="70">
        <f t="shared" si="30"/>
        <v>4677.3720000000003</v>
      </c>
      <c r="CK375" s="70">
        <f t="shared" si="30"/>
        <v>5642.3639999999996</v>
      </c>
      <c r="CL375" s="70">
        <f t="shared" si="26"/>
        <v>0</v>
      </c>
      <c r="CM375" s="61"/>
      <c r="CN375" s="61"/>
      <c r="CO375" s="61"/>
      <c r="CP375" s="61"/>
      <c r="CQ375" s="61"/>
      <c r="CR375" s="61"/>
      <c r="CS375" s="61"/>
      <c r="CT375" s="61"/>
      <c r="CU375" s="61"/>
      <c r="CV375" s="61"/>
      <c r="CW375" s="61"/>
      <c r="CX375" s="61"/>
      <c r="CY375" s="61"/>
      <c r="CZ375" s="61"/>
      <c r="DA375" s="61"/>
      <c r="DB375" s="61"/>
      <c r="DC375" s="61"/>
      <c r="DD375" s="61"/>
      <c r="DE375" s="61"/>
      <c r="DF375" s="61"/>
      <c r="DG375" s="61"/>
      <c r="DH375" s="61"/>
      <c r="DI375" s="61"/>
      <c r="DJ375" s="61"/>
      <c r="DK375" s="61"/>
      <c r="DL375" s="61"/>
      <c r="DM375" s="61"/>
      <c r="DN375" s="61"/>
      <c r="DO375" s="61"/>
      <c r="DP375" s="61"/>
      <c r="DQ375" s="61"/>
      <c r="DR375" s="61"/>
      <c r="DS375" s="61"/>
      <c r="DT375" s="61"/>
      <c r="DU375" s="61"/>
      <c r="DV375" s="61"/>
      <c r="DW375" s="61"/>
      <c r="DX375" s="61"/>
      <c r="DY375" s="61"/>
      <c r="DZ375" s="61"/>
      <c r="EA375" s="61"/>
      <c r="EB375" s="61"/>
      <c r="EC375" s="61"/>
      <c r="ED375" s="61"/>
      <c r="EE375" s="61"/>
      <c r="EF375" s="61"/>
      <c r="EG375" s="61"/>
      <c r="EH375" s="61"/>
      <c r="EI375" s="61"/>
      <c r="EJ375" s="61"/>
      <c r="EK375" s="61"/>
      <c r="EL375" s="61"/>
      <c r="EM375" s="61"/>
      <c r="EN375" s="61"/>
      <c r="EO375" s="61"/>
      <c r="EP375" s="61"/>
      <c r="EQ375" s="61"/>
      <c r="ER375" s="61"/>
      <c r="ES375" s="61"/>
      <c r="ET375" s="61"/>
      <c r="EU375" s="61"/>
      <c r="EV375" s="61"/>
      <c r="EW375" s="61"/>
    </row>
    <row r="376" spans="1:153">
      <c r="A376" s="56">
        <v>38018</v>
      </c>
      <c r="B376" s="57">
        <v>2004</v>
      </c>
      <c r="C376" s="71">
        <v>0.28699999999999998</v>
      </c>
      <c r="D376" s="61">
        <v>4.0000000000000001E-3</v>
      </c>
      <c r="E376" s="61">
        <v>52.789000000000001</v>
      </c>
      <c r="F376" s="61">
        <v>2.2170000000000001</v>
      </c>
      <c r="G376" s="61">
        <v>0.28299999999999997</v>
      </c>
      <c r="H376" s="61">
        <v>18.844999999999999</v>
      </c>
      <c r="I376" s="61">
        <v>8.2330000000000005</v>
      </c>
      <c r="J376" s="61">
        <v>10.612</v>
      </c>
      <c r="K376" s="61"/>
      <c r="L376" s="61"/>
      <c r="M376" s="61">
        <v>63.401000000000003</v>
      </c>
      <c r="N376" s="61">
        <v>2.6629999999999998</v>
      </c>
      <c r="O376" s="71">
        <v>0.34</v>
      </c>
      <c r="P376" s="60">
        <v>168.66300000000001</v>
      </c>
      <c r="Q376" s="61">
        <v>36.893999999999998</v>
      </c>
      <c r="R376" s="61">
        <v>236.68899999999999</v>
      </c>
      <c r="S376" s="61">
        <v>474.08800000000002</v>
      </c>
      <c r="T376" s="61">
        <v>209.471</v>
      </c>
      <c r="U376" s="61">
        <v>14.522</v>
      </c>
      <c r="V376" s="61">
        <v>3.1739999999999999</v>
      </c>
      <c r="W376" s="61">
        <v>10.231999999999999</v>
      </c>
      <c r="X376" s="61">
        <v>168.66300000000001</v>
      </c>
      <c r="Y376" s="61">
        <v>31.132000000000001</v>
      </c>
      <c r="Z376" s="61">
        <v>38.747999999999998</v>
      </c>
      <c r="AA376" s="61">
        <v>238.54300000000001</v>
      </c>
      <c r="AB376" s="60">
        <v>475.94099999999997</v>
      </c>
      <c r="AC376" s="62"/>
      <c r="AD376" s="61"/>
      <c r="AE376" s="61"/>
      <c r="AF376" s="61"/>
      <c r="AG376" s="61"/>
      <c r="AH376" s="61"/>
      <c r="AI376" s="61"/>
      <c r="AJ376" s="61"/>
      <c r="AK376" s="62"/>
      <c r="AL376" s="63"/>
      <c r="AM376" s="64"/>
      <c r="AN376" s="65" t="e">
        <v>#N/A</v>
      </c>
      <c r="AO376" s="61" t="e">
        <v>#N/A</v>
      </c>
      <c r="AP376" s="61" t="e">
        <v>#N/A</v>
      </c>
      <c r="AQ376" s="61" t="e">
        <v>#N/A</v>
      </c>
      <c r="AR376" s="61" t="e">
        <v>#N/A</v>
      </c>
      <c r="AS376" s="61" t="e">
        <v>#N/A</v>
      </c>
      <c r="AT376" s="61" t="e">
        <v>#N/A</v>
      </c>
      <c r="AU376" s="61" t="e">
        <v>#N/A</v>
      </c>
      <c r="AV376" s="61" t="e">
        <v>#N/A</v>
      </c>
      <c r="AW376" s="61" t="e">
        <v>#N/A</v>
      </c>
      <c r="AX376" s="65" t="e">
        <v>#N/A</v>
      </c>
      <c r="AY376" s="66">
        <v>1.109</v>
      </c>
      <c r="AZ376" s="61">
        <v>2.9860000000000002</v>
      </c>
      <c r="BA376" s="61">
        <v>32.485999999999997</v>
      </c>
      <c r="BB376" s="61">
        <v>36.581000000000003</v>
      </c>
      <c r="BC376" s="61">
        <v>8.5000000000000006E-2</v>
      </c>
      <c r="BD376" s="61">
        <v>0.95099999999999996</v>
      </c>
      <c r="BE376" s="61">
        <v>6.5000000000000002E-2</v>
      </c>
      <c r="BF376" s="61" t="s">
        <v>122</v>
      </c>
      <c r="BG376" s="61">
        <v>5.6139999999999999</v>
      </c>
      <c r="BH376" s="61">
        <v>2.621</v>
      </c>
      <c r="BI376" s="61">
        <v>0.06</v>
      </c>
      <c r="BJ376" s="61">
        <v>8.2949999999999999</v>
      </c>
      <c r="BK376" s="66">
        <v>9.3960000000000008</v>
      </c>
      <c r="BL376" s="67">
        <v>22.588000000000001</v>
      </c>
      <c r="BM376" s="61">
        <v>0.34</v>
      </c>
      <c r="BN376" s="61" t="s">
        <v>121</v>
      </c>
      <c r="BO376" s="61" t="s">
        <v>121</v>
      </c>
      <c r="BP376" s="61">
        <v>22.928000000000001</v>
      </c>
      <c r="BQ376" s="61">
        <v>206.595</v>
      </c>
      <c r="BR376" s="61">
        <v>12.161</v>
      </c>
      <c r="BS376" s="61">
        <v>0.109</v>
      </c>
      <c r="BT376" s="61">
        <v>10.231999999999999</v>
      </c>
      <c r="BU376" s="61">
        <v>13.534000000000001</v>
      </c>
      <c r="BV376" s="61">
        <v>17.648</v>
      </c>
      <c r="BW376" s="61">
        <v>31.181999999999999</v>
      </c>
      <c r="BX376" s="67">
        <v>260.279</v>
      </c>
      <c r="BY376" s="68">
        <v>99928</v>
      </c>
      <c r="BZ376" s="68">
        <v>122730</v>
      </c>
      <c r="CA376" s="69">
        <v>14704</v>
      </c>
      <c r="CB376" s="68">
        <v>112198</v>
      </c>
      <c r="CC376" s="68">
        <v>2495</v>
      </c>
      <c r="CD376" s="61"/>
      <c r="CE376" s="64"/>
      <c r="CF376" s="64"/>
      <c r="CG376" s="70">
        <f t="shared" si="27"/>
        <v>4712.3159999999998</v>
      </c>
      <c r="CH376" s="70">
        <f t="shared" si="28"/>
        <v>617.56799999999998</v>
      </c>
      <c r="CI376" s="70">
        <f t="shared" si="29"/>
        <v>104.79</v>
      </c>
      <c r="CJ376" s="70">
        <f t="shared" si="30"/>
        <v>4196.9759999999997</v>
      </c>
      <c r="CK376" s="70">
        <f t="shared" si="30"/>
        <v>5154.66</v>
      </c>
      <c r="CL376" s="70">
        <f t="shared" si="26"/>
        <v>0</v>
      </c>
      <c r="CM376" s="61"/>
      <c r="CN376" s="61"/>
      <c r="CO376" s="61"/>
      <c r="CP376" s="61"/>
      <c r="CQ376" s="61"/>
      <c r="CR376" s="61"/>
      <c r="CS376" s="61"/>
      <c r="CT376" s="61"/>
      <c r="CU376" s="61"/>
      <c r="CV376" s="61"/>
      <c r="CW376" s="61"/>
      <c r="CX376" s="61"/>
      <c r="CY376" s="61"/>
      <c r="CZ376" s="61"/>
      <c r="DA376" s="61"/>
      <c r="DB376" s="61"/>
      <c r="DC376" s="61"/>
      <c r="DD376" s="61"/>
      <c r="DE376" s="61"/>
      <c r="DF376" s="61"/>
      <c r="DG376" s="61"/>
      <c r="DH376" s="61"/>
      <c r="DI376" s="61"/>
      <c r="DJ376" s="61"/>
      <c r="DK376" s="61"/>
      <c r="DL376" s="61"/>
      <c r="DM376" s="61"/>
      <c r="DN376" s="61"/>
      <c r="DO376" s="61"/>
      <c r="DP376" s="61"/>
      <c r="DQ376" s="61"/>
      <c r="DR376" s="61"/>
      <c r="DS376" s="61"/>
      <c r="DT376" s="61"/>
      <c r="DU376" s="61"/>
      <c r="DV376" s="61"/>
      <c r="DW376" s="61"/>
      <c r="DX376" s="61"/>
      <c r="DY376" s="61"/>
      <c r="DZ376" s="61"/>
      <c r="EA376" s="61"/>
      <c r="EB376" s="61"/>
      <c r="EC376" s="61"/>
      <c r="ED376" s="61"/>
      <c r="EE376" s="61"/>
      <c r="EF376" s="61"/>
      <c r="EG376" s="61"/>
      <c r="EH376" s="61"/>
      <c r="EI376" s="61"/>
      <c r="EJ376" s="61"/>
      <c r="EK376" s="61"/>
      <c r="EL376" s="61"/>
      <c r="EM376" s="61"/>
      <c r="EN376" s="61"/>
      <c r="EO376" s="61"/>
      <c r="EP376" s="61"/>
      <c r="EQ376" s="61"/>
      <c r="ER376" s="61"/>
      <c r="ES376" s="61"/>
      <c r="ET376" s="61"/>
      <c r="EU376" s="61"/>
      <c r="EV376" s="61"/>
      <c r="EW376" s="61"/>
    </row>
    <row r="377" spans="1:153">
      <c r="A377" s="56">
        <v>38047</v>
      </c>
      <c r="B377" s="57">
        <v>2004</v>
      </c>
      <c r="C377" s="71">
        <v>0.307</v>
      </c>
      <c r="D377" s="61">
        <v>4.0000000000000001E-3</v>
      </c>
      <c r="E377" s="61">
        <v>56.43</v>
      </c>
      <c r="F377" s="61">
        <v>2.37</v>
      </c>
      <c r="G377" s="61">
        <v>0.30199999999999999</v>
      </c>
      <c r="H377" s="61">
        <v>4.2350000000000003</v>
      </c>
      <c r="I377" s="61">
        <v>7.835</v>
      </c>
      <c r="J377" s="61">
        <v>-3.6</v>
      </c>
      <c r="K377" s="61"/>
      <c r="L377" s="61"/>
      <c r="M377" s="61">
        <v>52.83</v>
      </c>
      <c r="N377" s="61">
        <v>2.2189999999999999</v>
      </c>
      <c r="O377" s="71">
        <v>0.28299999999999997</v>
      </c>
      <c r="P377" s="60">
        <v>175.73599999999999</v>
      </c>
      <c r="Q377" s="61">
        <v>39.845999999999997</v>
      </c>
      <c r="R377" s="61">
        <v>248.53200000000001</v>
      </c>
      <c r="S377" s="61">
        <v>510.68099999999998</v>
      </c>
      <c r="T377" s="61">
        <v>229.50899999999999</v>
      </c>
      <c r="U377" s="61">
        <v>14.954000000000001</v>
      </c>
      <c r="V377" s="61">
        <v>4.7530000000000001</v>
      </c>
      <c r="W377" s="61">
        <v>12.933</v>
      </c>
      <c r="X377" s="61">
        <v>175.73599999999999</v>
      </c>
      <c r="Y377" s="61">
        <v>32.948999999999998</v>
      </c>
      <c r="Z377" s="61">
        <v>39.945</v>
      </c>
      <c r="AA377" s="61">
        <v>248.63</v>
      </c>
      <c r="AB377" s="60">
        <v>510.78</v>
      </c>
      <c r="AC377" s="62"/>
      <c r="AD377" s="61"/>
      <c r="AE377" s="61"/>
      <c r="AF377" s="61"/>
      <c r="AG377" s="61"/>
      <c r="AH377" s="61"/>
      <c r="AI377" s="61"/>
      <c r="AJ377" s="61"/>
      <c r="AK377" s="62"/>
      <c r="AL377" s="63"/>
      <c r="AM377" s="64"/>
      <c r="AN377" s="65" t="e">
        <v>#N/A</v>
      </c>
      <c r="AO377" s="61" t="e">
        <v>#N/A</v>
      </c>
      <c r="AP377" s="61" t="e">
        <v>#N/A</v>
      </c>
      <c r="AQ377" s="61" t="e">
        <v>#N/A</v>
      </c>
      <c r="AR377" s="61" t="e">
        <v>#N/A</v>
      </c>
      <c r="AS377" s="61" t="e">
        <v>#N/A</v>
      </c>
      <c r="AT377" s="61" t="e">
        <v>#N/A</v>
      </c>
      <c r="AU377" s="61" t="e">
        <v>#N/A</v>
      </c>
      <c r="AV377" s="61" t="e">
        <v>#N/A</v>
      </c>
      <c r="AW377" s="61" t="e">
        <v>#N/A</v>
      </c>
      <c r="AX377" s="65" t="e">
        <v>#N/A</v>
      </c>
      <c r="AY377" s="66">
        <v>1.1859999999999999</v>
      </c>
      <c r="AZ377" s="61">
        <v>4.1139999999999999</v>
      </c>
      <c r="BA377" s="61">
        <v>34.726999999999997</v>
      </c>
      <c r="BB377" s="61">
        <v>40.026000000000003</v>
      </c>
      <c r="BC377" s="61">
        <v>0.126</v>
      </c>
      <c r="BD377" s="61">
        <v>1.016</v>
      </c>
      <c r="BE377" s="61">
        <v>8.8999999999999996E-2</v>
      </c>
      <c r="BF377" s="61" t="s">
        <v>122</v>
      </c>
      <c r="BG377" s="61">
        <v>5.9580000000000002</v>
      </c>
      <c r="BH377" s="61">
        <v>2.7360000000000002</v>
      </c>
      <c r="BI377" s="61">
        <v>0.06</v>
      </c>
      <c r="BJ377" s="61">
        <v>8.7539999999999996</v>
      </c>
      <c r="BK377" s="66">
        <v>9.9849999999999994</v>
      </c>
      <c r="BL377" s="67">
        <v>22.619</v>
      </c>
      <c r="BM377" s="61">
        <v>0.28299999999999997</v>
      </c>
      <c r="BN377" s="61" t="s">
        <v>121</v>
      </c>
      <c r="BO377" s="61" t="s">
        <v>121</v>
      </c>
      <c r="BP377" s="61">
        <v>22.902000000000001</v>
      </c>
      <c r="BQ377" s="61">
        <v>226.649</v>
      </c>
      <c r="BR377" s="61">
        <v>12.43</v>
      </c>
      <c r="BS377" s="61">
        <v>0.53</v>
      </c>
      <c r="BT377" s="61">
        <v>12.933</v>
      </c>
      <c r="BU377" s="61">
        <v>13.952999999999999</v>
      </c>
      <c r="BV377" s="61">
        <v>18.923999999999999</v>
      </c>
      <c r="BW377" s="61">
        <v>32.877000000000002</v>
      </c>
      <c r="BX377" s="67">
        <v>285.41899999999998</v>
      </c>
      <c r="BY377" s="68">
        <v>110064</v>
      </c>
      <c r="BZ377" s="68">
        <v>128722</v>
      </c>
      <c r="CA377" s="69">
        <v>13918</v>
      </c>
      <c r="CB377" s="68">
        <v>104380</v>
      </c>
      <c r="CC377" s="68">
        <v>3078</v>
      </c>
      <c r="CD377" s="61"/>
      <c r="CE377" s="64"/>
      <c r="CF377" s="64"/>
      <c r="CG377" s="70">
        <f t="shared" si="27"/>
        <v>4383.96</v>
      </c>
      <c r="CH377" s="70">
        <f t="shared" si="28"/>
        <v>584.55600000000004</v>
      </c>
      <c r="CI377" s="70">
        <f t="shared" si="29"/>
        <v>129.27600000000001</v>
      </c>
      <c r="CJ377" s="70">
        <f t="shared" si="30"/>
        <v>4622.6880000000001</v>
      </c>
      <c r="CK377" s="70">
        <f t="shared" si="30"/>
        <v>5406.3239999999996</v>
      </c>
      <c r="CL377" s="70">
        <f t="shared" si="26"/>
        <v>0</v>
      </c>
      <c r="CM377" s="61"/>
      <c r="CN377" s="61"/>
      <c r="CO377" s="61"/>
      <c r="CP377" s="61"/>
      <c r="CQ377" s="61"/>
      <c r="CR377" s="61"/>
      <c r="CS377" s="61"/>
      <c r="CT377" s="61"/>
      <c r="CU377" s="61"/>
      <c r="CV377" s="61"/>
      <c r="CW377" s="61"/>
      <c r="CX377" s="61"/>
      <c r="CY377" s="61"/>
      <c r="CZ377" s="61"/>
      <c r="DA377" s="61"/>
      <c r="DB377" s="61"/>
      <c r="DC377" s="61"/>
      <c r="DD377" s="61"/>
      <c r="DE377" s="61"/>
      <c r="DF377" s="61"/>
      <c r="DG377" s="61"/>
      <c r="DH377" s="61"/>
      <c r="DI377" s="61"/>
      <c r="DJ377" s="61"/>
      <c r="DK377" s="61"/>
      <c r="DL377" s="61"/>
      <c r="DM377" s="61"/>
      <c r="DN377" s="61"/>
      <c r="DO377" s="61"/>
      <c r="DP377" s="61"/>
      <c r="DQ377" s="61"/>
      <c r="DR377" s="61"/>
      <c r="DS377" s="61"/>
      <c r="DT377" s="61"/>
      <c r="DU377" s="61"/>
      <c r="DV377" s="61"/>
      <c r="DW377" s="61"/>
      <c r="DX377" s="61"/>
      <c r="DY377" s="61"/>
      <c r="DZ377" s="61"/>
      <c r="EA377" s="61"/>
      <c r="EB377" s="61"/>
      <c r="EC377" s="61"/>
      <c r="ED377" s="61"/>
      <c r="EE377" s="61"/>
      <c r="EF377" s="61"/>
      <c r="EG377" s="61"/>
      <c r="EH377" s="61"/>
      <c r="EI377" s="61"/>
      <c r="EJ377" s="61"/>
      <c r="EK377" s="61"/>
      <c r="EL377" s="61"/>
      <c r="EM377" s="61"/>
      <c r="EN377" s="61"/>
      <c r="EO377" s="61"/>
      <c r="EP377" s="61"/>
      <c r="EQ377" s="61"/>
      <c r="ER377" s="61"/>
      <c r="ES377" s="61"/>
      <c r="ET377" s="61"/>
      <c r="EU377" s="61"/>
      <c r="EV377" s="61"/>
      <c r="EW377" s="61"/>
    </row>
    <row r="378" spans="1:153">
      <c r="A378" s="56">
        <v>38078</v>
      </c>
      <c r="B378" s="57">
        <v>2004</v>
      </c>
      <c r="C378" s="71">
        <v>0.29699999999999999</v>
      </c>
      <c r="D378" s="61">
        <v>4.0000000000000001E-3</v>
      </c>
      <c r="E378" s="61">
        <v>54.61</v>
      </c>
      <c r="F378" s="61">
        <v>2.294</v>
      </c>
      <c r="G378" s="61">
        <v>0.29299999999999998</v>
      </c>
      <c r="H378" s="61">
        <v>15.971</v>
      </c>
      <c r="I378" s="61">
        <v>10.7</v>
      </c>
      <c r="J378" s="61">
        <v>5.2720000000000002</v>
      </c>
      <c r="K378" s="61"/>
      <c r="L378" s="61"/>
      <c r="M378" s="61">
        <v>59.881</v>
      </c>
      <c r="N378" s="61">
        <v>2.5150000000000001</v>
      </c>
      <c r="O378" s="71">
        <v>0.32100000000000001</v>
      </c>
      <c r="P378" s="60">
        <v>175.95699999999999</v>
      </c>
      <c r="Q378" s="61">
        <v>39.104999999999997</v>
      </c>
      <c r="R378" s="61">
        <v>247.25299999999999</v>
      </c>
      <c r="S378" s="61">
        <v>488.73599999999999</v>
      </c>
      <c r="T378" s="61">
        <v>209.214</v>
      </c>
      <c r="U378" s="61">
        <v>14.074999999999999</v>
      </c>
      <c r="V378" s="61">
        <v>5.2240000000000002</v>
      </c>
      <c r="W378" s="61">
        <v>12.968999999999999</v>
      </c>
      <c r="X378" s="61">
        <v>175.95699999999999</v>
      </c>
      <c r="Y378" s="61">
        <v>32.191000000000003</v>
      </c>
      <c r="Z378" s="61">
        <v>40.264000000000003</v>
      </c>
      <c r="AA378" s="61">
        <v>248.41200000000001</v>
      </c>
      <c r="AB378" s="60">
        <v>489.89499999999998</v>
      </c>
      <c r="AC378" s="62"/>
      <c r="AD378" s="61"/>
      <c r="AE378" s="61"/>
      <c r="AF378" s="61"/>
      <c r="AG378" s="61"/>
      <c r="AH378" s="61"/>
      <c r="AI378" s="61"/>
      <c r="AJ378" s="61"/>
      <c r="AK378" s="62"/>
      <c r="AL378" s="63"/>
      <c r="AM378" s="64"/>
      <c r="AN378" s="65" t="e">
        <v>#N/A</v>
      </c>
      <c r="AO378" s="61" t="e">
        <v>#N/A</v>
      </c>
      <c r="AP378" s="61" t="e">
        <v>#N/A</v>
      </c>
      <c r="AQ378" s="61" t="e">
        <v>#N/A</v>
      </c>
      <c r="AR378" s="61" t="e">
        <v>#N/A</v>
      </c>
      <c r="AS378" s="61" t="e">
        <v>#N/A</v>
      </c>
      <c r="AT378" s="61" t="e">
        <v>#N/A</v>
      </c>
      <c r="AU378" s="61" t="e">
        <v>#N/A</v>
      </c>
      <c r="AV378" s="61" t="e">
        <v>#N/A</v>
      </c>
      <c r="AW378" s="61" t="e">
        <v>#N/A</v>
      </c>
      <c r="AX378" s="65" t="e">
        <v>#N/A</v>
      </c>
      <c r="AY378" s="66">
        <v>1.1479999999999999</v>
      </c>
      <c r="AZ378" s="61">
        <v>4.5339999999999998</v>
      </c>
      <c r="BA378" s="61">
        <v>33.606999999999999</v>
      </c>
      <c r="BB378" s="61">
        <v>39.287999999999997</v>
      </c>
      <c r="BC378" s="61">
        <v>0.125</v>
      </c>
      <c r="BD378" s="61">
        <v>0.98399999999999999</v>
      </c>
      <c r="BE378" s="61">
        <v>9.8000000000000004E-2</v>
      </c>
      <c r="BF378" s="61" t="s">
        <v>122</v>
      </c>
      <c r="BG378" s="61">
        <v>5.7709999999999999</v>
      </c>
      <c r="BH378" s="61">
        <v>2.8769999999999998</v>
      </c>
      <c r="BI378" s="61">
        <v>6.0999999999999999E-2</v>
      </c>
      <c r="BJ378" s="61">
        <v>8.7089999999999996</v>
      </c>
      <c r="BK378" s="66">
        <v>9.9169999999999998</v>
      </c>
      <c r="BL378" s="67">
        <v>23.190999999999999</v>
      </c>
      <c r="BM378" s="61">
        <v>0.32100000000000001</v>
      </c>
      <c r="BN378" s="61" t="s">
        <v>121</v>
      </c>
      <c r="BO378" s="61" t="s">
        <v>121</v>
      </c>
      <c r="BP378" s="61">
        <v>23.512</v>
      </c>
      <c r="BQ378" s="61">
        <v>207.03100000000001</v>
      </c>
      <c r="BR378" s="61">
        <v>11.632</v>
      </c>
      <c r="BS378" s="61">
        <v>0.56999999999999995</v>
      </c>
      <c r="BT378" s="61">
        <v>12.968999999999999</v>
      </c>
      <c r="BU378" s="61">
        <v>11.766999999999999</v>
      </c>
      <c r="BV378" s="61">
        <v>18.37</v>
      </c>
      <c r="BW378" s="61">
        <v>30.137</v>
      </c>
      <c r="BX378" s="67">
        <v>262.33999999999997</v>
      </c>
      <c r="BY378" s="68">
        <v>116215</v>
      </c>
      <c r="BZ378" s="68">
        <v>124346</v>
      </c>
      <c r="CA378" s="69">
        <v>8002</v>
      </c>
      <c r="CB378" s="68">
        <v>101505</v>
      </c>
      <c r="CC378" s="68">
        <v>2746</v>
      </c>
      <c r="CD378" s="61"/>
      <c r="CE378" s="64"/>
      <c r="CF378" s="64"/>
      <c r="CG378" s="70">
        <f t="shared" si="27"/>
        <v>4263.21</v>
      </c>
      <c r="CH378" s="70">
        <f t="shared" si="28"/>
        <v>336.084</v>
      </c>
      <c r="CI378" s="70">
        <f t="shared" si="29"/>
        <v>115.33199999999999</v>
      </c>
      <c r="CJ378" s="70">
        <f t="shared" si="30"/>
        <v>4881.03</v>
      </c>
      <c r="CK378" s="70">
        <f t="shared" si="30"/>
        <v>5222.5320000000002</v>
      </c>
      <c r="CL378" s="70">
        <f t="shared" si="26"/>
        <v>0</v>
      </c>
      <c r="CM378" s="61"/>
      <c r="CN378" s="61"/>
      <c r="CO378" s="61"/>
      <c r="CP378" s="61"/>
      <c r="CQ378" s="61"/>
      <c r="CR378" s="61"/>
      <c r="CS378" s="61"/>
      <c r="CT378" s="61"/>
      <c r="CU378" s="61"/>
      <c r="CV378" s="61"/>
      <c r="CW378" s="61"/>
      <c r="CX378" s="61"/>
      <c r="CY378" s="61"/>
      <c r="CZ378" s="61"/>
      <c r="DA378" s="61"/>
      <c r="DB378" s="61"/>
      <c r="DC378" s="61"/>
      <c r="DD378" s="61"/>
      <c r="DE378" s="61"/>
      <c r="DF378" s="61"/>
      <c r="DG378" s="61"/>
      <c r="DH378" s="61"/>
      <c r="DI378" s="61"/>
      <c r="DJ378" s="61"/>
      <c r="DK378" s="61"/>
      <c r="DL378" s="61"/>
      <c r="DM378" s="61"/>
      <c r="DN378" s="61"/>
      <c r="DO378" s="61"/>
      <c r="DP378" s="61"/>
      <c r="DQ378" s="61"/>
      <c r="DR378" s="61"/>
      <c r="DS378" s="61"/>
      <c r="DT378" s="61"/>
      <c r="DU378" s="61"/>
      <c r="DV378" s="61"/>
      <c r="DW378" s="61"/>
      <c r="DX378" s="61"/>
      <c r="DY378" s="61"/>
      <c r="DZ378" s="61"/>
      <c r="EA378" s="61"/>
      <c r="EB378" s="61"/>
      <c r="EC378" s="61"/>
      <c r="ED378" s="61"/>
      <c r="EE378" s="61"/>
      <c r="EF378" s="61"/>
      <c r="EG378" s="61"/>
      <c r="EH378" s="61"/>
      <c r="EI378" s="61"/>
      <c r="EJ378" s="61"/>
      <c r="EK378" s="61"/>
      <c r="EL378" s="61"/>
      <c r="EM378" s="61"/>
      <c r="EN378" s="61"/>
      <c r="EO378" s="61"/>
      <c r="EP378" s="61"/>
      <c r="EQ378" s="61"/>
      <c r="ER378" s="61"/>
      <c r="ES378" s="61"/>
      <c r="ET378" s="61"/>
      <c r="EU378" s="61"/>
      <c r="EV378" s="61"/>
      <c r="EW378" s="61"/>
    </row>
    <row r="379" spans="1:153">
      <c r="A379" s="56">
        <v>38108</v>
      </c>
      <c r="B379" s="57">
        <v>2004</v>
      </c>
      <c r="C379" s="71">
        <v>0.307</v>
      </c>
      <c r="D379" s="61">
        <v>4.0000000000000001E-3</v>
      </c>
      <c r="E379" s="61">
        <v>56.43</v>
      </c>
      <c r="F379" s="61">
        <v>2.37</v>
      </c>
      <c r="G379" s="61">
        <v>0.30199999999999999</v>
      </c>
      <c r="H379" s="61">
        <v>3.3559999999999999</v>
      </c>
      <c r="I379" s="61">
        <v>12.789</v>
      </c>
      <c r="J379" s="61">
        <v>-9.4329999999999998</v>
      </c>
      <c r="K379" s="61"/>
      <c r="L379" s="61"/>
      <c r="M379" s="61">
        <v>46.997</v>
      </c>
      <c r="N379" s="61">
        <v>1.974</v>
      </c>
      <c r="O379" s="71">
        <v>0.252</v>
      </c>
      <c r="P379" s="60">
        <v>169.77699999999999</v>
      </c>
      <c r="Q379" s="61">
        <v>41.088999999999999</v>
      </c>
      <c r="R379" s="61">
        <v>244.38300000000001</v>
      </c>
      <c r="S379" s="61">
        <v>522.58500000000004</v>
      </c>
      <c r="T379" s="61">
        <v>240.58099999999999</v>
      </c>
      <c r="U379" s="61">
        <v>14.619</v>
      </c>
      <c r="V379" s="61">
        <v>5.9569999999999999</v>
      </c>
      <c r="W379" s="61">
        <v>17.044</v>
      </c>
      <c r="X379" s="61">
        <v>169.77699999999999</v>
      </c>
      <c r="Y379" s="61">
        <v>33.517000000000003</v>
      </c>
      <c r="Z379" s="61">
        <v>41.67</v>
      </c>
      <c r="AA379" s="61">
        <v>244.964</v>
      </c>
      <c r="AB379" s="60">
        <v>523.16499999999996</v>
      </c>
      <c r="AC379" s="62"/>
      <c r="AD379" s="61"/>
      <c r="AE379" s="61"/>
      <c r="AF379" s="61"/>
      <c r="AG379" s="61"/>
      <c r="AH379" s="61"/>
      <c r="AI379" s="61"/>
      <c r="AJ379" s="61"/>
      <c r="AK379" s="62"/>
      <c r="AL379" s="63"/>
      <c r="AM379" s="64"/>
      <c r="AN379" s="65" t="e">
        <v>#N/A</v>
      </c>
      <c r="AO379" s="61" t="e">
        <v>#N/A</v>
      </c>
      <c r="AP379" s="61" t="e">
        <v>#N/A</v>
      </c>
      <c r="AQ379" s="61" t="e">
        <v>#N/A</v>
      </c>
      <c r="AR379" s="61" t="e">
        <v>#N/A</v>
      </c>
      <c r="AS379" s="61" t="e">
        <v>#N/A</v>
      </c>
      <c r="AT379" s="61" t="e">
        <v>#N/A</v>
      </c>
      <c r="AU379" s="61" t="e">
        <v>#N/A</v>
      </c>
      <c r="AV379" s="61" t="e">
        <v>#N/A</v>
      </c>
      <c r="AW379" s="61" t="e">
        <v>#N/A</v>
      </c>
      <c r="AX379" s="65" t="e">
        <v>#N/A</v>
      </c>
      <c r="AY379" s="66">
        <v>1.1859999999999999</v>
      </c>
      <c r="AZ379" s="61">
        <v>5.0049999999999999</v>
      </c>
      <c r="BA379" s="61">
        <v>34.726999999999997</v>
      </c>
      <c r="BB379" s="61">
        <v>40.917999999999999</v>
      </c>
      <c r="BC379" s="61">
        <v>0.13300000000000001</v>
      </c>
      <c r="BD379" s="61">
        <v>1.016</v>
      </c>
      <c r="BE379" s="61">
        <v>0.109</v>
      </c>
      <c r="BF379" s="61" t="s">
        <v>122</v>
      </c>
      <c r="BG379" s="61">
        <v>5.9119999999999999</v>
      </c>
      <c r="BH379" s="61">
        <v>2.9740000000000002</v>
      </c>
      <c r="BI379" s="61">
        <v>6.3E-2</v>
      </c>
      <c r="BJ379" s="61">
        <v>8.9489999999999998</v>
      </c>
      <c r="BK379" s="66">
        <v>10.208</v>
      </c>
      <c r="BL379" s="67">
        <v>23.827000000000002</v>
      </c>
      <c r="BM379" s="61">
        <v>0.252</v>
      </c>
      <c r="BN379" s="61" t="s">
        <v>121</v>
      </c>
      <c r="BO379" s="61" t="s">
        <v>121</v>
      </c>
      <c r="BP379" s="61">
        <v>24.079000000000001</v>
      </c>
      <c r="BQ379" s="61">
        <v>238.488</v>
      </c>
      <c r="BR379" s="61">
        <v>12.095000000000001</v>
      </c>
      <c r="BS379" s="61">
        <v>0.81899999999999995</v>
      </c>
      <c r="BT379" s="61">
        <v>17.044</v>
      </c>
      <c r="BU379" s="61">
        <v>12.131</v>
      </c>
      <c r="BV379" s="61">
        <v>19.257000000000001</v>
      </c>
      <c r="BW379" s="61">
        <v>31.388000000000002</v>
      </c>
      <c r="BX379" s="67">
        <v>299.834</v>
      </c>
      <c r="BY379" s="68">
        <v>119571</v>
      </c>
      <c r="BZ379" s="68">
        <v>119030</v>
      </c>
      <c r="CA379" s="69">
        <v>8518</v>
      </c>
      <c r="CB379" s="68">
        <v>107459</v>
      </c>
      <c r="CC379" s="68">
        <v>3105</v>
      </c>
      <c r="CD379" s="61"/>
      <c r="CE379" s="64"/>
      <c r="CF379" s="64"/>
      <c r="CG379" s="70">
        <f t="shared" si="27"/>
        <v>4513.2780000000002</v>
      </c>
      <c r="CH379" s="70">
        <f t="shared" si="28"/>
        <v>357.75599999999997</v>
      </c>
      <c r="CI379" s="70">
        <f t="shared" si="29"/>
        <v>130.41</v>
      </c>
      <c r="CJ379" s="70">
        <f t="shared" si="30"/>
        <v>5021.982</v>
      </c>
      <c r="CK379" s="70">
        <f t="shared" si="30"/>
        <v>4999.26</v>
      </c>
      <c r="CL379" s="70">
        <f t="shared" si="26"/>
        <v>0</v>
      </c>
      <c r="CM379" s="61"/>
      <c r="CN379" s="61"/>
      <c r="CO379" s="61"/>
      <c r="CP379" s="61"/>
      <c r="CQ379" s="61"/>
      <c r="CR379" s="61"/>
      <c r="CS379" s="61"/>
      <c r="CT379" s="61"/>
      <c r="CU379" s="61"/>
      <c r="CV379" s="61"/>
      <c r="CW379" s="61"/>
      <c r="CX379" s="61"/>
      <c r="CY379" s="61"/>
      <c r="CZ379" s="61"/>
      <c r="DA379" s="61"/>
      <c r="DB379" s="61"/>
      <c r="DC379" s="61"/>
      <c r="DD379" s="61"/>
      <c r="DE379" s="61"/>
      <c r="DF379" s="61"/>
      <c r="DG379" s="61"/>
      <c r="DH379" s="61"/>
      <c r="DI379" s="61"/>
      <c r="DJ379" s="61"/>
      <c r="DK379" s="61"/>
      <c r="DL379" s="61"/>
      <c r="DM379" s="61"/>
      <c r="DN379" s="61"/>
      <c r="DO379" s="61"/>
      <c r="DP379" s="61"/>
      <c r="DQ379" s="61"/>
      <c r="DR379" s="61"/>
      <c r="DS379" s="61"/>
      <c r="DT379" s="61"/>
      <c r="DU379" s="61"/>
      <c r="DV379" s="61"/>
      <c r="DW379" s="61"/>
      <c r="DX379" s="61"/>
      <c r="DY379" s="61"/>
      <c r="DZ379" s="61"/>
      <c r="EA379" s="61"/>
      <c r="EB379" s="61"/>
      <c r="EC379" s="61"/>
      <c r="ED379" s="61"/>
      <c r="EE379" s="61"/>
      <c r="EF379" s="61"/>
      <c r="EG379" s="61"/>
      <c r="EH379" s="61"/>
      <c r="EI379" s="61"/>
      <c r="EJ379" s="61"/>
      <c r="EK379" s="61"/>
      <c r="EL379" s="61"/>
      <c r="EM379" s="61"/>
      <c r="EN379" s="61"/>
      <c r="EO379" s="61"/>
      <c r="EP379" s="61"/>
      <c r="EQ379" s="61"/>
      <c r="ER379" s="61"/>
      <c r="ES379" s="61"/>
      <c r="ET379" s="61"/>
      <c r="EU379" s="61"/>
      <c r="EV379" s="61"/>
      <c r="EW379" s="61"/>
    </row>
    <row r="380" spans="1:153">
      <c r="A380" s="56">
        <v>38139</v>
      </c>
      <c r="B380" s="57">
        <v>2004</v>
      </c>
      <c r="C380" s="71">
        <v>0.29699999999999999</v>
      </c>
      <c r="D380" s="61">
        <v>4.0000000000000001E-3</v>
      </c>
      <c r="E380" s="61">
        <v>54.61</v>
      </c>
      <c r="F380" s="61">
        <v>2.294</v>
      </c>
      <c r="G380" s="61">
        <v>0.29299999999999998</v>
      </c>
      <c r="H380" s="61">
        <v>5.9480000000000004</v>
      </c>
      <c r="I380" s="61">
        <v>15.977</v>
      </c>
      <c r="J380" s="61">
        <v>-10.029</v>
      </c>
      <c r="K380" s="61"/>
      <c r="L380" s="61"/>
      <c r="M380" s="61">
        <v>44.58</v>
      </c>
      <c r="N380" s="61">
        <v>1.8720000000000001</v>
      </c>
      <c r="O380" s="71">
        <v>0.23899999999999999</v>
      </c>
      <c r="P380" s="60">
        <v>171.74299999999999</v>
      </c>
      <c r="Q380" s="61">
        <v>39.835999999999999</v>
      </c>
      <c r="R380" s="61">
        <v>244.07499999999999</v>
      </c>
      <c r="S380" s="61">
        <v>531.77099999999996</v>
      </c>
      <c r="T380" s="61">
        <v>252.92699999999999</v>
      </c>
      <c r="U380" s="61">
        <v>14.709</v>
      </c>
      <c r="V380" s="61">
        <v>6.0650000000000004</v>
      </c>
      <c r="W380" s="61">
        <v>13.994</v>
      </c>
      <c r="X380" s="61">
        <v>171.74299999999999</v>
      </c>
      <c r="Y380" s="61">
        <v>32.494999999999997</v>
      </c>
      <c r="Z380" s="61">
        <v>42.515999999999998</v>
      </c>
      <c r="AA380" s="61">
        <v>246.75399999999999</v>
      </c>
      <c r="AB380" s="60">
        <v>534.45000000000005</v>
      </c>
      <c r="AC380" s="62"/>
      <c r="AD380" s="61"/>
      <c r="AE380" s="61"/>
      <c r="AF380" s="61"/>
      <c r="AG380" s="61"/>
      <c r="AH380" s="61"/>
      <c r="AI380" s="61"/>
      <c r="AJ380" s="61"/>
      <c r="AK380" s="62"/>
      <c r="AL380" s="63"/>
      <c r="AM380" s="64"/>
      <c r="AN380" s="65" t="e">
        <v>#N/A</v>
      </c>
      <c r="AO380" s="61" t="e">
        <v>#N/A</v>
      </c>
      <c r="AP380" s="61" t="e">
        <v>#N/A</v>
      </c>
      <c r="AQ380" s="61" t="e">
        <v>#N/A</v>
      </c>
      <c r="AR380" s="61" t="e">
        <v>#N/A</v>
      </c>
      <c r="AS380" s="61" t="e">
        <v>#N/A</v>
      </c>
      <c r="AT380" s="61" t="e">
        <v>#N/A</v>
      </c>
      <c r="AU380" s="61" t="e">
        <v>#N/A</v>
      </c>
      <c r="AV380" s="61" t="e">
        <v>#N/A</v>
      </c>
      <c r="AW380" s="61" t="e">
        <v>#N/A</v>
      </c>
      <c r="AX380" s="65" t="e">
        <v>#N/A</v>
      </c>
      <c r="AY380" s="66">
        <v>1.1479999999999999</v>
      </c>
      <c r="AZ380" s="61">
        <v>5.0510000000000002</v>
      </c>
      <c r="BA380" s="61">
        <v>33.606999999999999</v>
      </c>
      <c r="BB380" s="61">
        <v>39.805</v>
      </c>
      <c r="BC380" s="61">
        <v>0.107</v>
      </c>
      <c r="BD380" s="61">
        <v>0.98399999999999999</v>
      </c>
      <c r="BE380" s="61">
        <v>0.11</v>
      </c>
      <c r="BF380" s="61" t="s">
        <v>122</v>
      </c>
      <c r="BG380" s="61">
        <v>5.7030000000000003</v>
      </c>
      <c r="BH380" s="61">
        <v>2.9590000000000001</v>
      </c>
      <c r="BI380" s="61">
        <v>6.6000000000000003E-2</v>
      </c>
      <c r="BJ380" s="61">
        <v>8.7279999999999998</v>
      </c>
      <c r="BK380" s="66">
        <v>9.9290000000000003</v>
      </c>
      <c r="BL380" s="67">
        <v>25.170999999999999</v>
      </c>
      <c r="BM380" s="61">
        <v>0.23899999999999999</v>
      </c>
      <c r="BN380" s="61" t="s">
        <v>121</v>
      </c>
      <c r="BO380" s="61" t="s">
        <v>121</v>
      </c>
      <c r="BP380" s="61">
        <v>25.41</v>
      </c>
      <c r="BQ380" s="61">
        <v>250.91800000000001</v>
      </c>
      <c r="BR380" s="61">
        <v>12.266999999999999</v>
      </c>
      <c r="BS380" s="61">
        <v>0.88</v>
      </c>
      <c r="BT380" s="61">
        <v>13.994</v>
      </c>
      <c r="BU380" s="61">
        <v>12.305</v>
      </c>
      <c r="BV380" s="61">
        <v>18.704999999999998</v>
      </c>
      <c r="BW380" s="61">
        <v>31.01</v>
      </c>
      <c r="BX380" s="67">
        <v>309.07</v>
      </c>
      <c r="BY380" s="68">
        <v>118676</v>
      </c>
      <c r="BZ380" s="68">
        <v>116644</v>
      </c>
      <c r="CA380" s="69">
        <v>9706</v>
      </c>
      <c r="CB380" s="68">
        <v>114292</v>
      </c>
      <c r="CC380" s="68">
        <v>4905</v>
      </c>
      <c r="CD380" s="61"/>
      <c r="CE380" s="64"/>
      <c r="CF380" s="64"/>
      <c r="CG380" s="70">
        <f t="shared" si="27"/>
        <v>4800.2640000000001</v>
      </c>
      <c r="CH380" s="70">
        <f t="shared" si="28"/>
        <v>407.65199999999999</v>
      </c>
      <c r="CI380" s="70">
        <f t="shared" si="29"/>
        <v>206.01</v>
      </c>
      <c r="CJ380" s="70">
        <f t="shared" si="30"/>
        <v>4984.3919999999998</v>
      </c>
      <c r="CK380" s="70">
        <f t="shared" si="30"/>
        <v>4899.0479999999998</v>
      </c>
      <c r="CL380" s="70">
        <f t="shared" si="26"/>
        <v>0</v>
      </c>
      <c r="CM380" s="61"/>
      <c r="CN380" s="61"/>
      <c r="CO380" s="61"/>
      <c r="CP380" s="61"/>
      <c r="CQ380" s="61"/>
      <c r="CR380" s="61"/>
      <c r="CS380" s="61"/>
      <c r="CT380" s="61"/>
      <c r="CU380" s="61"/>
      <c r="CV380" s="61"/>
      <c r="CW380" s="61"/>
      <c r="CX380" s="61"/>
      <c r="CY380" s="61"/>
      <c r="CZ380" s="61"/>
      <c r="DA380" s="61"/>
      <c r="DB380" s="61"/>
      <c r="DC380" s="61"/>
      <c r="DD380" s="61"/>
      <c r="DE380" s="61"/>
      <c r="DF380" s="61"/>
      <c r="DG380" s="61"/>
      <c r="DH380" s="61"/>
      <c r="DI380" s="61"/>
      <c r="DJ380" s="61"/>
      <c r="DK380" s="61"/>
      <c r="DL380" s="61"/>
      <c r="DM380" s="61"/>
      <c r="DN380" s="61"/>
      <c r="DO380" s="61"/>
      <c r="DP380" s="61"/>
      <c r="DQ380" s="61"/>
      <c r="DR380" s="61"/>
      <c r="DS380" s="61"/>
      <c r="DT380" s="61"/>
      <c r="DU380" s="61"/>
      <c r="DV380" s="61"/>
      <c r="DW380" s="61"/>
      <c r="DX380" s="61"/>
      <c r="DY380" s="61"/>
      <c r="DZ380" s="61"/>
      <c r="EA380" s="61"/>
      <c r="EB380" s="61"/>
      <c r="EC380" s="61"/>
      <c r="ED380" s="61"/>
      <c r="EE380" s="61"/>
      <c r="EF380" s="61"/>
      <c r="EG380" s="61"/>
      <c r="EH380" s="61"/>
      <c r="EI380" s="61"/>
      <c r="EJ380" s="61"/>
      <c r="EK380" s="61"/>
      <c r="EL380" s="61"/>
      <c r="EM380" s="61"/>
      <c r="EN380" s="61"/>
      <c r="EO380" s="61"/>
      <c r="EP380" s="61"/>
      <c r="EQ380" s="61"/>
      <c r="ER380" s="61"/>
      <c r="ES380" s="61"/>
      <c r="ET380" s="61"/>
      <c r="EU380" s="61"/>
      <c r="EV380" s="61"/>
      <c r="EW380" s="61"/>
    </row>
    <row r="381" spans="1:153">
      <c r="A381" s="56">
        <v>38169</v>
      </c>
      <c r="B381" s="57">
        <v>2004</v>
      </c>
      <c r="C381" s="71">
        <v>0.307</v>
      </c>
      <c r="D381" s="61">
        <v>4.0000000000000001E-3</v>
      </c>
      <c r="E381" s="61">
        <v>56.43</v>
      </c>
      <c r="F381" s="61">
        <v>2.37</v>
      </c>
      <c r="G381" s="61">
        <v>0.30199999999999999</v>
      </c>
      <c r="H381" s="61">
        <v>7.06</v>
      </c>
      <c r="I381" s="61">
        <v>14.766999999999999</v>
      </c>
      <c r="J381" s="61">
        <v>-7.7069999999999999</v>
      </c>
      <c r="K381" s="61"/>
      <c r="L381" s="61"/>
      <c r="M381" s="61">
        <v>48.722999999999999</v>
      </c>
      <c r="N381" s="61">
        <v>2.0459999999999998</v>
      </c>
      <c r="O381" s="71">
        <v>0.26100000000000001</v>
      </c>
      <c r="P381" s="60">
        <v>183.59100000000001</v>
      </c>
      <c r="Q381" s="61">
        <v>40.447000000000003</v>
      </c>
      <c r="R381" s="61">
        <v>257.04199999999997</v>
      </c>
      <c r="S381" s="61">
        <v>523.84500000000003</v>
      </c>
      <c r="T381" s="61">
        <v>233.55600000000001</v>
      </c>
      <c r="U381" s="61">
        <v>15.32</v>
      </c>
      <c r="V381" s="61">
        <v>6.2649999999999997</v>
      </c>
      <c r="W381" s="61">
        <v>11.662000000000001</v>
      </c>
      <c r="X381" s="61">
        <v>183.59100000000001</v>
      </c>
      <c r="Y381" s="61">
        <v>33.003</v>
      </c>
      <c r="Z381" s="61">
        <v>40.597000000000001</v>
      </c>
      <c r="AA381" s="61">
        <v>257.19099999999997</v>
      </c>
      <c r="AB381" s="60">
        <v>523.99400000000003</v>
      </c>
      <c r="AC381" s="62"/>
      <c r="AD381" s="61"/>
      <c r="AE381" s="61"/>
      <c r="AF381" s="61"/>
      <c r="AG381" s="61"/>
      <c r="AH381" s="61"/>
      <c r="AI381" s="61"/>
      <c r="AJ381" s="61"/>
      <c r="AK381" s="62"/>
      <c r="AL381" s="63"/>
      <c r="AM381" s="64"/>
      <c r="AN381" s="65" t="e">
        <v>#N/A</v>
      </c>
      <c r="AO381" s="61" t="e">
        <v>#N/A</v>
      </c>
      <c r="AP381" s="61" t="e">
        <v>#N/A</v>
      </c>
      <c r="AQ381" s="61" t="e">
        <v>#N/A</v>
      </c>
      <c r="AR381" s="61" t="e">
        <v>#N/A</v>
      </c>
      <c r="AS381" s="61" t="e">
        <v>#N/A</v>
      </c>
      <c r="AT381" s="61" t="e">
        <v>#N/A</v>
      </c>
      <c r="AU381" s="61" t="e">
        <v>#N/A</v>
      </c>
      <c r="AV381" s="61" t="e">
        <v>#N/A</v>
      </c>
      <c r="AW381" s="61" t="e">
        <v>#N/A</v>
      </c>
      <c r="AX381" s="65" t="e">
        <v>#N/A</v>
      </c>
      <c r="AY381" s="66">
        <v>1.1859999999999999</v>
      </c>
      <c r="AZ381" s="61">
        <v>5.3019999999999996</v>
      </c>
      <c r="BA381" s="61">
        <v>34.726999999999997</v>
      </c>
      <c r="BB381" s="61">
        <v>41.215000000000003</v>
      </c>
      <c r="BC381" s="61">
        <v>0.05</v>
      </c>
      <c r="BD381" s="61">
        <v>1.016</v>
      </c>
      <c r="BE381" s="61">
        <v>0.115</v>
      </c>
      <c r="BF381" s="61" t="s">
        <v>122</v>
      </c>
      <c r="BG381" s="61">
        <v>5.9029999999999996</v>
      </c>
      <c r="BH381" s="61">
        <v>3.004</v>
      </c>
      <c r="BI381" s="61">
        <v>6.0999999999999999E-2</v>
      </c>
      <c r="BJ381" s="61">
        <v>8.9670000000000005</v>
      </c>
      <c r="BK381" s="66">
        <v>10.148</v>
      </c>
      <c r="BL381" s="67">
        <v>23.032</v>
      </c>
      <c r="BM381" s="61">
        <v>0.26100000000000001</v>
      </c>
      <c r="BN381" s="61" t="s">
        <v>121</v>
      </c>
      <c r="BO381" s="61" t="s">
        <v>121</v>
      </c>
      <c r="BP381" s="61">
        <v>23.292999999999999</v>
      </c>
      <c r="BQ381" s="61">
        <v>231.49600000000001</v>
      </c>
      <c r="BR381" s="61">
        <v>12.795999999999999</v>
      </c>
      <c r="BS381" s="61">
        <v>0.82199999999999995</v>
      </c>
      <c r="BT381" s="61">
        <v>11.662000000000001</v>
      </c>
      <c r="BU381" s="61">
        <v>16.018000000000001</v>
      </c>
      <c r="BV381" s="61">
        <v>18.931000000000001</v>
      </c>
      <c r="BW381" s="61">
        <v>34.948</v>
      </c>
      <c r="BX381" s="67">
        <v>291.72500000000002</v>
      </c>
      <c r="BY381" s="68">
        <v>120959</v>
      </c>
      <c r="BZ381" s="68">
        <v>118635</v>
      </c>
      <c r="CA381" s="69">
        <v>8772</v>
      </c>
      <c r="CB381" s="68">
        <v>121875</v>
      </c>
      <c r="CC381" s="68">
        <v>3513</v>
      </c>
      <c r="CD381" s="61"/>
      <c r="CE381" s="64"/>
      <c r="CF381" s="64"/>
      <c r="CG381" s="70">
        <f t="shared" si="27"/>
        <v>5118.75</v>
      </c>
      <c r="CH381" s="70">
        <f t="shared" si="28"/>
        <v>368.42399999999998</v>
      </c>
      <c r="CI381" s="70">
        <f t="shared" si="29"/>
        <v>147.54599999999999</v>
      </c>
      <c r="CJ381" s="70">
        <f t="shared" si="30"/>
        <v>5080.2780000000002</v>
      </c>
      <c r="CK381" s="70">
        <f t="shared" si="30"/>
        <v>4982.67</v>
      </c>
      <c r="CL381" s="70">
        <f t="shared" ref="CL381:CL444" si="31">CD381*42/1000</f>
        <v>0</v>
      </c>
      <c r="CM381" s="61"/>
      <c r="CN381" s="61"/>
      <c r="CO381" s="61"/>
      <c r="CP381" s="61"/>
      <c r="CQ381" s="61"/>
      <c r="CR381" s="61"/>
      <c r="CS381" s="61"/>
      <c r="CT381" s="61"/>
      <c r="CU381" s="61"/>
      <c r="CV381" s="61"/>
      <c r="CW381" s="61"/>
      <c r="CX381" s="61"/>
      <c r="CY381" s="61"/>
      <c r="CZ381" s="61"/>
      <c r="DA381" s="61"/>
      <c r="DB381" s="61"/>
      <c r="DC381" s="61"/>
      <c r="DD381" s="61"/>
      <c r="DE381" s="61"/>
      <c r="DF381" s="61"/>
      <c r="DG381" s="61"/>
      <c r="DH381" s="61"/>
      <c r="DI381" s="61"/>
      <c r="DJ381" s="61"/>
      <c r="DK381" s="61"/>
      <c r="DL381" s="61"/>
      <c r="DM381" s="61"/>
      <c r="DN381" s="61"/>
      <c r="DO381" s="61"/>
      <c r="DP381" s="61"/>
      <c r="DQ381" s="61"/>
      <c r="DR381" s="61"/>
      <c r="DS381" s="61"/>
      <c r="DT381" s="61"/>
      <c r="DU381" s="61"/>
      <c r="DV381" s="61"/>
      <c r="DW381" s="61"/>
      <c r="DX381" s="61"/>
      <c r="DY381" s="61"/>
      <c r="DZ381" s="61"/>
      <c r="EA381" s="61"/>
      <c r="EB381" s="61"/>
      <c r="EC381" s="61"/>
      <c r="ED381" s="61"/>
      <c r="EE381" s="61"/>
      <c r="EF381" s="61"/>
      <c r="EG381" s="61"/>
      <c r="EH381" s="61"/>
      <c r="EI381" s="61"/>
      <c r="EJ381" s="61"/>
      <c r="EK381" s="61"/>
      <c r="EL381" s="61"/>
      <c r="EM381" s="61"/>
      <c r="EN381" s="61"/>
      <c r="EO381" s="61"/>
      <c r="EP381" s="61"/>
      <c r="EQ381" s="61"/>
      <c r="ER381" s="61"/>
      <c r="ES381" s="61"/>
      <c r="ET381" s="61"/>
      <c r="EU381" s="61"/>
      <c r="EV381" s="61"/>
      <c r="EW381" s="61"/>
    </row>
    <row r="382" spans="1:153">
      <c r="A382" s="56">
        <v>38200</v>
      </c>
      <c r="B382" s="57">
        <v>2004</v>
      </c>
      <c r="C382" s="71">
        <v>0.307</v>
      </c>
      <c r="D382" s="61">
        <v>4.0000000000000001E-3</v>
      </c>
      <c r="E382" s="61">
        <v>56.43</v>
      </c>
      <c r="F382" s="61">
        <v>2.37</v>
      </c>
      <c r="G382" s="61">
        <v>0.30199999999999999</v>
      </c>
      <c r="H382" s="61">
        <v>3.7509999999999999</v>
      </c>
      <c r="I382" s="61">
        <v>15.801</v>
      </c>
      <c r="J382" s="61">
        <v>-12.05</v>
      </c>
      <c r="K382" s="61"/>
      <c r="L382" s="61"/>
      <c r="M382" s="61">
        <v>44.38</v>
      </c>
      <c r="N382" s="61">
        <v>1.8640000000000001</v>
      </c>
      <c r="O382" s="71">
        <v>0.23799999999999999</v>
      </c>
      <c r="P382" s="60">
        <v>179.52600000000001</v>
      </c>
      <c r="Q382" s="61">
        <v>41.802999999999997</v>
      </c>
      <c r="R382" s="61">
        <v>254.446</v>
      </c>
      <c r="S382" s="61">
        <v>502.46699999999998</v>
      </c>
      <c r="T382" s="61">
        <v>216.26499999999999</v>
      </c>
      <c r="U382" s="61">
        <v>15.116</v>
      </c>
      <c r="V382" s="61">
        <v>6.1159999999999997</v>
      </c>
      <c r="W382" s="61">
        <v>10.523999999999999</v>
      </c>
      <c r="X382" s="61">
        <v>179.52600000000001</v>
      </c>
      <c r="Y382" s="61">
        <v>33.116</v>
      </c>
      <c r="Z382" s="61">
        <v>41.744999999999997</v>
      </c>
      <c r="AA382" s="61">
        <v>254.38800000000001</v>
      </c>
      <c r="AB382" s="60">
        <v>502.40899999999999</v>
      </c>
      <c r="AC382" s="62"/>
      <c r="AD382" s="61"/>
      <c r="AE382" s="61"/>
      <c r="AF382" s="61"/>
      <c r="AG382" s="61"/>
      <c r="AH382" s="61"/>
      <c r="AI382" s="61"/>
      <c r="AJ382" s="61"/>
      <c r="AK382" s="62"/>
      <c r="AL382" s="63"/>
      <c r="AM382" s="64"/>
      <c r="AN382" s="65" t="e">
        <v>#N/A</v>
      </c>
      <c r="AO382" s="61" t="e">
        <v>#N/A</v>
      </c>
      <c r="AP382" s="61" t="e">
        <v>#N/A</v>
      </c>
      <c r="AQ382" s="61" t="e">
        <v>#N/A</v>
      </c>
      <c r="AR382" s="61" t="e">
        <v>#N/A</v>
      </c>
      <c r="AS382" s="61" t="e">
        <v>#N/A</v>
      </c>
      <c r="AT382" s="61" t="e">
        <v>#N/A</v>
      </c>
      <c r="AU382" s="61" t="e">
        <v>#N/A</v>
      </c>
      <c r="AV382" s="61" t="e">
        <v>#N/A</v>
      </c>
      <c r="AW382" s="61" t="e">
        <v>#N/A</v>
      </c>
      <c r="AX382" s="65" t="e">
        <v>#N/A</v>
      </c>
      <c r="AY382" s="66">
        <v>1.1859999999999999</v>
      </c>
      <c r="AZ382" s="61">
        <v>5.2469999999999999</v>
      </c>
      <c r="BA382" s="61">
        <v>34.726999999999997</v>
      </c>
      <c r="BB382" s="61">
        <v>41.158999999999999</v>
      </c>
      <c r="BC382" s="61">
        <v>0.04</v>
      </c>
      <c r="BD382" s="61">
        <v>1.016</v>
      </c>
      <c r="BE382" s="61">
        <v>0.114</v>
      </c>
      <c r="BF382" s="61" t="s">
        <v>122</v>
      </c>
      <c r="BG382" s="61">
        <v>5.9420000000000002</v>
      </c>
      <c r="BH382" s="61">
        <v>2.9489999999999998</v>
      </c>
      <c r="BI382" s="61">
        <v>6.2E-2</v>
      </c>
      <c r="BJ382" s="61">
        <v>8.9529999999999994</v>
      </c>
      <c r="BK382" s="66">
        <v>10.124000000000001</v>
      </c>
      <c r="BL382" s="67">
        <v>23.623999999999999</v>
      </c>
      <c r="BM382" s="61">
        <v>0.23799999999999999</v>
      </c>
      <c r="BN382" s="61" t="s">
        <v>121</v>
      </c>
      <c r="BO382" s="61" t="s">
        <v>121</v>
      </c>
      <c r="BP382" s="61">
        <v>23.861999999999998</v>
      </c>
      <c r="BQ382" s="61">
        <v>213.98400000000001</v>
      </c>
      <c r="BR382" s="61">
        <v>12.592000000000001</v>
      </c>
      <c r="BS382" s="61">
        <v>0.73</v>
      </c>
      <c r="BT382" s="61">
        <v>10.523999999999999</v>
      </c>
      <c r="BU382" s="61">
        <v>14.68</v>
      </c>
      <c r="BV382" s="61">
        <v>19.079000000000001</v>
      </c>
      <c r="BW382" s="61">
        <v>33.759</v>
      </c>
      <c r="BX382" s="67">
        <v>271.58800000000002</v>
      </c>
      <c r="BY382" s="68">
        <v>123426</v>
      </c>
      <c r="BZ382" s="68">
        <v>120509</v>
      </c>
      <c r="CA382" s="69">
        <v>9718</v>
      </c>
      <c r="CB382" s="68">
        <v>130778</v>
      </c>
      <c r="CC382" s="68">
        <v>3732</v>
      </c>
      <c r="CD382" s="61"/>
      <c r="CE382" s="64"/>
      <c r="CF382" s="64"/>
      <c r="CG382" s="70">
        <f t="shared" si="27"/>
        <v>5492.6760000000004</v>
      </c>
      <c r="CH382" s="70">
        <f t="shared" si="28"/>
        <v>408.15600000000001</v>
      </c>
      <c r="CI382" s="70">
        <f t="shared" si="29"/>
        <v>156.744</v>
      </c>
      <c r="CJ382" s="70">
        <f t="shared" si="30"/>
        <v>5183.8919999999998</v>
      </c>
      <c r="CK382" s="70">
        <f t="shared" si="30"/>
        <v>5061.3779999999997</v>
      </c>
      <c r="CL382" s="70">
        <f t="shared" si="31"/>
        <v>0</v>
      </c>
      <c r="CM382" s="61"/>
      <c r="CN382" s="61"/>
      <c r="CO382" s="61"/>
      <c r="CP382" s="61"/>
      <c r="CQ382" s="61"/>
      <c r="CR382" s="61"/>
      <c r="CS382" s="61"/>
      <c r="CT382" s="61"/>
      <c r="CU382" s="61"/>
      <c r="CV382" s="61"/>
      <c r="CW382" s="61"/>
      <c r="CX382" s="61"/>
      <c r="CY382" s="61"/>
      <c r="CZ382" s="61"/>
      <c r="DA382" s="61"/>
      <c r="DB382" s="61"/>
      <c r="DC382" s="61"/>
      <c r="DD382" s="61"/>
      <c r="DE382" s="61"/>
      <c r="DF382" s="61"/>
      <c r="DG382" s="61"/>
      <c r="DH382" s="61"/>
      <c r="DI382" s="61"/>
      <c r="DJ382" s="61"/>
      <c r="DK382" s="61"/>
      <c r="DL382" s="61"/>
      <c r="DM382" s="61"/>
      <c r="DN382" s="61"/>
      <c r="DO382" s="61"/>
      <c r="DP382" s="61"/>
      <c r="DQ382" s="61"/>
      <c r="DR382" s="61"/>
      <c r="DS382" s="61"/>
      <c r="DT382" s="61"/>
      <c r="DU382" s="61"/>
      <c r="DV382" s="61"/>
      <c r="DW382" s="61"/>
      <c r="DX382" s="61"/>
      <c r="DY382" s="61"/>
      <c r="DZ382" s="61"/>
      <c r="EA382" s="61"/>
      <c r="EB382" s="61"/>
      <c r="EC382" s="61"/>
      <c r="ED382" s="61"/>
      <c r="EE382" s="61"/>
      <c r="EF382" s="61"/>
      <c r="EG382" s="61"/>
      <c r="EH382" s="61"/>
      <c r="EI382" s="61"/>
      <c r="EJ382" s="61"/>
      <c r="EK382" s="61"/>
      <c r="EL382" s="61"/>
      <c r="EM382" s="61"/>
      <c r="EN382" s="61"/>
      <c r="EO382" s="61"/>
      <c r="EP382" s="61"/>
      <c r="EQ382" s="61"/>
      <c r="ER382" s="61"/>
      <c r="ES382" s="61"/>
      <c r="ET382" s="61"/>
      <c r="EU382" s="61"/>
      <c r="EV382" s="61"/>
      <c r="EW382" s="61"/>
    </row>
    <row r="383" spans="1:153">
      <c r="A383" s="56">
        <v>38231</v>
      </c>
      <c r="B383" s="57">
        <v>2004</v>
      </c>
      <c r="C383" s="71">
        <v>0.29699999999999999</v>
      </c>
      <c r="D383" s="61">
        <v>4.0000000000000001E-3</v>
      </c>
      <c r="E383" s="61">
        <v>54.61</v>
      </c>
      <c r="F383" s="61">
        <v>2.294</v>
      </c>
      <c r="G383" s="61">
        <v>0.29299999999999998</v>
      </c>
      <c r="H383" s="61">
        <v>9.3919999999999995</v>
      </c>
      <c r="I383" s="61">
        <v>11.771000000000001</v>
      </c>
      <c r="J383" s="61">
        <v>-2.38</v>
      </c>
      <c r="K383" s="61"/>
      <c r="L383" s="61"/>
      <c r="M383" s="61">
        <v>52.23</v>
      </c>
      <c r="N383" s="61">
        <v>2.194</v>
      </c>
      <c r="O383" s="71">
        <v>0.28000000000000003</v>
      </c>
      <c r="P383" s="60">
        <v>171.017</v>
      </c>
      <c r="Q383" s="61">
        <v>40.537999999999997</v>
      </c>
      <c r="R383" s="61">
        <v>243.01900000000001</v>
      </c>
      <c r="S383" s="61">
        <v>479.37900000000002</v>
      </c>
      <c r="T383" s="61">
        <v>205.58099999999999</v>
      </c>
      <c r="U383" s="61">
        <v>14.345000000000001</v>
      </c>
      <c r="V383" s="61">
        <v>5.52</v>
      </c>
      <c r="W383" s="61">
        <v>10.914</v>
      </c>
      <c r="X383" s="61">
        <v>171.017</v>
      </c>
      <c r="Y383" s="61">
        <v>31.463000000000001</v>
      </c>
      <c r="Z383" s="61">
        <v>41.372</v>
      </c>
      <c r="AA383" s="61">
        <v>243.852</v>
      </c>
      <c r="AB383" s="60">
        <v>480.21199999999999</v>
      </c>
      <c r="AC383" s="62"/>
      <c r="AD383" s="61"/>
      <c r="AE383" s="61"/>
      <c r="AF383" s="61"/>
      <c r="AG383" s="61"/>
      <c r="AH383" s="61"/>
      <c r="AI383" s="61"/>
      <c r="AJ383" s="61"/>
      <c r="AK383" s="62"/>
      <c r="AL383" s="63"/>
      <c r="AM383" s="64"/>
      <c r="AN383" s="65" t="e">
        <v>#N/A</v>
      </c>
      <c r="AO383" s="61" t="e">
        <v>#N/A</v>
      </c>
      <c r="AP383" s="61" t="e">
        <v>#N/A</v>
      </c>
      <c r="AQ383" s="61" t="e">
        <v>#N/A</v>
      </c>
      <c r="AR383" s="61" t="e">
        <v>#N/A</v>
      </c>
      <c r="AS383" s="61" t="e">
        <v>#N/A</v>
      </c>
      <c r="AT383" s="61" t="e">
        <v>#N/A</v>
      </c>
      <c r="AU383" s="61" t="e">
        <v>#N/A</v>
      </c>
      <c r="AV383" s="61" t="e">
        <v>#N/A</v>
      </c>
      <c r="AW383" s="61" t="e">
        <v>#N/A</v>
      </c>
      <c r="AX383" s="65" t="e">
        <v>#N/A</v>
      </c>
      <c r="AY383" s="66">
        <v>1.1479999999999999</v>
      </c>
      <c r="AZ383" s="61">
        <v>4.7859999999999996</v>
      </c>
      <c r="BA383" s="61">
        <v>33.606999999999999</v>
      </c>
      <c r="BB383" s="61">
        <v>39.54</v>
      </c>
      <c r="BC383" s="61">
        <v>0.05</v>
      </c>
      <c r="BD383" s="61">
        <v>0.98399999999999999</v>
      </c>
      <c r="BE383" s="61">
        <v>0.104</v>
      </c>
      <c r="BF383" s="61" t="s">
        <v>122</v>
      </c>
      <c r="BG383" s="61">
        <v>5.7539999999999996</v>
      </c>
      <c r="BH383" s="61">
        <v>2.7970000000000002</v>
      </c>
      <c r="BI383" s="61">
        <v>6.3E-2</v>
      </c>
      <c r="BJ383" s="61">
        <v>8.6140000000000008</v>
      </c>
      <c r="BK383" s="66">
        <v>9.7520000000000007</v>
      </c>
      <c r="BL383" s="67">
        <v>23.728999999999999</v>
      </c>
      <c r="BM383" s="61">
        <v>0.28000000000000003</v>
      </c>
      <c r="BN383" s="61" t="s">
        <v>121</v>
      </c>
      <c r="BO383" s="61" t="s">
        <v>121</v>
      </c>
      <c r="BP383" s="61">
        <v>24.009</v>
      </c>
      <c r="BQ383" s="61">
        <v>202.38800000000001</v>
      </c>
      <c r="BR383" s="61">
        <v>11.903</v>
      </c>
      <c r="BS383" s="61">
        <v>0.60699999999999998</v>
      </c>
      <c r="BT383" s="61">
        <v>10.914</v>
      </c>
      <c r="BU383" s="61">
        <v>13.522</v>
      </c>
      <c r="BV383" s="61">
        <v>18.099</v>
      </c>
      <c r="BW383" s="61">
        <v>31.620999999999999</v>
      </c>
      <c r="BX383" s="67">
        <v>257.43299999999999</v>
      </c>
      <c r="BY383" s="68">
        <v>108749</v>
      </c>
      <c r="BZ383" s="68">
        <v>121948</v>
      </c>
      <c r="CA383" s="69">
        <v>8151</v>
      </c>
      <c r="CB383" s="68">
        <v>123097</v>
      </c>
      <c r="CC383" s="68">
        <v>2633</v>
      </c>
      <c r="CD383" s="61"/>
      <c r="CE383" s="64"/>
      <c r="CF383" s="64"/>
      <c r="CG383" s="70">
        <f t="shared" si="27"/>
        <v>5170.0739999999996</v>
      </c>
      <c r="CH383" s="70">
        <f t="shared" si="28"/>
        <v>342.34199999999998</v>
      </c>
      <c r="CI383" s="70">
        <f t="shared" si="29"/>
        <v>110.586</v>
      </c>
      <c r="CJ383" s="70">
        <f t="shared" si="30"/>
        <v>4567.4579999999996</v>
      </c>
      <c r="CK383" s="70">
        <f t="shared" si="30"/>
        <v>5121.8159999999998</v>
      </c>
      <c r="CL383" s="70">
        <f t="shared" si="31"/>
        <v>0</v>
      </c>
      <c r="CM383" s="61"/>
      <c r="CN383" s="61"/>
      <c r="CO383" s="61"/>
      <c r="CP383" s="61"/>
      <c r="CQ383" s="61"/>
      <c r="CR383" s="61"/>
      <c r="CS383" s="61"/>
      <c r="CT383" s="61"/>
      <c r="CU383" s="61"/>
      <c r="CV383" s="61"/>
      <c r="CW383" s="61"/>
      <c r="CX383" s="61"/>
      <c r="CY383" s="61"/>
      <c r="CZ383" s="61"/>
      <c r="DA383" s="61"/>
      <c r="DB383" s="61"/>
      <c r="DC383" s="61"/>
      <c r="DD383" s="61"/>
      <c r="DE383" s="61"/>
      <c r="DF383" s="61"/>
      <c r="DG383" s="61"/>
      <c r="DH383" s="61"/>
      <c r="DI383" s="61"/>
      <c r="DJ383" s="61"/>
      <c r="DK383" s="61"/>
      <c r="DL383" s="61"/>
      <c r="DM383" s="61"/>
      <c r="DN383" s="61"/>
      <c r="DO383" s="61"/>
      <c r="DP383" s="61"/>
      <c r="DQ383" s="61"/>
      <c r="DR383" s="61"/>
      <c r="DS383" s="61"/>
      <c r="DT383" s="61"/>
      <c r="DU383" s="61"/>
      <c r="DV383" s="61"/>
      <c r="DW383" s="61"/>
      <c r="DX383" s="61"/>
      <c r="DY383" s="61"/>
      <c r="DZ383" s="61"/>
      <c r="EA383" s="61"/>
      <c r="EB383" s="61"/>
      <c r="EC383" s="61"/>
      <c r="ED383" s="61"/>
      <c r="EE383" s="61"/>
      <c r="EF383" s="61"/>
      <c r="EG383" s="61"/>
      <c r="EH383" s="61"/>
      <c r="EI383" s="61"/>
      <c r="EJ383" s="61"/>
      <c r="EK383" s="61"/>
      <c r="EL383" s="61"/>
      <c r="EM383" s="61"/>
      <c r="EN383" s="61"/>
      <c r="EO383" s="61"/>
      <c r="EP383" s="61"/>
      <c r="EQ383" s="61"/>
      <c r="ER383" s="61"/>
      <c r="ES383" s="61"/>
      <c r="ET383" s="61"/>
      <c r="EU383" s="61"/>
      <c r="EV383" s="61"/>
      <c r="EW383" s="61"/>
    </row>
    <row r="384" spans="1:153">
      <c r="A384" s="56">
        <v>38261</v>
      </c>
      <c r="B384" s="57">
        <v>2004</v>
      </c>
      <c r="C384" s="71">
        <v>0.307</v>
      </c>
      <c r="D384" s="61">
        <v>4.0000000000000001E-3</v>
      </c>
      <c r="E384" s="61">
        <v>56.43</v>
      </c>
      <c r="F384" s="61">
        <v>2.37</v>
      </c>
      <c r="G384" s="61">
        <v>0.30199999999999999</v>
      </c>
      <c r="H384" s="61">
        <v>10.036</v>
      </c>
      <c r="I384" s="61">
        <v>9.3569999999999993</v>
      </c>
      <c r="J384" s="61">
        <v>0.67800000000000005</v>
      </c>
      <c r="K384" s="61"/>
      <c r="L384" s="61"/>
      <c r="M384" s="61">
        <v>57.107999999999997</v>
      </c>
      <c r="N384" s="61">
        <v>2.399</v>
      </c>
      <c r="O384" s="71">
        <v>0.30599999999999999</v>
      </c>
      <c r="P384" s="60">
        <v>179.68100000000001</v>
      </c>
      <c r="Q384" s="61">
        <v>41.981999999999999</v>
      </c>
      <c r="R384" s="61">
        <v>253.52</v>
      </c>
      <c r="S384" s="61">
        <v>472.87599999999998</v>
      </c>
      <c r="T384" s="61">
        <v>188.93</v>
      </c>
      <c r="U384" s="61">
        <v>15.308</v>
      </c>
      <c r="V384" s="61">
        <v>4.8129999999999997</v>
      </c>
      <c r="W384" s="61">
        <v>10.305</v>
      </c>
      <c r="X384" s="61">
        <v>179.68100000000001</v>
      </c>
      <c r="Y384" s="61">
        <v>31.856999999999999</v>
      </c>
      <c r="Z384" s="61">
        <v>43.222999999999999</v>
      </c>
      <c r="AA384" s="61">
        <v>254.761</v>
      </c>
      <c r="AB384" s="60">
        <v>474.11700000000002</v>
      </c>
      <c r="AC384" s="62"/>
      <c r="AD384" s="61"/>
      <c r="AE384" s="61"/>
      <c r="AF384" s="61"/>
      <c r="AG384" s="61"/>
      <c r="AH384" s="61"/>
      <c r="AI384" s="61"/>
      <c r="AJ384" s="61"/>
      <c r="AK384" s="62"/>
      <c r="AL384" s="63"/>
      <c r="AM384" s="64"/>
      <c r="AN384" s="65" t="e">
        <v>#N/A</v>
      </c>
      <c r="AO384" s="61" t="e">
        <v>#N/A</v>
      </c>
      <c r="AP384" s="61" t="e">
        <v>#N/A</v>
      </c>
      <c r="AQ384" s="61" t="e">
        <v>#N/A</v>
      </c>
      <c r="AR384" s="61" t="e">
        <v>#N/A</v>
      </c>
      <c r="AS384" s="61" t="e">
        <v>#N/A</v>
      </c>
      <c r="AT384" s="61" t="e">
        <v>#N/A</v>
      </c>
      <c r="AU384" s="61" t="e">
        <v>#N/A</v>
      </c>
      <c r="AV384" s="61" t="e">
        <v>#N/A</v>
      </c>
      <c r="AW384" s="61" t="e">
        <v>#N/A</v>
      </c>
      <c r="AX384" s="65" t="e">
        <v>#N/A</v>
      </c>
      <c r="AY384" s="66">
        <v>1.1859999999999999</v>
      </c>
      <c r="AZ384" s="61">
        <v>4.3620000000000001</v>
      </c>
      <c r="BA384" s="61">
        <v>34.726999999999997</v>
      </c>
      <c r="BB384" s="61">
        <v>40.274000000000001</v>
      </c>
      <c r="BC384" s="61">
        <v>7.3999999999999996E-2</v>
      </c>
      <c r="BD384" s="61">
        <v>1.016</v>
      </c>
      <c r="BE384" s="61">
        <v>9.5000000000000001E-2</v>
      </c>
      <c r="BF384" s="61" t="s">
        <v>122</v>
      </c>
      <c r="BG384" s="61">
        <v>5.9829999999999997</v>
      </c>
      <c r="BH384" s="61">
        <v>2.7130000000000001</v>
      </c>
      <c r="BI384" s="61">
        <v>6.6000000000000003E-2</v>
      </c>
      <c r="BJ384" s="61">
        <v>8.7609999999999992</v>
      </c>
      <c r="BK384" s="66">
        <v>9.9459999999999997</v>
      </c>
      <c r="BL384" s="67">
        <v>24.927</v>
      </c>
      <c r="BM384" s="61">
        <v>0.30599999999999999</v>
      </c>
      <c r="BN384" s="61" t="s">
        <v>121</v>
      </c>
      <c r="BO384" s="61" t="s">
        <v>121</v>
      </c>
      <c r="BP384" s="61">
        <v>25.233000000000001</v>
      </c>
      <c r="BQ384" s="61">
        <v>185.94</v>
      </c>
      <c r="BR384" s="61">
        <v>12.784000000000001</v>
      </c>
      <c r="BS384" s="61">
        <v>0.33600000000000002</v>
      </c>
      <c r="BT384" s="61">
        <v>10.305</v>
      </c>
      <c r="BU384" s="61">
        <v>13.412000000000001</v>
      </c>
      <c r="BV384" s="61">
        <v>18.184000000000001</v>
      </c>
      <c r="BW384" s="61">
        <v>31.596</v>
      </c>
      <c r="BX384" s="67">
        <v>240.96100000000001</v>
      </c>
      <c r="BY384" s="68">
        <v>118041</v>
      </c>
      <c r="BZ384" s="68">
        <v>127228</v>
      </c>
      <c r="CA384" s="69">
        <v>7544</v>
      </c>
      <c r="CB384" s="68">
        <v>118325</v>
      </c>
      <c r="CC384" s="68">
        <v>3129</v>
      </c>
      <c r="CD384" s="61"/>
      <c r="CE384" s="64"/>
      <c r="CF384" s="64"/>
      <c r="CG384" s="70">
        <f t="shared" si="27"/>
        <v>4969.6499999999996</v>
      </c>
      <c r="CH384" s="70">
        <f t="shared" si="28"/>
        <v>316.84800000000001</v>
      </c>
      <c r="CI384" s="70">
        <f t="shared" si="29"/>
        <v>131.41800000000001</v>
      </c>
      <c r="CJ384" s="70">
        <f t="shared" si="30"/>
        <v>4957.7219999999998</v>
      </c>
      <c r="CK384" s="70">
        <f t="shared" si="30"/>
        <v>5343.576</v>
      </c>
      <c r="CL384" s="70">
        <f t="shared" si="31"/>
        <v>0</v>
      </c>
      <c r="CM384" s="61"/>
      <c r="CN384" s="61"/>
      <c r="CO384" s="61"/>
      <c r="CP384" s="61"/>
      <c r="CQ384" s="61"/>
      <c r="CR384" s="61"/>
      <c r="CS384" s="61"/>
      <c r="CT384" s="61"/>
      <c r="CU384" s="61"/>
      <c r="CV384" s="61"/>
      <c r="CW384" s="61"/>
      <c r="CX384" s="61"/>
      <c r="CY384" s="61"/>
      <c r="CZ384" s="61"/>
      <c r="DA384" s="61"/>
      <c r="DB384" s="61"/>
      <c r="DC384" s="61"/>
      <c r="DD384" s="61"/>
      <c r="DE384" s="61"/>
      <c r="DF384" s="61"/>
      <c r="DG384" s="61"/>
      <c r="DH384" s="61"/>
      <c r="DI384" s="61"/>
      <c r="DJ384" s="61"/>
      <c r="DK384" s="61"/>
      <c r="DL384" s="61"/>
      <c r="DM384" s="61"/>
      <c r="DN384" s="61"/>
      <c r="DO384" s="61"/>
      <c r="DP384" s="61"/>
      <c r="DQ384" s="61"/>
      <c r="DR384" s="61"/>
      <c r="DS384" s="61"/>
      <c r="DT384" s="61"/>
      <c r="DU384" s="61"/>
      <c r="DV384" s="61"/>
      <c r="DW384" s="61"/>
      <c r="DX384" s="61"/>
      <c r="DY384" s="61"/>
      <c r="DZ384" s="61"/>
      <c r="EA384" s="61"/>
      <c r="EB384" s="61"/>
      <c r="EC384" s="61"/>
      <c r="ED384" s="61"/>
      <c r="EE384" s="61"/>
      <c r="EF384" s="61"/>
      <c r="EG384" s="61"/>
      <c r="EH384" s="61"/>
      <c r="EI384" s="61"/>
      <c r="EJ384" s="61"/>
      <c r="EK384" s="61"/>
      <c r="EL384" s="61"/>
      <c r="EM384" s="61"/>
      <c r="EN384" s="61"/>
      <c r="EO384" s="61"/>
      <c r="EP384" s="61"/>
      <c r="EQ384" s="61"/>
      <c r="ER384" s="61"/>
      <c r="ES384" s="61"/>
      <c r="ET384" s="61"/>
      <c r="EU384" s="61"/>
      <c r="EV384" s="61"/>
      <c r="EW384" s="61"/>
    </row>
    <row r="385" spans="1:153">
      <c r="A385" s="56">
        <v>38292</v>
      </c>
      <c r="B385" s="57">
        <v>2004</v>
      </c>
      <c r="C385" s="71">
        <v>0.29699999999999999</v>
      </c>
      <c r="D385" s="61">
        <v>4.0000000000000001E-3</v>
      </c>
      <c r="E385" s="61">
        <v>54.61</v>
      </c>
      <c r="F385" s="61">
        <v>2.294</v>
      </c>
      <c r="G385" s="61">
        <v>0.29299999999999998</v>
      </c>
      <c r="H385" s="61">
        <v>6.742</v>
      </c>
      <c r="I385" s="61">
        <v>8.5779999999999994</v>
      </c>
      <c r="J385" s="61">
        <v>-1.8360000000000001</v>
      </c>
      <c r="K385" s="61"/>
      <c r="L385" s="61"/>
      <c r="M385" s="61">
        <v>52.774000000000001</v>
      </c>
      <c r="N385" s="61">
        <v>2.2170000000000001</v>
      </c>
      <c r="O385" s="71">
        <v>0.28299999999999997</v>
      </c>
      <c r="P385" s="60">
        <v>173.661</v>
      </c>
      <c r="Q385" s="61">
        <v>41.609000000000002</v>
      </c>
      <c r="R385" s="61">
        <v>247.286</v>
      </c>
      <c r="S385" s="61">
        <v>484.73599999999999</v>
      </c>
      <c r="T385" s="61">
        <v>209.70500000000001</v>
      </c>
      <c r="U385" s="61">
        <v>14.582000000000001</v>
      </c>
      <c r="V385" s="61">
        <v>3.8260000000000001</v>
      </c>
      <c r="W385" s="61">
        <v>9.3369999999999997</v>
      </c>
      <c r="X385" s="61">
        <v>173.661</v>
      </c>
      <c r="Y385" s="61">
        <v>32.015999999999998</v>
      </c>
      <c r="Z385" s="61">
        <v>42.508000000000003</v>
      </c>
      <c r="AA385" s="61">
        <v>248.184</v>
      </c>
      <c r="AB385" s="60">
        <v>485.63499999999999</v>
      </c>
      <c r="AC385" s="62"/>
      <c r="AD385" s="61"/>
      <c r="AE385" s="61"/>
      <c r="AF385" s="61"/>
      <c r="AG385" s="61"/>
      <c r="AH385" s="61"/>
      <c r="AI385" s="61"/>
      <c r="AJ385" s="61"/>
      <c r="AK385" s="62"/>
      <c r="AL385" s="63"/>
      <c r="AM385" s="64"/>
      <c r="AN385" s="65" t="e">
        <v>#N/A</v>
      </c>
      <c r="AO385" s="61" t="e">
        <v>#N/A</v>
      </c>
      <c r="AP385" s="61" t="e">
        <v>#N/A</v>
      </c>
      <c r="AQ385" s="61" t="e">
        <v>#N/A</v>
      </c>
      <c r="AR385" s="61" t="e">
        <v>#N/A</v>
      </c>
      <c r="AS385" s="61" t="e">
        <v>#N/A</v>
      </c>
      <c r="AT385" s="61" t="e">
        <v>#N/A</v>
      </c>
      <c r="AU385" s="61" t="e">
        <v>#N/A</v>
      </c>
      <c r="AV385" s="61" t="e">
        <v>#N/A</v>
      </c>
      <c r="AW385" s="61" t="e">
        <v>#N/A</v>
      </c>
      <c r="AX385" s="65" t="e">
        <v>#N/A</v>
      </c>
      <c r="AY385" s="66">
        <v>1.1479999999999999</v>
      </c>
      <c r="AZ385" s="61">
        <v>3.5779999999999998</v>
      </c>
      <c r="BA385" s="61">
        <v>33.606999999999999</v>
      </c>
      <c r="BB385" s="61">
        <v>38.332000000000001</v>
      </c>
      <c r="BC385" s="61">
        <v>8.6999999999999994E-2</v>
      </c>
      <c r="BD385" s="61">
        <v>0.98399999999999999</v>
      </c>
      <c r="BE385" s="61">
        <v>7.8E-2</v>
      </c>
      <c r="BF385" s="61" t="s">
        <v>122</v>
      </c>
      <c r="BG385" s="61">
        <v>5.81</v>
      </c>
      <c r="BH385" s="61">
        <v>2.8559999999999999</v>
      </c>
      <c r="BI385" s="61">
        <v>6.4000000000000001E-2</v>
      </c>
      <c r="BJ385" s="61">
        <v>8.73</v>
      </c>
      <c r="BK385" s="66">
        <v>9.8780000000000001</v>
      </c>
      <c r="BL385" s="67">
        <v>24.399000000000001</v>
      </c>
      <c r="BM385" s="61">
        <v>0.28299999999999997</v>
      </c>
      <c r="BN385" s="61" t="s">
        <v>121</v>
      </c>
      <c r="BO385" s="61" t="s">
        <v>121</v>
      </c>
      <c r="BP385" s="61">
        <v>24.681999999999999</v>
      </c>
      <c r="BQ385" s="61">
        <v>206.136</v>
      </c>
      <c r="BR385" s="61">
        <v>12.14</v>
      </c>
      <c r="BS385" s="61">
        <v>0.154</v>
      </c>
      <c r="BT385" s="61">
        <v>9.3369999999999997</v>
      </c>
      <c r="BU385" s="61">
        <v>13.68</v>
      </c>
      <c r="BV385" s="61">
        <v>18.437999999999999</v>
      </c>
      <c r="BW385" s="61">
        <v>32.118000000000002</v>
      </c>
      <c r="BX385" s="67">
        <v>259.88299999999998</v>
      </c>
      <c r="BY385" s="68">
        <v>120113</v>
      </c>
      <c r="BZ385" s="68">
        <v>121749</v>
      </c>
      <c r="CA385" s="69">
        <v>9571</v>
      </c>
      <c r="CB385" s="68">
        <v>123204</v>
      </c>
      <c r="CC385" s="68">
        <v>3056</v>
      </c>
      <c r="CD385" s="61"/>
      <c r="CE385" s="64"/>
      <c r="CF385" s="64"/>
      <c r="CG385" s="70">
        <f t="shared" si="27"/>
        <v>5174.5680000000002</v>
      </c>
      <c r="CH385" s="70">
        <f t="shared" si="28"/>
        <v>401.98200000000003</v>
      </c>
      <c r="CI385" s="70">
        <f t="shared" si="29"/>
        <v>128.352</v>
      </c>
      <c r="CJ385" s="70">
        <f t="shared" si="30"/>
        <v>5044.7460000000001</v>
      </c>
      <c r="CK385" s="70">
        <f t="shared" si="30"/>
        <v>5113.4579999999996</v>
      </c>
      <c r="CL385" s="70">
        <f t="shared" si="31"/>
        <v>0</v>
      </c>
      <c r="CM385" s="61"/>
      <c r="CN385" s="61"/>
      <c r="CO385" s="61"/>
      <c r="CP385" s="61"/>
      <c r="CQ385" s="61"/>
      <c r="CR385" s="61"/>
      <c r="CS385" s="61"/>
      <c r="CT385" s="61"/>
      <c r="CU385" s="61"/>
      <c r="CV385" s="61"/>
      <c r="CW385" s="61"/>
      <c r="CX385" s="61"/>
      <c r="CY385" s="61"/>
      <c r="CZ385" s="61"/>
      <c r="DA385" s="61"/>
      <c r="DB385" s="61"/>
      <c r="DC385" s="61"/>
      <c r="DD385" s="61"/>
      <c r="DE385" s="61"/>
      <c r="DF385" s="61"/>
      <c r="DG385" s="61"/>
      <c r="DH385" s="61"/>
      <c r="DI385" s="61"/>
      <c r="DJ385" s="61"/>
      <c r="DK385" s="61"/>
      <c r="DL385" s="61"/>
      <c r="DM385" s="61"/>
      <c r="DN385" s="61"/>
      <c r="DO385" s="61"/>
      <c r="DP385" s="61"/>
      <c r="DQ385" s="61"/>
      <c r="DR385" s="61"/>
      <c r="DS385" s="61"/>
      <c r="DT385" s="61"/>
      <c r="DU385" s="61"/>
      <c r="DV385" s="61"/>
      <c r="DW385" s="61"/>
      <c r="DX385" s="61"/>
      <c r="DY385" s="61"/>
      <c r="DZ385" s="61"/>
      <c r="EA385" s="61"/>
      <c r="EB385" s="61"/>
      <c r="EC385" s="61"/>
      <c r="ED385" s="61"/>
      <c r="EE385" s="61"/>
      <c r="EF385" s="61"/>
      <c r="EG385" s="61"/>
      <c r="EH385" s="61"/>
      <c r="EI385" s="61"/>
      <c r="EJ385" s="61"/>
      <c r="EK385" s="61"/>
      <c r="EL385" s="61"/>
      <c r="EM385" s="61"/>
      <c r="EN385" s="61"/>
      <c r="EO385" s="61"/>
      <c r="EP385" s="61"/>
      <c r="EQ385" s="61"/>
      <c r="ER385" s="61"/>
      <c r="ES385" s="61"/>
      <c r="ET385" s="61"/>
      <c r="EU385" s="61"/>
      <c r="EV385" s="61"/>
      <c r="EW385" s="61"/>
    </row>
    <row r="386" spans="1:153">
      <c r="A386" s="56">
        <v>38322</v>
      </c>
      <c r="B386" s="57">
        <v>2004</v>
      </c>
      <c r="C386" s="71">
        <v>0.307</v>
      </c>
      <c r="D386" s="61">
        <v>4.0000000000000001E-3</v>
      </c>
      <c r="E386" s="61">
        <v>56.43</v>
      </c>
      <c r="F386" s="61">
        <v>2.37</v>
      </c>
      <c r="G386" s="61">
        <v>0.30199999999999999</v>
      </c>
      <c r="H386" s="61">
        <v>4.6230000000000002</v>
      </c>
      <c r="I386" s="61">
        <v>6.7519999999999998</v>
      </c>
      <c r="J386" s="61">
        <v>-2.129</v>
      </c>
      <c r="K386" s="61"/>
      <c r="L386" s="61"/>
      <c r="M386" s="61">
        <v>54.3</v>
      </c>
      <c r="N386" s="61">
        <v>2.2810000000000001</v>
      </c>
      <c r="O386" s="71">
        <v>0.29099999999999998</v>
      </c>
      <c r="P386" s="60">
        <v>187.91399999999999</v>
      </c>
      <c r="Q386" s="61">
        <v>43.302</v>
      </c>
      <c r="R386" s="61">
        <v>264.19900000000001</v>
      </c>
      <c r="S386" s="61">
        <v>557.13199999999995</v>
      </c>
      <c r="T386" s="61">
        <v>262.52699999999999</v>
      </c>
      <c r="U386" s="61">
        <v>15.103999999999999</v>
      </c>
      <c r="V386" s="61">
        <v>3.5640000000000001</v>
      </c>
      <c r="W386" s="61">
        <v>11.739000000000001</v>
      </c>
      <c r="X386" s="61">
        <v>187.91399999999999</v>
      </c>
      <c r="Y386" s="61">
        <v>32.982999999999997</v>
      </c>
      <c r="Z386" s="61">
        <v>45</v>
      </c>
      <c r="AA386" s="61">
        <v>265.89699999999999</v>
      </c>
      <c r="AB386" s="60">
        <v>558.83100000000002</v>
      </c>
      <c r="AC386" s="62"/>
      <c r="AD386" s="61"/>
      <c r="AE386" s="61"/>
      <c r="AF386" s="61"/>
      <c r="AG386" s="61"/>
      <c r="AH386" s="61"/>
      <c r="AI386" s="61"/>
      <c r="AJ386" s="61"/>
      <c r="AK386" s="62"/>
      <c r="AL386" s="63"/>
      <c r="AM386" s="64"/>
      <c r="AN386" s="65" t="e">
        <v>#N/A</v>
      </c>
      <c r="AO386" s="61" t="e">
        <v>#N/A</v>
      </c>
      <c r="AP386" s="61" t="e">
        <v>#N/A</v>
      </c>
      <c r="AQ386" s="61" t="e">
        <v>#N/A</v>
      </c>
      <c r="AR386" s="61" t="e">
        <v>#N/A</v>
      </c>
      <c r="AS386" s="61" t="e">
        <v>#N/A</v>
      </c>
      <c r="AT386" s="61" t="e">
        <v>#N/A</v>
      </c>
      <c r="AU386" s="61" t="e">
        <v>#N/A</v>
      </c>
      <c r="AV386" s="61" t="e">
        <v>#N/A</v>
      </c>
      <c r="AW386" s="61" t="e">
        <v>#N/A</v>
      </c>
      <c r="AX386" s="65" t="e">
        <v>#N/A</v>
      </c>
      <c r="AY386" s="66">
        <v>1.1859999999999999</v>
      </c>
      <c r="AZ386" s="61">
        <v>3.3959999999999999</v>
      </c>
      <c r="BA386" s="61">
        <v>34.726999999999997</v>
      </c>
      <c r="BB386" s="61">
        <v>39.308999999999997</v>
      </c>
      <c r="BC386" s="61">
        <v>0.124</v>
      </c>
      <c r="BD386" s="61">
        <v>1.016</v>
      </c>
      <c r="BE386" s="61">
        <v>7.3999999999999996E-2</v>
      </c>
      <c r="BF386" s="61" t="s">
        <v>122</v>
      </c>
      <c r="BG386" s="61">
        <v>5.984</v>
      </c>
      <c r="BH386" s="61">
        <v>2.9620000000000002</v>
      </c>
      <c r="BI386" s="61">
        <v>6.9000000000000006E-2</v>
      </c>
      <c r="BJ386" s="61">
        <v>9.0150000000000006</v>
      </c>
      <c r="BK386" s="66">
        <v>10.228999999999999</v>
      </c>
      <c r="BL386" s="67">
        <v>26.138999999999999</v>
      </c>
      <c r="BM386" s="61">
        <v>0.29099999999999998</v>
      </c>
      <c r="BN386" s="61" t="s">
        <v>121</v>
      </c>
      <c r="BO386" s="61" t="s">
        <v>121</v>
      </c>
      <c r="BP386" s="61">
        <v>26.43</v>
      </c>
      <c r="BQ386" s="61">
        <v>258.387</v>
      </c>
      <c r="BR386" s="61">
        <v>12.58</v>
      </c>
      <c r="BS386" s="61">
        <v>7.8E-2</v>
      </c>
      <c r="BT386" s="61">
        <v>11.739000000000001</v>
      </c>
      <c r="BU386" s="61">
        <v>15.679</v>
      </c>
      <c r="BV386" s="61">
        <v>18.968</v>
      </c>
      <c r="BW386" s="61">
        <v>34.646000000000001</v>
      </c>
      <c r="BX386" s="67">
        <v>317.43</v>
      </c>
      <c r="BY386" s="68">
        <v>128929</v>
      </c>
      <c r="BZ386" s="68">
        <v>129441</v>
      </c>
      <c r="CA386" s="69">
        <v>9048</v>
      </c>
      <c r="CB386" s="68">
        <v>126272</v>
      </c>
      <c r="CC386" s="68">
        <v>5468</v>
      </c>
      <c r="CD386" s="61"/>
      <c r="CE386" s="64"/>
      <c r="CF386" s="64"/>
      <c r="CG386" s="70">
        <f t="shared" si="27"/>
        <v>5303.424</v>
      </c>
      <c r="CH386" s="70">
        <f t="shared" si="28"/>
        <v>380.01600000000002</v>
      </c>
      <c r="CI386" s="70">
        <f t="shared" si="29"/>
        <v>229.65600000000001</v>
      </c>
      <c r="CJ386" s="70">
        <f t="shared" si="30"/>
        <v>5415.018</v>
      </c>
      <c r="CK386" s="70">
        <f t="shared" si="30"/>
        <v>5436.5219999999999</v>
      </c>
      <c r="CL386" s="70">
        <f t="shared" si="31"/>
        <v>0</v>
      </c>
      <c r="CM386" s="61"/>
      <c r="CN386" s="61"/>
      <c r="CO386" s="61"/>
      <c r="CP386" s="61"/>
      <c r="CQ386" s="61"/>
      <c r="CR386" s="61"/>
      <c r="CS386" s="61"/>
      <c r="CT386" s="61"/>
      <c r="CU386" s="61"/>
      <c r="CV386" s="61"/>
      <c r="CW386" s="61"/>
      <c r="CX386" s="61"/>
      <c r="CY386" s="61"/>
      <c r="CZ386" s="61"/>
      <c r="DA386" s="61"/>
      <c r="DB386" s="61"/>
      <c r="DC386" s="61"/>
      <c r="DD386" s="61"/>
      <c r="DE386" s="61"/>
      <c r="DF386" s="61"/>
      <c r="DG386" s="61"/>
      <c r="DH386" s="61"/>
      <c r="DI386" s="61"/>
      <c r="DJ386" s="61"/>
      <c r="DK386" s="61"/>
      <c r="DL386" s="61"/>
      <c r="DM386" s="61"/>
      <c r="DN386" s="61"/>
      <c r="DO386" s="61"/>
      <c r="DP386" s="61"/>
      <c r="DQ386" s="61"/>
      <c r="DR386" s="61"/>
      <c r="DS386" s="61"/>
      <c r="DT386" s="61"/>
      <c r="DU386" s="61"/>
      <c r="DV386" s="61"/>
      <c r="DW386" s="61"/>
      <c r="DX386" s="61"/>
      <c r="DY386" s="61"/>
      <c r="DZ386" s="61"/>
      <c r="EA386" s="61"/>
      <c r="EB386" s="61"/>
      <c r="EC386" s="61"/>
      <c r="ED386" s="61"/>
      <c r="EE386" s="61"/>
      <c r="EF386" s="61"/>
      <c r="EG386" s="61"/>
      <c r="EH386" s="61"/>
      <c r="EI386" s="61"/>
      <c r="EJ386" s="61"/>
      <c r="EK386" s="61"/>
      <c r="EL386" s="61"/>
      <c r="EM386" s="61"/>
      <c r="EN386" s="61"/>
      <c r="EO386" s="61"/>
      <c r="EP386" s="61"/>
      <c r="EQ386" s="61"/>
      <c r="ER386" s="61"/>
      <c r="ES386" s="61"/>
      <c r="ET386" s="61"/>
      <c r="EU386" s="61"/>
      <c r="EV386" s="61"/>
      <c r="EW386" s="61"/>
    </row>
    <row r="387" spans="1:153">
      <c r="A387" s="56">
        <v>38353</v>
      </c>
      <c r="B387" s="57">
        <v>2005</v>
      </c>
      <c r="C387" s="71">
        <v>0.997</v>
      </c>
      <c r="D387" s="61">
        <v>1.4E-2</v>
      </c>
      <c r="E387" s="61">
        <v>183.58699999999999</v>
      </c>
      <c r="F387" s="61">
        <v>7.7110000000000003</v>
      </c>
      <c r="G387" s="61">
        <v>0.98399999999999999</v>
      </c>
      <c r="H387" s="61">
        <v>14.89</v>
      </c>
      <c r="I387" s="61">
        <v>7.86</v>
      </c>
      <c r="J387" s="61">
        <v>7.0289999999999999</v>
      </c>
      <c r="K387" s="61"/>
      <c r="L387" s="61"/>
      <c r="M387" s="61">
        <v>190.61600000000001</v>
      </c>
      <c r="N387" s="61">
        <v>8.0060000000000002</v>
      </c>
      <c r="O387" s="71">
        <v>1.022</v>
      </c>
      <c r="P387" s="60">
        <v>185.55099999999999</v>
      </c>
      <c r="Q387" s="61">
        <v>45.101999999999997</v>
      </c>
      <c r="R387" s="61">
        <v>264.70699999999999</v>
      </c>
      <c r="S387" s="61">
        <v>537.024</v>
      </c>
      <c r="T387" s="61">
        <v>242.697</v>
      </c>
      <c r="U387" s="61">
        <v>15.391</v>
      </c>
      <c r="V387" s="61">
        <v>2.9140000000000001</v>
      </c>
      <c r="W387" s="61">
        <v>11.315</v>
      </c>
      <c r="X387" s="61">
        <v>185.55099999999999</v>
      </c>
      <c r="Y387" s="61">
        <v>34.054000000000002</v>
      </c>
      <c r="Z387" s="61">
        <v>46.014000000000003</v>
      </c>
      <c r="AA387" s="61">
        <v>265.61900000000003</v>
      </c>
      <c r="AB387" s="60">
        <v>537.93600000000004</v>
      </c>
      <c r="AC387" s="62"/>
      <c r="AD387" s="61"/>
      <c r="AE387" s="61"/>
      <c r="AF387" s="61"/>
      <c r="AG387" s="61"/>
      <c r="AH387" s="61"/>
      <c r="AI387" s="61"/>
      <c r="AJ387" s="61"/>
      <c r="AK387" s="62"/>
      <c r="AL387" s="63"/>
      <c r="AM387" s="64"/>
      <c r="AN387" s="65" t="e">
        <v>#N/A</v>
      </c>
      <c r="AO387" s="61" t="e">
        <v>#N/A</v>
      </c>
      <c r="AP387" s="61" t="e">
        <v>#N/A</v>
      </c>
      <c r="AQ387" s="61" t="e">
        <v>#N/A</v>
      </c>
      <c r="AR387" s="61" t="e">
        <v>#N/A</v>
      </c>
      <c r="AS387" s="61" t="e">
        <v>#N/A</v>
      </c>
      <c r="AT387" s="61" t="e">
        <v>#N/A</v>
      </c>
      <c r="AU387" s="61" t="e">
        <v>#N/A</v>
      </c>
      <c r="AV387" s="61" t="e">
        <v>#N/A</v>
      </c>
      <c r="AW387" s="61" t="e">
        <v>#N/A</v>
      </c>
      <c r="AX387" s="65" t="e">
        <v>#N/A</v>
      </c>
      <c r="AY387" s="66">
        <v>1.35</v>
      </c>
      <c r="AZ387" s="61">
        <v>2.718</v>
      </c>
      <c r="BA387" s="61">
        <v>36.521000000000001</v>
      </c>
      <c r="BB387" s="61">
        <v>40.588999999999999</v>
      </c>
      <c r="BC387" s="61">
        <v>0.111</v>
      </c>
      <c r="BD387" s="61">
        <v>1.155</v>
      </c>
      <c r="BE387" s="61">
        <v>0.09</v>
      </c>
      <c r="BF387" s="61" t="s">
        <v>122</v>
      </c>
      <c r="BG387" s="61">
        <v>5.9450000000000003</v>
      </c>
      <c r="BH387" s="61">
        <v>2.8759999999999999</v>
      </c>
      <c r="BI387" s="61">
        <v>7.0000000000000007E-2</v>
      </c>
      <c r="BJ387" s="61">
        <v>8.891</v>
      </c>
      <c r="BK387" s="66">
        <v>10.247</v>
      </c>
      <c r="BL387" s="67">
        <v>26.134</v>
      </c>
      <c r="BM387" s="61">
        <v>1.022</v>
      </c>
      <c r="BN387" s="61" t="s">
        <v>121</v>
      </c>
      <c r="BO387" s="61" t="s">
        <v>121</v>
      </c>
      <c r="BP387" s="61">
        <v>27.155999999999999</v>
      </c>
      <c r="BQ387" s="61">
        <v>239.19800000000001</v>
      </c>
      <c r="BR387" s="61">
        <v>12.52</v>
      </c>
      <c r="BS387" s="61">
        <v>8.6999999999999994E-2</v>
      </c>
      <c r="BT387" s="61">
        <v>11.315</v>
      </c>
      <c r="BU387" s="61">
        <v>15.951000000000001</v>
      </c>
      <c r="BV387" s="61">
        <v>18.358000000000001</v>
      </c>
      <c r="BW387" s="61">
        <v>34.308999999999997</v>
      </c>
      <c r="BX387" s="67">
        <v>297.42899999999997</v>
      </c>
      <c r="BY387" s="68">
        <v>117090</v>
      </c>
      <c r="BZ387" s="68">
        <v>130904</v>
      </c>
      <c r="CA387" s="69">
        <v>10958</v>
      </c>
      <c r="CB387" s="68">
        <v>121895</v>
      </c>
      <c r="CC387" s="68">
        <v>1521</v>
      </c>
      <c r="CD387" s="68">
        <v>1299</v>
      </c>
      <c r="CE387" s="64"/>
      <c r="CF387" s="64"/>
      <c r="CG387" s="70">
        <f t="shared" ref="CG387:CG450" si="32">CB387*42/1000</f>
        <v>5119.59</v>
      </c>
      <c r="CH387" s="70">
        <f t="shared" ref="CH387:CH450" si="33">CA387*42/1000</f>
        <v>460.23599999999999</v>
      </c>
      <c r="CI387" s="70">
        <f t="shared" ref="CI387:CI450" si="34">CC387*42/1000</f>
        <v>63.881999999999998</v>
      </c>
      <c r="CJ387" s="70">
        <f t="shared" si="30"/>
        <v>4917.78</v>
      </c>
      <c r="CK387" s="70">
        <f t="shared" si="30"/>
        <v>5497.9679999999998</v>
      </c>
      <c r="CL387" s="70">
        <f t="shared" si="31"/>
        <v>54.558</v>
      </c>
      <c r="CM387" s="61"/>
      <c r="CN387" s="61"/>
      <c r="CO387" s="61"/>
      <c r="CP387" s="61"/>
      <c r="CQ387" s="61"/>
      <c r="CR387" s="61"/>
      <c r="CS387" s="61"/>
      <c r="CT387" s="61"/>
      <c r="CU387" s="61"/>
      <c r="CV387" s="61"/>
      <c r="CW387" s="61"/>
      <c r="CX387" s="61"/>
      <c r="CY387" s="61"/>
      <c r="CZ387" s="61"/>
      <c r="DA387" s="61"/>
      <c r="DB387" s="61"/>
      <c r="DC387" s="61"/>
      <c r="DD387" s="61"/>
      <c r="DE387" s="61"/>
      <c r="DF387" s="61"/>
      <c r="DG387" s="61"/>
      <c r="DH387" s="61"/>
      <c r="DI387" s="61"/>
      <c r="DJ387" s="61"/>
      <c r="DK387" s="61"/>
      <c r="DL387" s="61"/>
      <c r="DM387" s="61"/>
      <c r="DN387" s="61"/>
      <c r="DO387" s="61"/>
      <c r="DP387" s="61"/>
      <c r="DQ387" s="61"/>
      <c r="DR387" s="61"/>
      <c r="DS387" s="61"/>
      <c r="DT387" s="61"/>
      <c r="DU387" s="61"/>
      <c r="DV387" s="61"/>
      <c r="DW387" s="61"/>
      <c r="DX387" s="61"/>
      <c r="DY387" s="61"/>
      <c r="DZ387" s="61"/>
      <c r="EA387" s="61"/>
      <c r="EB387" s="61"/>
      <c r="EC387" s="61"/>
      <c r="ED387" s="61"/>
      <c r="EE387" s="61"/>
      <c r="EF387" s="61"/>
      <c r="EG387" s="61"/>
      <c r="EH387" s="61"/>
      <c r="EI387" s="61"/>
      <c r="EJ387" s="61"/>
      <c r="EK387" s="61"/>
      <c r="EL387" s="61"/>
      <c r="EM387" s="61"/>
      <c r="EN387" s="61"/>
      <c r="EO387" s="61"/>
      <c r="EP387" s="61"/>
      <c r="EQ387" s="61"/>
      <c r="ER387" s="61"/>
      <c r="ES387" s="61"/>
      <c r="ET387" s="61"/>
      <c r="EU387" s="61"/>
      <c r="EV387" s="61"/>
      <c r="EW387" s="61"/>
    </row>
    <row r="388" spans="1:153">
      <c r="A388" s="56">
        <v>38384</v>
      </c>
      <c r="B388" s="57">
        <v>2005</v>
      </c>
      <c r="C388" s="71">
        <v>0.90100000000000002</v>
      </c>
      <c r="D388" s="61">
        <v>1.2E-2</v>
      </c>
      <c r="E388" s="61">
        <v>165.82</v>
      </c>
      <c r="F388" s="61">
        <v>6.9640000000000004</v>
      </c>
      <c r="G388" s="61">
        <v>0.88900000000000001</v>
      </c>
      <c r="H388" s="61">
        <v>33.765999999999998</v>
      </c>
      <c r="I388" s="61">
        <v>7.9960000000000004</v>
      </c>
      <c r="J388" s="61">
        <v>25.77</v>
      </c>
      <c r="K388" s="61"/>
      <c r="L388" s="61"/>
      <c r="M388" s="61">
        <v>191.59</v>
      </c>
      <c r="N388" s="61">
        <v>8.0470000000000006</v>
      </c>
      <c r="O388" s="71">
        <v>1.0269999999999999</v>
      </c>
      <c r="P388" s="60">
        <v>175.761</v>
      </c>
      <c r="Q388" s="61">
        <v>41.375999999999998</v>
      </c>
      <c r="R388" s="61">
        <v>247.27099999999999</v>
      </c>
      <c r="S388" s="61">
        <v>489.38200000000001</v>
      </c>
      <c r="T388" s="61">
        <v>216.04599999999999</v>
      </c>
      <c r="U388" s="61">
        <v>13.222</v>
      </c>
      <c r="V388" s="61">
        <v>3.1789999999999998</v>
      </c>
      <c r="W388" s="61">
        <v>9.6639999999999997</v>
      </c>
      <c r="X388" s="61">
        <v>175.761</v>
      </c>
      <c r="Y388" s="61">
        <v>30.134</v>
      </c>
      <c r="Z388" s="61">
        <v>41.146000000000001</v>
      </c>
      <c r="AA388" s="61">
        <v>247.041</v>
      </c>
      <c r="AB388" s="60">
        <v>489.15199999999999</v>
      </c>
      <c r="AC388" s="62"/>
      <c r="AD388" s="61"/>
      <c r="AE388" s="61"/>
      <c r="AF388" s="61"/>
      <c r="AG388" s="61"/>
      <c r="AH388" s="61"/>
      <c r="AI388" s="61"/>
      <c r="AJ388" s="61"/>
      <c r="AK388" s="62"/>
      <c r="AL388" s="63"/>
      <c r="AM388" s="64"/>
      <c r="AN388" s="65" t="e">
        <v>#N/A</v>
      </c>
      <c r="AO388" s="61" t="e">
        <v>#N/A</v>
      </c>
      <c r="AP388" s="61" t="e">
        <v>#N/A</v>
      </c>
      <c r="AQ388" s="61" t="e">
        <v>#N/A</v>
      </c>
      <c r="AR388" s="61" t="e">
        <v>#N/A</v>
      </c>
      <c r="AS388" s="61" t="e">
        <v>#N/A</v>
      </c>
      <c r="AT388" s="61" t="e">
        <v>#N/A</v>
      </c>
      <c r="AU388" s="61" t="e">
        <v>#N/A</v>
      </c>
      <c r="AV388" s="61" t="e">
        <v>#N/A</v>
      </c>
      <c r="AW388" s="61" t="e">
        <v>#N/A</v>
      </c>
      <c r="AX388" s="65" t="e">
        <v>#N/A</v>
      </c>
      <c r="AY388" s="66">
        <v>1.22</v>
      </c>
      <c r="AZ388" s="61">
        <v>2.93</v>
      </c>
      <c r="BA388" s="61">
        <v>32.985999999999997</v>
      </c>
      <c r="BB388" s="61">
        <v>37.136000000000003</v>
      </c>
      <c r="BC388" s="61">
        <v>0.109</v>
      </c>
      <c r="BD388" s="61">
        <v>1.0429999999999999</v>
      </c>
      <c r="BE388" s="61">
        <v>9.7000000000000003E-2</v>
      </c>
      <c r="BF388" s="61" t="s">
        <v>122</v>
      </c>
      <c r="BG388" s="61">
        <v>5.468</v>
      </c>
      <c r="BH388" s="61">
        <v>2.6160000000000001</v>
      </c>
      <c r="BI388" s="61">
        <v>6.0999999999999999E-2</v>
      </c>
      <c r="BJ388" s="61">
        <v>8.1449999999999996</v>
      </c>
      <c r="BK388" s="66">
        <v>9.3940000000000001</v>
      </c>
      <c r="BL388" s="67">
        <v>22.841000000000001</v>
      </c>
      <c r="BM388" s="61">
        <v>1.0269999999999999</v>
      </c>
      <c r="BN388" s="61" t="s">
        <v>121</v>
      </c>
      <c r="BO388" s="61" t="s">
        <v>121</v>
      </c>
      <c r="BP388" s="61">
        <v>23.867000000000001</v>
      </c>
      <c r="BQ388" s="61">
        <v>213.292</v>
      </c>
      <c r="BR388" s="61">
        <v>10.629</v>
      </c>
      <c r="BS388" s="61">
        <v>0.13100000000000001</v>
      </c>
      <c r="BT388" s="61">
        <v>9.6639999999999997</v>
      </c>
      <c r="BU388" s="61">
        <v>15.148999999999999</v>
      </c>
      <c r="BV388" s="61">
        <v>16.132999999999999</v>
      </c>
      <c r="BW388" s="61">
        <v>31.283000000000001</v>
      </c>
      <c r="BX388" s="67">
        <v>264.99799999999999</v>
      </c>
      <c r="BY388" s="68">
        <v>106324</v>
      </c>
      <c r="BZ388" s="68">
        <v>117655</v>
      </c>
      <c r="CA388" s="69">
        <v>9628</v>
      </c>
      <c r="CB388" s="68">
        <v>117326</v>
      </c>
      <c r="CC388" s="68">
        <v>2866</v>
      </c>
      <c r="CD388" s="68">
        <v>657</v>
      </c>
      <c r="CE388" s="64"/>
      <c r="CF388" s="64"/>
      <c r="CG388" s="70">
        <f t="shared" si="32"/>
        <v>4927.692</v>
      </c>
      <c r="CH388" s="70">
        <f t="shared" si="33"/>
        <v>404.37599999999998</v>
      </c>
      <c r="CI388" s="70">
        <f t="shared" si="34"/>
        <v>120.372</v>
      </c>
      <c r="CJ388" s="70">
        <f t="shared" si="30"/>
        <v>4465.6080000000002</v>
      </c>
      <c r="CK388" s="70">
        <f t="shared" si="30"/>
        <v>4941.51</v>
      </c>
      <c r="CL388" s="70">
        <f t="shared" si="31"/>
        <v>27.594000000000001</v>
      </c>
      <c r="CM388" s="61"/>
      <c r="CN388" s="61"/>
      <c r="CO388" s="61"/>
      <c r="CP388" s="61"/>
      <c r="CQ388" s="61"/>
      <c r="CR388" s="61"/>
      <c r="CS388" s="61"/>
      <c r="CT388" s="61"/>
      <c r="CU388" s="61"/>
      <c r="CV388" s="61"/>
      <c r="CW388" s="61"/>
      <c r="CX388" s="61"/>
      <c r="CY388" s="61"/>
      <c r="CZ388" s="61"/>
      <c r="DA388" s="61"/>
      <c r="DB388" s="61"/>
      <c r="DC388" s="61"/>
      <c r="DD388" s="61"/>
      <c r="DE388" s="61"/>
      <c r="DF388" s="61"/>
      <c r="DG388" s="61"/>
      <c r="DH388" s="61"/>
      <c r="DI388" s="61"/>
      <c r="DJ388" s="61"/>
      <c r="DK388" s="61"/>
      <c r="DL388" s="61"/>
      <c r="DM388" s="61"/>
      <c r="DN388" s="61"/>
      <c r="DO388" s="61"/>
      <c r="DP388" s="61"/>
      <c r="DQ388" s="61"/>
      <c r="DR388" s="61"/>
      <c r="DS388" s="61"/>
      <c r="DT388" s="61"/>
      <c r="DU388" s="61"/>
      <c r="DV388" s="61"/>
      <c r="DW388" s="61"/>
      <c r="DX388" s="61"/>
      <c r="DY388" s="61"/>
      <c r="DZ388" s="61"/>
      <c r="EA388" s="61"/>
      <c r="EB388" s="61"/>
      <c r="EC388" s="61"/>
      <c r="ED388" s="61"/>
      <c r="EE388" s="61"/>
      <c r="EF388" s="61"/>
      <c r="EG388" s="61"/>
      <c r="EH388" s="61"/>
      <c r="EI388" s="61"/>
      <c r="EJ388" s="61"/>
      <c r="EK388" s="61"/>
      <c r="EL388" s="61"/>
      <c r="EM388" s="61"/>
      <c r="EN388" s="61"/>
      <c r="EO388" s="61"/>
      <c r="EP388" s="61"/>
      <c r="EQ388" s="61"/>
      <c r="ER388" s="61"/>
      <c r="ES388" s="61"/>
      <c r="ET388" s="61"/>
      <c r="EU388" s="61"/>
      <c r="EV388" s="61"/>
      <c r="EW388" s="61"/>
    </row>
    <row r="389" spans="1:153">
      <c r="A389" s="56">
        <v>38412</v>
      </c>
      <c r="B389" s="57">
        <v>2005</v>
      </c>
      <c r="C389" s="71">
        <v>0.997</v>
      </c>
      <c r="D389" s="61">
        <v>1.4E-2</v>
      </c>
      <c r="E389" s="61">
        <v>183.58699999999999</v>
      </c>
      <c r="F389" s="61">
        <v>7.7110000000000003</v>
      </c>
      <c r="G389" s="61">
        <v>0.98399999999999999</v>
      </c>
      <c r="H389" s="61">
        <v>12.91</v>
      </c>
      <c r="I389" s="61">
        <v>25.097999999999999</v>
      </c>
      <c r="J389" s="61">
        <v>-12.188000000000001</v>
      </c>
      <c r="K389" s="61"/>
      <c r="L389" s="61"/>
      <c r="M389" s="61">
        <v>171.398</v>
      </c>
      <c r="N389" s="61">
        <v>7.1989999999999998</v>
      </c>
      <c r="O389" s="71">
        <v>0.91900000000000004</v>
      </c>
      <c r="P389" s="60">
        <v>180.584</v>
      </c>
      <c r="Q389" s="61">
        <v>45.51</v>
      </c>
      <c r="R389" s="61">
        <v>260.04300000000001</v>
      </c>
      <c r="S389" s="61">
        <v>524.47799999999995</v>
      </c>
      <c r="T389" s="61">
        <v>229.33799999999999</v>
      </c>
      <c r="U389" s="61">
        <v>14.912000000000001</v>
      </c>
      <c r="V389" s="61">
        <v>4.5810000000000004</v>
      </c>
      <c r="W389" s="61">
        <v>15.605</v>
      </c>
      <c r="X389" s="61">
        <v>180.584</v>
      </c>
      <c r="Y389" s="61">
        <v>33.948999999999998</v>
      </c>
      <c r="Z389" s="61">
        <v>44.966000000000001</v>
      </c>
      <c r="AA389" s="61">
        <v>259.49900000000002</v>
      </c>
      <c r="AB389" s="60">
        <v>523.93499999999995</v>
      </c>
      <c r="AC389" s="62"/>
      <c r="AD389" s="61"/>
      <c r="AE389" s="61"/>
      <c r="AF389" s="61"/>
      <c r="AG389" s="61"/>
      <c r="AH389" s="61"/>
      <c r="AI389" s="61"/>
      <c r="AJ389" s="61"/>
      <c r="AK389" s="62"/>
      <c r="AL389" s="63"/>
      <c r="AM389" s="64"/>
      <c r="AN389" s="65" t="e">
        <v>#N/A</v>
      </c>
      <c r="AO389" s="61" t="e">
        <v>#N/A</v>
      </c>
      <c r="AP389" s="61" t="e">
        <v>#N/A</v>
      </c>
      <c r="AQ389" s="61" t="e">
        <v>#N/A</v>
      </c>
      <c r="AR389" s="61" t="e">
        <v>#N/A</v>
      </c>
      <c r="AS389" s="61" t="e">
        <v>#N/A</v>
      </c>
      <c r="AT389" s="61" t="e">
        <v>#N/A</v>
      </c>
      <c r="AU389" s="61" t="e">
        <v>#N/A</v>
      </c>
      <c r="AV389" s="61" t="e">
        <v>#N/A</v>
      </c>
      <c r="AW389" s="61" t="e">
        <v>#N/A</v>
      </c>
      <c r="AX389" s="65" t="e">
        <v>#N/A</v>
      </c>
      <c r="AY389" s="66">
        <v>1.35</v>
      </c>
      <c r="AZ389" s="61">
        <v>4.0359999999999996</v>
      </c>
      <c r="BA389" s="61">
        <v>36.521000000000001</v>
      </c>
      <c r="BB389" s="61">
        <v>41.906999999999996</v>
      </c>
      <c r="BC389" s="61">
        <v>8.2000000000000003E-2</v>
      </c>
      <c r="BD389" s="61">
        <v>1.155</v>
      </c>
      <c r="BE389" s="61">
        <v>0.13400000000000001</v>
      </c>
      <c r="BF389" s="61" t="s">
        <v>122</v>
      </c>
      <c r="BG389" s="61">
        <v>5.9379999999999997</v>
      </c>
      <c r="BH389" s="61">
        <v>2.8849999999999998</v>
      </c>
      <c r="BI389" s="61">
        <v>6.7000000000000004E-2</v>
      </c>
      <c r="BJ389" s="61">
        <v>8.89</v>
      </c>
      <c r="BK389" s="66">
        <v>10.260999999999999</v>
      </c>
      <c r="BL389" s="67">
        <v>25.045999999999999</v>
      </c>
      <c r="BM389" s="61">
        <v>0.91900000000000004</v>
      </c>
      <c r="BN389" s="61" t="s">
        <v>121</v>
      </c>
      <c r="BO389" s="61" t="s">
        <v>121</v>
      </c>
      <c r="BP389" s="61">
        <v>25.965</v>
      </c>
      <c r="BQ389" s="61">
        <v>226.30099999999999</v>
      </c>
      <c r="BR389" s="61">
        <v>12.041</v>
      </c>
      <c r="BS389" s="61">
        <v>0.38200000000000001</v>
      </c>
      <c r="BT389" s="61">
        <v>15.605</v>
      </c>
      <c r="BU389" s="61">
        <v>16.045000000000002</v>
      </c>
      <c r="BV389" s="61">
        <v>18.436</v>
      </c>
      <c r="BW389" s="61">
        <v>34.481000000000002</v>
      </c>
      <c r="BX389" s="67">
        <v>288.81</v>
      </c>
      <c r="BY389" s="68">
        <v>120087</v>
      </c>
      <c r="BZ389" s="68">
        <v>134824</v>
      </c>
      <c r="CA389" s="69">
        <v>7976</v>
      </c>
      <c r="CB389" s="68">
        <v>105443</v>
      </c>
      <c r="CC389" s="68">
        <v>5122</v>
      </c>
      <c r="CD389" s="68">
        <v>385</v>
      </c>
      <c r="CE389" s="64"/>
      <c r="CF389" s="64"/>
      <c r="CG389" s="70">
        <f t="shared" si="32"/>
        <v>4428.6059999999998</v>
      </c>
      <c r="CH389" s="70">
        <f t="shared" si="33"/>
        <v>334.99200000000002</v>
      </c>
      <c r="CI389" s="70">
        <f t="shared" si="34"/>
        <v>215.124</v>
      </c>
      <c r="CJ389" s="70">
        <f t="shared" si="30"/>
        <v>5043.6540000000005</v>
      </c>
      <c r="CK389" s="70">
        <f t="shared" si="30"/>
        <v>5662.6080000000002</v>
      </c>
      <c r="CL389" s="70">
        <f t="shared" si="31"/>
        <v>16.170000000000002</v>
      </c>
      <c r="CM389" s="61"/>
      <c r="CN389" s="61"/>
      <c r="CO389" s="61"/>
      <c r="CP389" s="61"/>
      <c r="CQ389" s="61"/>
      <c r="CR389" s="61"/>
      <c r="CS389" s="61"/>
      <c r="CT389" s="61"/>
      <c r="CU389" s="61"/>
      <c r="CV389" s="61"/>
      <c r="CW389" s="61"/>
      <c r="CX389" s="61"/>
      <c r="CY389" s="61"/>
      <c r="CZ389" s="61"/>
      <c r="DA389" s="61"/>
      <c r="DB389" s="61"/>
      <c r="DC389" s="61"/>
      <c r="DD389" s="61"/>
      <c r="DE389" s="61"/>
      <c r="DF389" s="61"/>
      <c r="DG389" s="61"/>
      <c r="DH389" s="61"/>
      <c r="DI389" s="61"/>
      <c r="DJ389" s="61"/>
      <c r="DK389" s="61"/>
      <c r="DL389" s="61"/>
      <c r="DM389" s="61"/>
      <c r="DN389" s="61"/>
      <c r="DO389" s="61"/>
      <c r="DP389" s="61"/>
      <c r="DQ389" s="61"/>
      <c r="DR389" s="61"/>
      <c r="DS389" s="61"/>
      <c r="DT389" s="61"/>
      <c r="DU389" s="61"/>
      <c r="DV389" s="61"/>
      <c r="DW389" s="61"/>
      <c r="DX389" s="61"/>
      <c r="DY389" s="61"/>
      <c r="DZ389" s="61"/>
      <c r="EA389" s="61"/>
      <c r="EB389" s="61"/>
      <c r="EC389" s="61"/>
      <c r="ED389" s="61"/>
      <c r="EE389" s="61"/>
      <c r="EF389" s="61"/>
      <c r="EG389" s="61"/>
      <c r="EH389" s="61"/>
      <c r="EI389" s="61"/>
      <c r="EJ389" s="61"/>
      <c r="EK389" s="61"/>
      <c r="EL389" s="61"/>
      <c r="EM389" s="61"/>
      <c r="EN389" s="61"/>
      <c r="EO389" s="61"/>
      <c r="EP389" s="61"/>
      <c r="EQ389" s="61"/>
      <c r="ER389" s="61"/>
      <c r="ES389" s="61"/>
      <c r="ET389" s="61"/>
      <c r="EU389" s="61"/>
      <c r="EV389" s="61"/>
      <c r="EW389" s="61"/>
    </row>
    <row r="390" spans="1:153">
      <c r="A390" s="56">
        <v>38443</v>
      </c>
      <c r="B390" s="57">
        <v>2005</v>
      </c>
      <c r="C390" s="71">
        <v>0.96499999999999997</v>
      </c>
      <c r="D390" s="61">
        <v>1.2999999999999999E-2</v>
      </c>
      <c r="E390" s="61">
        <v>177.66499999999999</v>
      </c>
      <c r="F390" s="61">
        <v>7.4619999999999997</v>
      </c>
      <c r="G390" s="61">
        <v>0.95199999999999996</v>
      </c>
      <c r="H390" s="61">
        <v>17.762</v>
      </c>
      <c r="I390" s="61">
        <v>17.555</v>
      </c>
      <c r="J390" s="61">
        <v>0.20699999999999999</v>
      </c>
      <c r="K390" s="61"/>
      <c r="L390" s="61"/>
      <c r="M390" s="61">
        <v>177.87200000000001</v>
      </c>
      <c r="N390" s="61">
        <v>7.4710000000000001</v>
      </c>
      <c r="O390" s="71">
        <v>0.95299999999999996</v>
      </c>
      <c r="P390" s="60">
        <v>171.578</v>
      </c>
      <c r="Q390" s="61">
        <v>43.143000000000001</v>
      </c>
      <c r="R390" s="61">
        <v>246.929</v>
      </c>
      <c r="S390" s="61">
        <v>514.322</v>
      </c>
      <c r="T390" s="61">
        <v>230.56100000000001</v>
      </c>
      <c r="U390" s="61">
        <v>14.648</v>
      </c>
      <c r="V390" s="61">
        <v>5.2119999999999997</v>
      </c>
      <c r="W390" s="61">
        <v>16.972999999999999</v>
      </c>
      <c r="X390" s="61">
        <v>171.578</v>
      </c>
      <c r="Y390" s="61">
        <v>32.207999999999998</v>
      </c>
      <c r="Z390" s="61">
        <v>42.536999999999999</v>
      </c>
      <c r="AA390" s="61">
        <v>246.32300000000001</v>
      </c>
      <c r="AB390" s="60">
        <v>513.71600000000001</v>
      </c>
      <c r="AC390" s="62"/>
      <c r="AD390" s="61"/>
      <c r="AE390" s="61"/>
      <c r="AF390" s="61"/>
      <c r="AG390" s="61"/>
      <c r="AH390" s="61"/>
      <c r="AI390" s="61"/>
      <c r="AJ390" s="61"/>
      <c r="AK390" s="62"/>
      <c r="AL390" s="63"/>
      <c r="AM390" s="64"/>
      <c r="AN390" s="65" t="e">
        <v>#N/A</v>
      </c>
      <c r="AO390" s="61" t="e">
        <v>#N/A</v>
      </c>
      <c r="AP390" s="61" t="e">
        <v>#N/A</v>
      </c>
      <c r="AQ390" s="61" t="e">
        <v>#N/A</v>
      </c>
      <c r="AR390" s="61" t="e">
        <v>#N/A</v>
      </c>
      <c r="AS390" s="61" t="e">
        <v>#N/A</v>
      </c>
      <c r="AT390" s="61" t="e">
        <v>#N/A</v>
      </c>
      <c r="AU390" s="61" t="e">
        <v>#N/A</v>
      </c>
      <c r="AV390" s="61" t="e">
        <v>#N/A</v>
      </c>
      <c r="AW390" s="61" t="e">
        <v>#N/A</v>
      </c>
      <c r="AX390" s="65" t="e">
        <v>#N/A</v>
      </c>
      <c r="AY390" s="66">
        <v>1.3069999999999999</v>
      </c>
      <c r="AZ390" s="61">
        <v>4.4489999999999998</v>
      </c>
      <c r="BA390" s="61">
        <v>35.341999999999999</v>
      </c>
      <c r="BB390" s="61">
        <v>41.097999999999999</v>
      </c>
      <c r="BC390" s="61">
        <v>0.123</v>
      </c>
      <c r="BD390" s="61">
        <v>1.1180000000000001</v>
      </c>
      <c r="BE390" s="61">
        <v>0.14799999999999999</v>
      </c>
      <c r="BF390" s="61" t="s">
        <v>122</v>
      </c>
      <c r="BG390" s="61">
        <v>5.7190000000000003</v>
      </c>
      <c r="BH390" s="61">
        <v>2.6680000000000001</v>
      </c>
      <c r="BI390" s="61">
        <v>6.3E-2</v>
      </c>
      <c r="BJ390" s="61">
        <v>8.4499999999999993</v>
      </c>
      <c r="BK390" s="66">
        <v>9.8390000000000004</v>
      </c>
      <c r="BL390" s="67">
        <v>23.582999999999998</v>
      </c>
      <c r="BM390" s="61">
        <v>0.95299999999999996</v>
      </c>
      <c r="BN390" s="61" t="s">
        <v>121</v>
      </c>
      <c r="BO390" s="61" t="s">
        <v>121</v>
      </c>
      <c r="BP390" s="61">
        <v>24.536000000000001</v>
      </c>
      <c r="BQ390" s="61">
        <v>227.68899999999999</v>
      </c>
      <c r="BR390" s="61">
        <v>11.87</v>
      </c>
      <c r="BS390" s="61">
        <v>0.58299999999999996</v>
      </c>
      <c r="BT390" s="61">
        <v>16.972999999999999</v>
      </c>
      <c r="BU390" s="61">
        <v>12.712999999999999</v>
      </c>
      <c r="BV390" s="61">
        <v>17.399999999999999</v>
      </c>
      <c r="BW390" s="61">
        <v>30.113</v>
      </c>
      <c r="BX390" s="67">
        <v>287.22800000000001</v>
      </c>
      <c r="BY390" s="68">
        <v>120841</v>
      </c>
      <c r="BZ390" s="68">
        <v>123044</v>
      </c>
      <c r="CA390" s="69">
        <v>7913</v>
      </c>
      <c r="CB390" s="68">
        <v>105402</v>
      </c>
      <c r="CC390" s="68">
        <v>5751</v>
      </c>
      <c r="CD390" s="68">
        <v>371</v>
      </c>
      <c r="CE390" s="64"/>
      <c r="CF390" s="64"/>
      <c r="CG390" s="70">
        <f t="shared" si="32"/>
        <v>4426.884</v>
      </c>
      <c r="CH390" s="70">
        <f t="shared" si="33"/>
        <v>332.346</v>
      </c>
      <c r="CI390" s="70">
        <f t="shared" si="34"/>
        <v>241.542</v>
      </c>
      <c r="CJ390" s="70">
        <f t="shared" si="30"/>
        <v>5075.3220000000001</v>
      </c>
      <c r="CK390" s="70">
        <f t="shared" si="30"/>
        <v>5167.848</v>
      </c>
      <c r="CL390" s="70">
        <f t="shared" si="31"/>
        <v>15.582000000000001</v>
      </c>
      <c r="CM390" s="61"/>
      <c r="CN390" s="61"/>
      <c r="CO390" s="61"/>
      <c r="CP390" s="61"/>
      <c r="CQ390" s="61"/>
      <c r="CR390" s="61"/>
      <c r="CS390" s="61"/>
      <c r="CT390" s="61"/>
      <c r="CU390" s="61"/>
      <c r="CV390" s="61"/>
      <c r="CW390" s="61"/>
      <c r="CX390" s="61"/>
      <c r="CY390" s="61"/>
      <c r="CZ390" s="61"/>
      <c r="DA390" s="61"/>
      <c r="DB390" s="61"/>
      <c r="DC390" s="61"/>
      <c r="DD390" s="61"/>
      <c r="DE390" s="61"/>
      <c r="DF390" s="61"/>
      <c r="DG390" s="61"/>
      <c r="DH390" s="61"/>
      <c r="DI390" s="61"/>
      <c r="DJ390" s="61"/>
      <c r="DK390" s="61"/>
      <c r="DL390" s="61"/>
      <c r="DM390" s="61"/>
      <c r="DN390" s="61"/>
      <c r="DO390" s="61"/>
      <c r="DP390" s="61"/>
      <c r="DQ390" s="61"/>
      <c r="DR390" s="61"/>
      <c r="DS390" s="61"/>
      <c r="DT390" s="61"/>
      <c r="DU390" s="61"/>
      <c r="DV390" s="61"/>
      <c r="DW390" s="61"/>
      <c r="DX390" s="61"/>
      <c r="DY390" s="61"/>
      <c r="DZ390" s="61"/>
      <c r="EA390" s="61"/>
      <c r="EB390" s="61"/>
      <c r="EC390" s="61"/>
      <c r="ED390" s="61"/>
      <c r="EE390" s="61"/>
      <c r="EF390" s="61"/>
      <c r="EG390" s="61"/>
      <c r="EH390" s="61"/>
      <c r="EI390" s="61"/>
      <c r="EJ390" s="61"/>
      <c r="EK390" s="61"/>
      <c r="EL390" s="61"/>
      <c r="EM390" s="61"/>
      <c r="EN390" s="61"/>
      <c r="EO390" s="61"/>
      <c r="EP390" s="61"/>
      <c r="EQ390" s="61"/>
      <c r="ER390" s="61"/>
      <c r="ES390" s="61"/>
      <c r="ET390" s="61"/>
      <c r="EU390" s="61"/>
      <c r="EV390" s="61"/>
      <c r="EW390" s="61"/>
    </row>
    <row r="391" spans="1:153">
      <c r="A391" s="56">
        <v>38473</v>
      </c>
      <c r="B391" s="57">
        <v>2005</v>
      </c>
      <c r="C391" s="71">
        <v>0.997</v>
      </c>
      <c r="D391" s="61">
        <v>1.4E-2</v>
      </c>
      <c r="E391" s="61">
        <v>183.58699999999999</v>
      </c>
      <c r="F391" s="61">
        <v>7.7110000000000003</v>
      </c>
      <c r="G391" s="61">
        <v>0.98399999999999999</v>
      </c>
      <c r="H391" s="61">
        <v>7.625</v>
      </c>
      <c r="I391" s="61">
        <v>10.018000000000001</v>
      </c>
      <c r="J391" s="61">
        <v>-2.3929999999999998</v>
      </c>
      <c r="K391" s="61"/>
      <c r="L391" s="61"/>
      <c r="M391" s="61">
        <v>181.19399999999999</v>
      </c>
      <c r="N391" s="61">
        <v>7.61</v>
      </c>
      <c r="O391" s="71">
        <v>0.97099999999999997</v>
      </c>
      <c r="P391" s="60">
        <v>176.61699999999999</v>
      </c>
      <c r="Q391" s="61">
        <v>44.487000000000002</v>
      </c>
      <c r="R391" s="61">
        <v>255.79</v>
      </c>
      <c r="S391" s="61">
        <v>567.44500000000005</v>
      </c>
      <c r="T391" s="61">
        <v>272.75799999999998</v>
      </c>
      <c r="U391" s="61">
        <v>15.513</v>
      </c>
      <c r="V391" s="61">
        <v>5.9219999999999997</v>
      </c>
      <c r="W391" s="61">
        <v>17.463000000000001</v>
      </c>
      <c r="X391" s="61">
        <v>176.61699999999999</v>
      </c>
      <c r="Y391" s="61">
        <v>34.686</v>
      </c>
      <c r="Z391" s="61">
        <v>45.383000000000003</v>
      </c>
      <c r="AA391" s="61">
        <v>256.68599999999998</v>
      </c>
      <c r="AB391" s="60">
        <v>568.34100000000001</v>
      </c>
      <c r="AC391" s="62"/>
      <c r="AD391" s="61"/>
      <c r="AE391" s="61"/>
      <c r="AF391" s="61"/>
      <c r="AG391" s="61"/>
      <c r="AH391" s="61"/>
      <c r="AI391" s="61"/>
      <c r="AJ391" s="61"/>
      <c r="AK391" s="62"/>
      <c r="AL391" s="63"/>
      <c r="AM391" s="64"/>
      <c r="AN391" s="65" t="e">
        <v>#N/A</v>
      </c>
      <c r="AO391" s="61" t="e">
        <v>#N/A</v>
      </c>
      <c r="AP391" s="61" t="e">
        <v>#N/A</v>
      </c>
      <c r="AQ391" s="61" t="e">
        <v>#N/A</v>
      </c>
      <c r="AR391" s="61" t="e">
        <v>#N/A</v>
      </c>
      <c r="AS391" s="61" t="e">
        <v>#N/A</v>
      </c>
      <c r="AT391" s="61" t="e">
        <v>#N/A</v>
      </c>
      <c r="AU391" s="61" t="e">
        <v>#N/A</v>
      </c>
      <c r="AV391" s="61" t="e">
        <v>#N/A</v>
      </c>
      <c r="AW391" s="61" t="e">
        <v>#N/A</v>
      </c>
      <c r="AX391" s="65" t="e">
        <v>#N/A</v>
      </c>
      <c r="AY391" s="66">
        <v>1.35</v>
      </c>
      <c r="AZ391" s="61">
        <v>4.9109999999999996</v>
      </c>
      <c r="BA391" s="61">
        <v>36.521000000000001</v>
      </c>
      <c r="BB391" s="61">
        <v>42.781999999999996</v>
      </c>
      <c r="BC391" s="61">
        <v>0.127</v>
      </c>
      <c r="BD391" s="61">
        <v>1.155</v>
      </c>
      <c r="BE391" s="61">
        <v>0.16300000000000001</v>
      </c>
      <c r="BF391" s="61" t="s">
        <v>122</v>
      </c>
      <c r="BG391" s="61">
        <v>5.9470000000000001</v>
      </c>
      <c r="BH391" s="61">
        <v>2.9580000000000002</v>
      </c>
      <c r="BI391" s="61">
        <v>6.9000000000000006E-2</v>
      </c>
      <c r="BJ391" s="61">
        <v>8.9740000000000002</v>
      </c>
      <c r="BK391" s="66">
        <v>10.419</v>
      </c>
      <c r="BL391" s="67">
        <v>25.815999999999999</v>
      </c>
      <c r="BM391" s="61">
        <v>0.97099999999999997</v>
      </c>
      <c r="BN391" s="61" t="s">
        <v>121</v>
      </c>
      <c r="BO391" s="61" t="s">
        <v>121</v>
      </c>
      <c r="BP391" s="61">
        <v>26.786999999999999</v>
      </c>
      <c r="BQ391" s="61">
        <v>270.00799999999998</v>
      </c>
      <c r="BR391" s="61">
        <v>12.641999999999999</v>
      </c>
      <c r="BS391" s="61">
        <v>0.81100000000000005</v>
      </c>
      <c r="BT391" s="61">
        <v>17.463000000000001</v>
      </c>
      <c r="BU391" s="61">
        <v>14.157999999999999</v>
      </c>
      <c r="BV391" s="61">
        <v>19.122</v>
      </c>
      <c r="BW391" s="61">
        <v>33.279000000000003</v>
      </c>
      <c r="BX391" s="67">
        <v>334.20299999999997</v>
      </c>
      <c r="BY391" s="68">
        <v>129555</v>
      </c>
      <c r="BZ391" s="68">
        <v>125149</v>
      </c>
      <c r="CA391" s="69">
        <v>8722</v>
      </c>
      <c r="CB391" s="68">
        <v>112369</v>
      </c>
      <c r="CC391" s="68">
        <v>6161</v>
      </c>
      <c r="CD391" s="68">
        <v>538</v>
      </c>
      <c r="CE391" s="64"/>
      <c r="CF391" s="64"/>
      <c r="CG391" s="70">
        <f t="shared" si="32"/>
        <v>4719.4979999999996</v>
      </c>
      <c r="CH391" s="70">
        <f t="shared" si="33"/>
        <v>366.32400000000001</v>
      </c>
      <c r="CI391" s="70">
        <f t="shared" si="34"/>
        <v>258.762</v>
      </c>
      <c r="CJ391" s="70">
        <f t="shared" ref="CJ391:CK454" si="35">BY391*42/1000</f>
        <v>5441.31</v>
      </c>
      <c r="CK391" s="70">
        <f t="shared" si="35"/>
        <v>5256.2579999999998</v>
      </c>
      <c r="CL391" s="70">
        <f t="shared" si="31"/>
        <v>22.596</v>
      </c>
      <c r="CM391" s="61"/>
      <c r="CN391" s="61"/>
      <c r="CO391" s="61"/>
      <c r="CP391" s="61"/>
      <c r="CQ391" s="61"/>
      <c r="CR391" s="61"/>
      <c r="CS391" s="61"/>
      <c r="CT391" s="61"/>
      <c r="CU391" s="61"/>
      <c r="CV391" s="61"/>
      <c r="CW391" s="61"/>
      <c r="CX391" s="61"/>
      <c r="CY391" s="61"/>
      <c r="CZ391" s="61"/>
      <c r="DA391" s="61"/>
      <c r="DB391" s="61"/>
      <c r="DC391" s="61"/>
      <c r="DD391" s="61"/>
      <c r="DE391" s="61"/>
      <c r="DF391" s="61"/>
      <c r="DG391" s="61"/>
      <c r="DH391" s="61"/>
      <c r="DI391" s="61"/>
      <c r="DJ391" s="61"/>
      <c r="DK391" s="61"/>
      <c r="DL391" s="61"/>
      <c r="DM391" s="61"/>
      <c r="DN391" s="61"/>
      <c r="DO391" s="61"/>
      <c r="DP391" s="61"/>
      <c r="DQ391" s="61"/>
      <c r="DR391" s="61"/>
      <c r="DS391" s="61"/>
      <c r="DT391" s="61"/>
      <c r="DU391" s="61"/>
      <c r="DV391" s="61"/>
      <c r="DW391" s="61"/>
      <c r="DX391" s="61"/>
      <c r="DY391" s="61"/>
      <c r="DZ391" s="61"/>
      <c r="EA391" s="61"/>
      <c r="EB391" s="61"/>
      <c r="EC391" s="61"/>
      <c r="ED391" s="61"/>
      <c r="EE391" s="61"/>
      <c r="EF391" s="61"/>
      <c r="EG391" s="61"/>
      <c r="EH391" s="61"/>
      <c r="EI391" s="61"/>
      <c r="EJ391" s="61"/>
      <c r="EK391" s="61"/>
      <c r="EL391" s="61"/>
      <c r="EM391" s="61"/>
      <c r="EN391" s="61"/>
      <c r="EO391" s="61"/>
      <c r="EP391" s="61"/>
      <c r="EQ391" s="61"/>
      <c r="ER391" s="61"/>
      <c r="ES391" s="61"/>
      <c r="ET391" s="61"/>
      <c r="EU391" s="61"/>
      <c r="EV391" s="61"/>
      <c r="EW391" s="61"/>
    </row>
    <row r="392" spans="1:153">
      <c r="A392" s="56">
        <v>38504</v>
      </c>
      <c r="B392" s="57">
        <v>2005</v>
      </c>
      <c r="C392" s="71">
        <v>0.96499999999999997</v>
      </c>
      <c r="D392" s="61">
        <v>1.2999999999999999E-2</v>
      </c>
      <c r="E392" s="61">
        <v>177.66499999999999</v>
      </c>
      <c r="F392" s="61">
        <v>7.4619999999999997</v>
      </c>
      <c r="G392" s="61">
        <v>0.95199999999999996</v>
      </c>
      <c r="H392" s="61">
        <v>21.986999999999998</v>
      </c>
      <c r="I392" s="61">
        <v>10.641</v>
      </c>
      <c r="J392" s="61">
        <v>11.346</v>
      </c>
      <c r="K392" s="61"/>
      <c r="L392" s="61"/>
      <c r="M392" s="61">
        <v>189.01</v>
      </c>
      <c r="N392" s="61">
        <v>7.9379999999999997</v>
      </c>
      <c r="O392" s="71">
        <v>1.0129999999999999</v>
      </c>
      <c r="P392" s="60">
        <v>173.21899999999999</v>
      </c>
      <c r="Q392" s="61">
        <v>45.082000000000001</v>
      </c>
      <c r="R392" s="61">
        <v>252.46600000000001</v>
      </c>
      <c r="S392" s="61">
        <v>559.53499999999997</v>
      </c>
      <c r="T392" s="61">
        <v>267.803</v>
      </c>
      <c r="U392" s="61">
        <v>15.257</v>
      </c>
      <c r="V392" s="61">
        <v>6.0410000000000004</v>
      </c>
      <c r="W392" s="61">
        <v>17.966999999999999</v>
      </c>
      <c r="X392" s="61">
        <v>173.21899999999999</v>
      </c>
      <c r="Y392" s="61">
        <v>34.164999999999999</v>
      </c>
      <c r="Z392" s="61">
        <v>47.73</v>
      </c>
      <c r="AA392" s="61">
        <v>255.114</v>
      </c>
      <c r="AB392" s="60">
        <v>562.18299999999999</v>
      </c>
      <c r="AC392" s="62"/>
      <c r="AD392" s="61"/>
      <c r="AE392" s="61"/>
      <c r="AF392" s="61"/>
      <c r="AG392" s="61"/>
      <c r="AH392" s="61"/>
      <c r="AI392" s="61"/>
      <c r="AJ392" s="61"/>
      <c r="AK392" s="62"/>
      <c r="AL392" s="63"/>
      <c r="AM392" s="64"/>
      <c r="AN392" s="65" t="e">
        <v>#N/A</v>
      </c>
      <c r="AO392" s="61" t="e">
        <v>#N/A</v>
      </c>
      <c r="AP392" s="61" t="e">
        <v>#N/A</v>
      </c>
      <c r="AQ392" s="61" t="e">
        <v>#N/A</v>
      </c>
      <c r="AR392" s="61" t="e">
        <v>#N/A</v>
      </c>
      <c r="AS392" s="61" t="e">
        <v>#N/A</v>
      </c>
      <c r="AT392" s="61" t="e">
        <v>#N/A</v>
      </c>
      <c r="AU392" s="61" t="e">
        <v>#N/A</v>
      </c>
      <c r="AV392" s="61" t="e">
        <v>#N/A</v>
      </c>
      <c r="AW392" s="61" t="e">
        <v>#N/A</v>
      </c>
      <c r="AX392" s="65" t="e">
        <v>#N/A</v>
      </c>
      <c r="AY392" s="66">
        <v>1.3069999999999999</v>
      </c>
      <c r="AZ392" s="61">
        <v>4.9550000000000001</v>
      </c>
      <c r="BA392" s="61">
        <v>35.341999999999999</v>
      </c>
      <c r="BB392" s="61">
        <v>41.604999999999997</v>
      </c>
      <c r="BC392" s="61">
        <v>6.9000000000000006E-2</v>
      </c>
      <c r="BD392" s="61">
        <v>1.1180000000000001</v>
      </c>
      <c r="BE392" s="61">
        <v>0.16400000000000001</v>
      </c>
      <c r="BF392" s="61" t="s">
        <v>122</v>
      </c>
      <c r="BG392" s="61">
        <v>5.734</v>
      </c>
      <c r="BH392" s="61">
        <v>3.056</v>
      </c>
      <c r="BI392" s="61">
        <v>7.4999999999999997E-2</v>
      </c>
      <c r="BJ392" s="61">
        <v>8.8650000000000002</v>
      </c>
      <c r="BK392" s="66">
        <v>10.215999999999999</v>
      </c>
      <c r="BL392" s="67">
        <v>27.815000000000001</v>
      </c>
      <c r="BM392" s="61">
        <v>1.0129999999999999</v>
      </c>
      <c r="BN392" s="61" t="s">
        <v>121</v>
      </c>
      <c r="BO392" s="61" t="s">
        <v>121</v>
      </c>
      <c r="BP392" s="61">
        <v>28.827999999999999</v>
      </c>
      <c r="BQ392" s="61">
        <v>264.774</v>
      </c>
      <c r="BR392" s="61">
        <v>12.478999999999999</v>
      </c>
      <c r="BS392" s="61">
        <v>0.88500000000000001</v>
      </c>
      <c r="BT392" s="61">
        <v>17.966999999999999</v>
      </c>
      <c r="BU392" s="61">
        <v>14.99</v>
      </c>
      <c r="BV392" s="61">
        <v>18.856000000000002</v>
      </c>
      <c r="BW392" s="61">
        <v>33.845999999999997</v>
      </c>
      <c r="BX392" s="67">
        <v>329.952</v>
      </c>
      <c r="BY392" s="68">
        <v>128228</v>
      </c>
      <c r="BZ392" s="68">
        <v>121148</v>
      </c>
      <c r="CA392" s="69">
        <v>7085</v>
      </c>
      <c r="CB392" s="68">
        <v>119721</v>
      </c>
      <c r="CC392" s="68">
        <v>6813</v>
      </c>
      <c r="CD392" s="68">
        <v>889</v>
      </c>
      <c r="CE392" s="64"/>
      <c r="CF392" s="64"/>
      <c r="CG392" s="70">
        <f t="shared" si="32"/>
        <v>5028.2820000000002</v>
      </c>
      <c r="CH392" s="70">
        <f t="shared" si="33"/>
        <v>297.57</v>
      </c>
      <c r="CI392" s="70">
        <f t="shared" si="34"/>
        <v>286.14600000000002</v>
      </c>
      <c r="CJ392" s="70">
        <f t="shared" si="35"/>
        <v>5385.576</v>
      </c>
      <c r="CK392" s="70">
        <f t="shared" si="35"/>
        <v>5088.2160000000003</v>
      </c>
      <c r="CL392" s="70">
        <f t="shared" si="31"/>
        <v>37.338000000000001</v>
      </c>
      <c r="CM392" s="61"/>
      <c r="CN392" s="61"/>
      <c r="CO392" s="61"/>
      <c r="CP392" s="61"/>
      <c r="CQ392" s="61"/>
      <c r="CR392" s="61"/>
      <c r="CS392" s="61"/>
      <c r="CT392" s="61"/>
      <c r="CU392" s="61"/>
      <c r="CV392" s="61"/>
      <c r="CW392" s="61"/>
      <c r="CX392" s="61"/>
      <c r="CY392" s="61"/>
      <c r="CZ392" s="61"/>
      <c r="DA392" s="61"/>
      <c r="DB392" s="61"/>
      <c r="DC392" s="61"/>
      <c r="DD392" s="61"/>
      <c r="DE392" s="61"/>
      <c r="DF392" s="61"/>
      <c r="DG392" s="61"/>
      <c r="DH392" s="61"/>
      <c r="DI392" s="61"/>
      <c r="DJ392" s="61"/>
      <c r="DK392" s="61"/>
      <c r="DL392" s="61"/>
      <c r="DM392" s="61"/>
      <c r="DN392" s="61"/>
      <c r="DO392" s="61"/>
      <c r="DP392" s="61"/>
      <c r="DQ392" s="61"/>
      <c r="DR392" s="61"/>
      <c r="DS392" s="61"/>
      <c r="DT392" s="61"/>
      <c r="DU392" s="61"/>
      <c r="DV392" s="61"/>
      <c r="DW392" s="61"/>
      <c r="DX392" s="61"/>
      <c r="DY392" s="61"/>
      <c r="DZ392" s="61"/>
      <c r="EA392" s="61"/>
      <c r="EB392" s="61"/>
      <c r="EC392" s="61"/>
      <c r="ED392" s="61"/>
      <c r="EE392" s="61"/>
      <c r="EF392" s="61"/>
      <c r="EG392" s="61"/>
      <c r="EH392" s="61"/>
      <c r="EI392" s="61"/>
      <c r="EJ392" s="61"/>
      <c r="EK392" s="61"/>
      <c r="EL392" s="61"/>
      <c r="EM392" s="61"/>
      <c r="EN392" s="61"/>
      <c r="EO392" s="61"/>
      <c r="EP392" s="61"/>
      <c r="EQ392" s="61"/>
      <c r="ER392" s="61"/>
      <c r="ES392" s="61"/>
      <c r="ET392" s="61"/>
      <c r="EU392" s="61"/>
      <c r="EV392" s="61"/>
      <c r="EW392" s="61"/>
    </row>
    <row r="393" spans="1:153">
      <c r="A393" s="56">
        <v>38534</v>
      </c>
      <c r="B393" s="57">
        <v>2005</v>
      </c>
      <c r="C393" s="71">
        <v>0.997</v>
      </c>
      <c r="D393" s="61">
        <v>1.4E-2</v>
      </c>
      <c r="E393" s="61">
        <v>183.58699999999999</v>
      </c>
      <c r="F393" s="61">
        <v>7.7110000000000003</v>
      </c>
      <c r="G393" s="61">
        <v>0.98399999999999999</v>
      </c>
      <c r="H393" s="61">
        <v>10.252000000000001</v>
      </c>
      <c r="I393" s="61">
        <v>25.402999999999999</v>
      </c>
      <c r="J393" s="61">
        <v>-15.151</v>
      </c>
      <c r="K393" s="61"/>
      <c r="L393" s="61"/>
      <c r="M393" s="61">
        <v>168.435</v>
      </c>
      <c r="N393" s="61">
        <v>7.0739999999999998</v>
      </c>
      <c r="O393" s="71">
        <v>0.90300000000000002</v>
      </c>
      <c r="P393" s="60">
        <v>182.702</v>
      </c>
      <c r="Q393" s="61">
        <v>48.33</v>
      </c>
      <c r="R393" s="61">
        <v>266.33199999999999</v>
      </c>
      <c r="S393" s="61">
        <v>561.81500000000005</v>
      </c>
      <c r="T393" s="61">
        <v>259.54199999999997</v>
      </c>
      <c r="U393" s="61">
        <v>15.596</v>
      </c>
      <c r="V393" s="61">
        <v>6.1360000000000001</v>
      </c>
      <c r="W393" s="61">
        <v>14.208</v>
      </c>
      <c r="X393" s="61">
        <v>182.702</v>
      </c>
      <c r="Y393" s="61">
        <v>35.299999999999997</v>
      </c>
      <c r="Z393" s="61">
        <v>49.024999999999999</v>
      </c>
      <c r="AA393" s="61">
        <v>267.02800000000002</v>
      </c>
      <c r="AB393" s="60">
        <v>562.51099999999997</v>
      </c>
      <c r="AC393" s="62"/>
      <c r="AD393" s="61"/>
      <c r="AE393" s="61"/>
      <c r="AF393" s="61"/>
      <c r="AG393" s="61"/>
      <c r="AH393" s="61"/>
      <c r="AI393" s="61"/>
      <c r="AJ393" s="61"/>
      <c r="AK393" s="62"/>
      <c r="AL393" s="63"/>
      <c r="AM393" s="64"/>
      <c r="AN393" s="65" t="e">
        <v>#N/A</v>
      </c>
      <c r="AO393" s="61" t="e">
        <v>#N/A</v>
      </c>
      <c r="AP393" s="61" t="e">
        <v>#N/A</v>
      </c>
      <c r="AQ393" s="61" t="e">
        <v>#N/A</v>
      </c>
      <c r="AR393" s="61" t="e">
        <v>#N/A</v>
      </c>
      <c r="AS393" s="61" t="e">
        <v>#N/A</v>
      </c>
      <c r="AT393" s="61" t="e">
        <v>#N/A</v>
      </c>
      <c r="AU393" s="61" t="e">
        <v>#N/A</v>
      </c>
      <c r="AV393" s="61" t="e">
        <v>#N/A</v>
      </c>
      <c r="AW393" s="61" t="e">
        <v>#N/A</v>
      </c>
      <c r="AX393" s="65" t="e">
        <v>#N/A</v>
      </c>
      <c r="AY393" s="66">
        <v>1.35</v>
      </c>
      <c r="AZ393" s="61">
        <v>5.202</v>
      </c>
      <c r="BA393" s="61">
        <v>36.521000000000001</v>
      </c>
      <c r="BB393" s="61">
        <v>43.073</v>
      </c>
      <c r="BC393" s="61">
        <v>3.4000000000000002E-2</v>
      </c>
      <c r="BD393" s="61">
        <v>1.155</v>
      </c>
      <c r="BE393" s="61">
        <v>0.17299999999999999</v>
      </c>
      <c r="BF393" s="61" t="s">
        <v>122</v>
      </c>
      <c r="BG393" s="61">
        <v>5.92</v>
      </c>
      <c r="BH393" s="61">
        <v>3.097</v>
      </c>
      <c r="BI393" s="61">
        <v>7.4999999999999997E-2</v>
      </c>
      <c r="BJ393" s="61">
        <v>9.093</v>
      </c>
      <c r="BK393" s="66">
        <v>10.455</v>
      </c>
      <c r="BL393" s="67">
        <v>27.888999999999999</v>
      </c>
      <c r="BM393" s="61">
        <v>0.90300000000000002</v>
      </c>
      <c r="BN393" s="61" t="s">
        <v>121</v>
      </c>
      <c r="BO393" s="61" t="s">
        <v>121</v>
      </c>
      <c r="BP393" s="61">
        <v>28.792000000000002</v>
      </c>
      <c r="BQ393" s="61">
        <v>256.59500000000003</v>
      </c>
      <c r="BR393" s="61">
        <v>12.726000000000001</v>
      </c>
      <c r="BS393" s="61">
        <v>0.72299999999999998</v>
      </c>
      <c r="BT393" s="61">
        <v>14.208</v>
      </c>
      <c r="BU393" s="61">
        <v>17.093</v>
      </c>
      <c r="BV393" s="61">
        <v>19.635000000000002</v>
      </c>
      <c r="BW393" s="61">
        <v>36.728000000000002</v>
      </c>
      <c r="BX393" s="67">
        <v>320.98</v>
      </c>
      <c r="BY393" s="68">
        <v>131329</v>
      </c>
      <c r="BZ393" s="68">
        <v>119477</v>
      </c>
      <c r="CA393" s="69">
        <v>7542</v>
      </c>
      <c r="CB393" s="68">
        <v>133255</v>
      </c>
      <c r="CC393" s="68">
        <v>5860</v>
      </c>
      <c r="CD393" s="68">
        <v>670</v>
      </c>
      <c r="CE393" s="64"/>
      <c r="CF393" s="64"/>
      <c r="CG393" s="70">
        <f t="shared" si="32"/>
        <v>5596.71</v>
      </c>
      <c r="CH393" s="70">
        <f t="shared" si="33"/>
        <v>316.76400000000001</v>
      </c>
      <c r="CI393" s="70">
        <f t="shared" si="34"/>
        <v>246.12</v>
      </c>
      <c r="CJ393" s="70">
        <f t="shared" si="35"/>
        <v>5515.8180000000002</v>
      </c>
      <c r="CK393" s="70">
        <f t="shared" si="35"/>
        <v>5018.0339999999997</v>
      </c>
      <c r="CL393" s="70">
        <f t="shared" si="31"/>
        <v>28.14</v>
      </c>
      <c r="CM393" s="61"/>
      <c r="CN393" s="61"/>
      <c r="CO393" s="61"/>
      <c r="CP393" s="61"/>
      <c r="CQ393" s="61"/>
      <c r="CR393" s="61"/>
      <c r="CS393" s="61"/>
      <c r="CT393" s="61"/>
      <c r="CU393" s="61"/>
      <c r="CV393" s="61"/>
      <c r="CW393" s="61"/>
      <c r="CX393" s="61"/>
      <c r="CY393" s="61"/>
      <c r="CZ393" s="61"/>
      <c r="DA393" s="61"/>
      <c r="DB393" s="61"/>
      <c r="DC393" s="61"/>
      <c r="DD393" s="61"/>
      <c r="DE393" s="61"/>
      <c r="DF393" s="61"/>
      <c r="DG393" s="61"/>
      <c r="DH393" s="61"/>
      <c r="DI393" s="61"/>
      <c r="DJ393" s="61"/>
      <c r="DK393" s="61"/>
      <c r="DL393" s="61"/>
      <c r="DM393" s="61"/>
      <c r="DN393" s="61"/>
      <c r="DO393" s="61"/>
      <c r="DP393" s="61"/>
      <c r="DQ393" s="61"/>
      <c r="DR393" s="61"/>
      <c r="DS393" s="61"/>
      <c r="DT393" s="61"/>
      <c r="DU393" s="61"/>
      <c r="DV393" s="61"/>
      <c r="DW393" s="61"/>
      <c r="DX393" s="61"/>
      <c r="DY393" s="61"/>
      <c r="DZ393" s="61"/>
      <c r="EA393" s="61"/>
      <c r="EB393" s="61"/>
      <c r="EC393" s="61"/>
      <c r="ED393" s="61"/>
      <c r="EE393" s="61"/>
      <c r="EF393" s="61"/>
      <c r="EG393" s="61"/>
      <c r="EH393" s="61"/>
      <c r="EI393" s="61"/>
      <c r="EJ393" s="61"/>
      <c r="EK393" s="61"/>
      <c r="EL393" s="61"/>
      <c r="EM393" s="61"/>
      <c r="EN393" s="61"/>
      <c r="EO393" s="61"/>
      <c r="EP393" s="61"/>
      <c r="EQ393" s="61"/>
      <c r="ER393" s="61"/>
      <c r="ES393" s="61"/>
      <c r="ET393" s="61"/>
      <c r="EU393" s="61"/>
      <c r="EV393" s="61"/>
      <c r="EW393" s="61"/>
    </row>
    <row r="394" spans="1:153">
      <c r="A394" s="56">
        <v>38565</v>
      </c>
      <c r="B394" s="57">
        <v>2005</v>
      </c>
      <c r="C394" s="71">
        <v>0.997</v>
      </c>
      <c r="D394" s="61">
        <v>1.4E-2</v>
      </c>
      <c r="E394" s="61">
        <v>183.58699999999999</v>
      </c>
      <c r="F394" s="61">
        <v>7.7110000000000003</v>
      </c>
      <c r="G394" s="61">
        <v>0.98399999999999999</v>
      </c>
      <c r="H394" s="61">
        <v>39.515000000000001</v>
      </c>
      <c r="I394" s="61">
        <v>19.986000000000001</v>
      </c>
      <c r="J394" s="61">
        <v>19.529</v>
      </c>
      <c r="K394" s="61"/>
      <c r="L394" s="61"/>
      <c r="M394" s="61">
        <v>203.11600000000001</v>
      </c>
      <c r="N394" s="61">
        <v>8.5310000000000006</v>
      </c>
      <c r="O394" s="71">
        <v>1.0880000000000001</v>
      </c>
      <c r="P394" s="60">
        <v>182.79599999999999</v>
      </c>
      <c r="Q394" s="61">
        <v>48.584000000000003</v>
      </c>
      <c r="R394" s="61">
        <v>266.09699999999998</v>
      </c>
      <c r="S394" s="61">
        <v>514.63400000000001</v>
      </c>
      <c r="T394" s="61">
        <v>215.63499999999999</v>
      </c>
      <c r="U394" s="61">
        <v>15.407</v>
      </c>
      <c r="V394" s="61">
        <v>6.1150000000000002</v>
      </c>
      <c r="W394" s="61">
        <v>11.379</v>
      </c>
      <c r="X394" s="61">
        <v>182.79599999999999</v>
      </c>
      <c r="Y394" s="61">
        <v>34.718000000000004</v>
      </c>
      <c r="Z394" s="61">
        <v>51.216999999999999</v>
      </c>
      <c r="AA394" s="61">
        <v>268.73</v>
      </c>
      <c r="AB394" s="60">
        <v>517.26700000000005</v>
      </c>
      <c r="AC394" s="62"/>
      <c r="AD394" s="61"/>
      <c r="AE394" s="61"/>
      <c r="AF394" s="61"/>
      <c r="AG394" s="61"/>
      <c r="AH394" s="61"/>
      <c r="AI394" s="61"/>
      <c r="AJ394" s="61"/>
      <c r="AK394" s="62"/>
      <c r="AL394" s="63"/>
      <c r="AM394" s="64"/>
      <c r="AN394" s="65" t="e">
        <v>#N/A</v>
      </c>
      <c r="AO394" s="61" t="e">
        <v>#N/A</v>
      </c>
      <c r="AP394" s="61" t="e">
        <v>#N/A</v>
      </c>
      <c r="AQ394" s="61" t="e">
        <v>#N/A</v>
      </c>
      <c r="AR394" s="61" t="e">
        <v>#N/A</v>
      </c>
      <c r="AS394" s="61" t="e">
        <v>#N/A</v>
      </c>
      <c r="AT394" s="61" t="e">
        <v>#N/A</v>
      </c>
      <c r="AU394" s="61" t="e">
        <v>#N/A</v>
      </c>
      <c r="AV394" s="61" t="e">
        <v>#N/A</v>
      </c>
      <c r="AW394" s="61" t="e">
        <v>#N/A</v>
      </c>
      <c r="AX394" s="65" t="e">
        <v>#N/A</v>
      </c>
      <c r="AY394" s="66">
        <v>1.35</v>
      </c>
      <c r="AZ394" s="61">
        <v>5.1479999999999997</v>
      </c>
      <c r="BA394" s="61">
        <v>36.521000000000001</v>
      </c>
      <c r="BB394" s="61">
        <v>43.018999999999998</v>
      </c>
      <c r="BC394" s="61">
        <v>1.0999999999999999E-2</v>
      </c>
      <c r="BD394" s="61">
        <v>1.155</v>
      </c>
      <c r="BE394" s="61">
        <v>0.17100000000000001</v>
      </c>
      <c r="BF394" s="61" t="s">
        <v>122</v>
      </c>
      <c r="BG394" s="61">
        <v>5.9450000000000003</v>
      </c>
      <c r="BH394" s="61">
        <v>2.9380000000000002</v>
      </c>
      <c r="BI394" s="61">
        <v>0.08</v>
      </c>
      <c r="BJ394" s="61">
        <v>8.9629999999999992</v>
      </c>
      <c r="BK394" s="66">
        <v>10.298999999999999</v>
      </c>
      <c r="BL394" s="67">
        <v>29.745999999999999</v>
      </c>
      <c r="BM394" s="61">
        <v>1.0880000000000001</v>
      </c>
      <c r="BN394" s="61" t="s">
        <v>121</v>
      </c>
      <c r="BO394" s="61" t="s">
        <v>121</v>
      </c>
      <c r="BP394" s="61">
        <v>30.835000000000001</v>
      </c>
      <c r="BQ394" s="61">
        <v>213.40799999999999</v>
      </c>
      <c r="BR394" s="61">
        <v>12.537000000000001</v>
      </c>
      <c r="BS394" s="61">
        <v>0.75800000000000001</v>
      </c>
      <c r="BT394" s="61">
        <v>11.379</v>
      </c>
      <c r="BU394" s="61">
        <v>17.146999999999998</v>
      </c>
      <c r="BV394" s="61">
        <v>19.228999999999999</v>
      </c>
      <c r="BW394" s="61">
        <v>36.375999999999998</v>
      </c>
      <c r="BX394" s="67">
        <v>274.459</v>
      </c>
      <c r="BY394" s="68">
        <v>127347</v>
      </c>
      <c r="BZ394" s="68">
        <v>124619</v>
      </c>
      <c r="CA394" s="69">
        <v>8138</v>
      </c>
      <c r="CB394" s="68">
        <v>139059</v>
      </c>
      <c r="CC394" s="68">
        <v>5062</v>
      </c>
      <c r="CD394" s="68">
        <v>685</v>
      </c>
      <c r="CE394" s="64"/>
      <c r="CF394" s="64"/>
      <c r="CG394" s="70">
        <f t="shared" si="32"/>
        <v>5840.4780000000001</v>
      </c>
      <c r="CH394" s="70">
        <f t="shared" si="33"/>
        <v>341.79599999999999</v>
      </c>
      <c r="CI394" s="70">
        <f t="shared" si="34"/>
        <v>212.60400000000001</v>
      </c>
      <c r="CJ394" s="70">
        <f t="shared" si="35"/>
        <v>5348.5739999999996</v>
      </c>
      <c r="CK394" s="70">
        <f t="shared" si="35"/>
        <v>5233.9979999999996</v>
      </c>
      <c r="CL394" s="70">
        <f t="shared" si="31"/>
        <v>28.77</v>
      </c>
      <c r="CM394" s="61"/>
      <c r="CN394" s="61"/>
      <c r="CO394" s="61"/>
      <c r="CP394" s="61"/>
      <c r="CQ394" s="61"/>
      <c r="CR394" s="61"/>
      <c r="CS394" s="61"/>
      <c r="CT394" s="61"/>
      <c r="CU394" s="61"/>
      <c r="CV394" s="61"/>
      <c r="CW394" s="61"/>
      <c r="CX394" s="61"/>
      <c r="CY394" s="61"/>
      <c r="CZ394" s="61"/>
      <c r="DA394" s="61"/>
      <c r="DB394" s="61"/>
      <c r="DC394" s="61"/>
      <c r="DD394" s="61"/>
      <c r="DE394" s="61"/>
      <c r="DF394" s="61"/>
      <c r="DG394" s="61"/>
      <c r="DH394" s="61"/>
      <c r="DI394" s="61"/>
      <c r="DJ394" s="61"/>
      <c r="DK394" s="61"/>
      <c r="DL394" s="61"/>
      <c r="DM394" s="61"/>
      <c r="DN394" s="61"/>
      <c r="DO394" s="61"/>
      <c r="DP394" s="61"/>
      <c r="DQ394" s="61"/>
      <c r="DR394" s="61"/>
      <c r="DS394" s="61"/>
      <c r="DT394" s="61"/>
      <c r="DU394" s="61"/>
      <c r="DV394" s="61"/>
      <c r="DW394" s="61"/>
      <c r="DX394" s="61"/>
      <c r="DY394" s="61"/>
      <c r="DZ394" s="61"/>
      <c r="EA394" s="61"/>
      <c r="EB394" s="61"/>
      <c r="EC394" s="61"/>
      <c r="ED394" s="61"/>
      <c r="EE394" s="61"/>
      <c r="EF394" s="61"/>
      <c r="EG394" s="61"/>
      <c r="EH394" s="61"/>
      <c r="EI394" s="61"/>
      <c r="EJ394" s="61"/>
      <c r="EK394" s="61"/>
      <c r="EL394" s="61"/>
      <c r="EM394" s="61"/>
      <c r="EN394" s="61"/>
      <c r="EO394" s="61"/>
      <c r="EP394" s="61"/>
      <c r="EQ394" s="61"/>
      <c r="ER394" s="61"/>
      <c r="ES394" s="61"/>
      <c r="ET394" s="61"/>
      <c r="EU394" s="61"/>
      <c r="EV394" s="61"/>
      <c r="EW394" s="61"/>
    </row>
    <row r="395" spans="1:153">
      <c r="A395" s="56">
        <v>38596</v>
      </c>
      <c r="B395" s="57">
        <v>2005</v>
      </c>
      <c r="C395" s="71">
        <v>0.96499999999999997</v>
      </c>
      <c r="D395" s="61">
        <v>1.2999999999999999E-2</v>
      </c>
      <c r="E395" s="61">
        <v>177.66499999999999</v>
      </c>
      <c r="F395" s="61">
        <v>7.4619999999999997</v>
      </c>
      <c r="G395" s="61">
        <v>0.95199999999999996</v>
      </c>
      <c r="H395" s="61">
        <v>11.631</v>
      </c>
      <c r="I395" s="61">
        <v>12.526</v>
      </c>
      <c r="J395" s="61">
        <v>-0.89500000000000002</v>
      </c>
      <c r="K395" s="61"/>
      <c r="L395" s="61"/>
      <c r="M395" s="61">
        <v>176.76900000000001</v>
      </c>
      <c r="N395" s="61">
        <v>7.4240000000000004</v>
      </c>
      <c r="O395" s="71">
        <v>0.94699999999999995</v>
      </c>
      <c r="P395" s="60">
        <v>174.501</v>
      </c>
      <c r="Q395" s="61">
        <v>47.316000000000003</v>
      </c>
      <c r="R395" s="61">
        <v>255.34800000000001</v>
      </c>
      <c r="S395" s="61">
        <v>464.15</v>
      </c>
      <c r="T395" s="61">
        <v>173.619</v>
      </c>
      <c r="U395" s="61">
        <v>15.003</v>
      </c>
      <c r="V395" s="61">
        <v>5.4969999999999999</v>
      </c>
      <c r="W395" s="61">
        <v>14.682</v>
      </c>
      <c r="X395" s="61">
        <v>174.501</v>
      </c>
      <c r="Y395" s="61">
        <v>33.530999999999999</v>
      </c>
      <c r="Z395" s="61">
        <v>47.804000000000002</v>
      </c>
      <c r="AA395" s="61">
        <v>255.83600000000001</v>
      </c>
      <c r="AB395" s="60">
        <v>464.637</v>
      </c>
      <c r="AC395" s="62"/>
      <c r="AD395" s="61"/>
      <c r="AE395" s="61"/>
      <c r="AF395" s="61"/>
      <c r="AG395" s="61"/>
      <c r="AH395" s="61"/>
      <c r="AI395" s="61"/>
      <c r="AJ395" s="61"/>
      <c r="AK395" s="62"/>
      <c r="AL395" s="63"/>
      <c r="AM395" s="64"/>
      <c r="AN395" s="65" t="e">
        <v>#N/A</v>
      </c>
      <c r="AO395" s="61" t="e">
        <v>#N/A</v>
      </c>
      <c r="AP395" s="61" t="e">
        <v>#N/A</v>
      </c>
      <c r="AQ395" s="61" t="e">
        <v>#N/A</v>
      </c>
      <c r="AR395" s="61" t="e">
        <v>#N/A</v>
      </c>
      <c r="AS395" s="61" t="e">
        <v>#N/A</v>
      </c>
      <c r="AT395" s="61" t="e">
        <v>#N/A</v>
      </c>
      <c r="AU395" s="61" t="e">
        <v>#N/A</v>
      </c>
      <c r="AV395" s="61" t="e">
        <v>#N/A</v>
      </c>
      <c r="AW395" s="61" t="e">
        <v>#N/A</v>
      </c>
      <c r="AX395" s="65" t="e">
        <v>#N/A</v>
      </c>
      <c r="AY395" s="66">
        <v>1.3069999999999999</v>
      </c>
      <c r="AZ395" s="61">
        <v>4.6950000000000003</v>
      </c>
      <c r="BA395" s="61">
        <v>35.341999999999999</v>
      </c>
      <c r="BB395" s="61">
        <v>41.344999999999999</v>
      </c>
      <c r="BC395" s="61">
        <v>2.4E-2</v>
      </c>
      <c r="BD395" s="61">
        <v>1.1180000000000001</v>
      </c>
      <c r="BE395" s="61">
        <v>0.156</v>
      </c>
      <c r="BF395" s="61" t="s">
        <v>122</v>
      </c>
      <c r="BG395" s="61">
        <v>5.7450000000000001</v>
      </c>
      <c r="BH395" s="61">
        <v>2.831</v>
      </c>
      <c r="BI395" s="61">
        <v>7.2999999999999995E-2</v>
      </c>
      <c r="BJ395" s="61">
        <v>8.6489999999999991</v>
      </c>
      <c r="BK395" s="66">
        <v>9.9459999999999997</v>
      </c>
      <c r="BL395" s="67">
        <v>27.048999999999999</v>
      </c>
      <c r="BM395" s="61">
        <v>0.94699999999999995</v>
      </c>
      <c r="BN395" s="61" t="s">
        <v>121</v>
      </c>
      <c r="BO395" s="61" t="s">
        <v>121</v>
      </c>
      <c r="BP395" s="61">
        <v>27.995999999999999</v>
      </c>
      <c r="BQ395" s="61">
        <v>171.41499999999999</v>
      </c>
      <c r="BR395" s="61">
        <v>12.225</v>
      </c>
      <c r="BS395" s="61">
        <v>0.61099999999999999</v>
      </c>
      <c r="BT395" s="61">
        <v>14.682</v>
      </c>
      <c r="BU395" s="61">
        <v>15.545999999999999</v>
      </c>
      <c r="BV395" s="61">
        <v>18.067</v>
      </c>
      <c r="BW395" s="61">
        <v>33.612000000000002</v>
      </c>
      <c r="BX395" s="67">
        <v>232.54499999999999</v>
      </c>
      <c r="BY395" s="68">
        <v>107098</v>
      </c>
      <c r="BZ395" s="68">
        <v>123465</v>
      </c>
      <c r="CA395" s="69">
        <v>8260</v>
      </c>
      <c r="CB395" s="68">
        <v>127719</v>
      </c>
      <c r="CC395" s="68">
        <v>3233</v>
      </c>
      <c r="CD395" s="68">
        <v>677</v>
      </c>
      <c r="CE395" s="64"/>
      <c r="CF395" s="64"/>
      <c r="CG395" s="70">
        <f t="shared" si="32"/>
        <v>5364.1980000000003</v>
      </c>
      <c r="CH395" s="70">
        <f t="shared" si="33"/>
        <v>346.92</v>
      </c>
      <c r="CI395" s="70">
        <f t="shared" si="34"/>
        <v>135.786</v>
      </c>
      <c r="CJ395" s="70">
        <f t="shared" si="35"/>
        <v>4498.116</v>
      </c>
      <c r="CK395" s="70">
        <f t="shared" si="35"/>
        <v>5185.53</v>
      </c>
      <c r="CL395" s="70">
        <f t="shared" si="31"/>
        <v>28.434000000000001</v>
      </c>
      <c r="CM395" s="61"/>
      <c r="CN395" s="61"/>
      <c r="CO395" s="61"/>
      <c r="CP395" s="61"/>
      <c r="CQ395" s="61"/>
      <c r="CR395" s="61"/>
      <c r="CS395" s="61"/>
      <c r="CT395" s="61"/>
      <c r="CU395" s="61"/>
      <c r="CV395" s="61"/>
      <c r="CW395" s="61"/>
      <c r="CX395" s="61"/>
      <c r="CY395" s="61"/>
      <c r="CZ395" s="61"/>
      <c r="DA395" s="61"/>
      <c r="DB395" s="61"/>
      <c r="DC395" s="61"/>
      <c r="DD395" s="61"/>
      <c r="DE395" s="61"/>
      <c r="DF395" s="61"/>
      <c r="DG395" s="61"/>
      <c r="DH395" s="61"/>
      <c r="DI395" s="61"/>
      <c r="DJ395" s="61"/>
      <c r="DK395" s="61"/>
      <c r="DL395" s="61"/>
      <c r="DM395" s="61"/>
      <c r="DN395" s="61"/>
      <c r="DO395" s="61"/>
      <c r="DP395" s="61"/>
      <c r="DQ395" s="61"/>
      <c r="DR395" s="61"/>
      <c r="DS395" s="61"/>
      <c r="DT395" s="61"/>
      <c r="DU395" s="61"/>
      <c r="DV395" s="61"/>
      <c r="DW395" s="61"/>
      <c r="DX395" s="61"/>
      <c r="DY395" s="61"/>
      <c r="DZ395" s="61"/>
      <c r="EA395" s="61"/>
      <c r="EB395" s="61"/>
      <c r="EC395" s="61"/>
      <c r="ED395" s="61"/>
      <c r="EE395" s="61"/>
      <c r="EF395" s="61"/>
      <c r="EG395" s="61"/>
      <c r="EH395" s="61"/>
      <c r="EI395" s="61"/>
      <c r="EJ395" s="61"/>
      <c r="EK395" s="61"/>
      <c r="EL395" s="61"/>
      <c r="EM395" s="61"/>
      <c r="EN395" s="61"/>
      <c r="EO395" s="61"/>
      <c r="EP395" s="61"/>
      <c r="EQ395" s="61"/>
      <c r="ER395" s="61"/>
      <c r="ES395" s="61"/>
      <c r="ET395" s="61"/>
      <c r="EU395" s="61"/>
      <c r="EV395" s="61"/>
      <c r="EW395" s="61"/>
    </row>
    <row r="396" spans="1:153">
      <c r="A396" s="56">
        <v>38626</v>
      </c>
      <c r="B396" s="57">
        <v>2005</v>
      </c>
      <c r="C396" s="71">
        <v>0.997</v>
      </c>
      <c r="D396" s="61">
        <v>1.4E-2</v>
      </c>
      <c r="E396" s="61">
        <v>183.58699999999999</v>
      </c>
      <c r="F396" s="61">
        <v>7.7110000000000003</v>
      </c>
      <c r="G396" s="61">
        <v>0.98399999999999999</v>
      </c>
      <c r="H396" s="61">
        <v>8.2469999999999999</v>
      </c>
      <c r="I396" s="61">
        <v>40.996000000000002</v>
      </c>
      <c r="J396" s="61">
        <v>-32.749000000000002</v>
      </c>
      <c r="K396" s="61"/>
      <c r="L396" s="61"/>
      <c r="M396" s="61">
        <v>150.83799999999999</v>
      </c>
      <c r="N396" s="61">
        <v>6.335</v>
      </c>
      <c r="O396" s="71">
        <v>0.80800000000000005</v>
      </c>
      <c r="P396" s="60">
        <v>178.56700000000001</v>
      </c>
      <c r="Q396" s="61">
        <v>50.268999999999998</v>
      </c>
      <c r="R396" s="61">
        <v>261.12099999999998</v>
      </c>
      <c r="S396" s="61">
        <v>475.798</v>
      </c>
      <c r="T396" s="61">
        <v>180.04599999999999</v>
      </c>
      <c r="U396" s="61">
        <v>15.340999999999999</v>
      </c>
      <c r="V396" s="61">
        <v>4.8289999999999997</v>
      </c>
      <c r="W396" s="61">
        <v>14.46</v>
      </c>
      <c r="X396" s="61">
        <v>178.56700000000001</v>
      </c>
      <c r="Y396" s="61">
        <v>32.286000000000001</v>
      </c>
      <c r="Z396" s="61">
        <v>51.536000000000001</v>
      </c>
      <c r="AA396" s="61">
        <v>262.38799999999998</v>
      </c>
      <c r="AB396" s="60">
        <v>477.065</v>
      </c>
      <c r="AC396" s="62"/>
      <c r="AD396" s="61"/>
      <c r="AE396" s="61"/>
      <c r="AF396" s="61"/>
      <c r="AG396" s="61"/>
      <c r="AH396" s="61"/>
      <c r="AI396" s="61"/>
      <c r="AJ396" s="61"/>
      <c r="AK396" s="62"/>
      <c r="AL396" s="63"/>
      <c r="AM396" s="64"/>
      <c r="AN396" s="65" t="e">
        <v>#N/A</v>
      </c>
      <c r="AO396" s="61" t="e">
        <v>#N/A</v>
      </c>
      <c r="AP396" s="61" t="e">
        <v>#N/A</v>
      </c>
      <c r="AQ396" s="61" t="e">
        <v>#N/A</v>
      </c>
      <c r="AR396" s="61" t="e">
        <v>#N/A</v>
      </c>
      <c r="AS396" s="61" t="e">
        <v>#N/A</v>
      </c>
      <c r="AT396" s="61" t="e">
        <v>#N/A</v>
      </c>
      <c r="AU396" s="61" t="e">
        <v>#N/A</v>
      </c>
      <c r="AV396" s="61" t="e">
        <v>#N/A</v>
      </c>
      <c r="AW396" s="61" t="e">
        <v>#N/A</v>
      </c>
      <c r="AX396" s="65" t="e">
        <v>#N/A</v>
      </c>
      <c r="AY396" s="66">
        <v>1.35</v>
      </c>
      <c r="AZ396" s="61">
        <v>4.2789999999999999</v>
      </c>
      <c r="BA396" s="61">
        <v>36.521000000000001</v>
      </c>
      <c r="BB396" s="61">
        <v>42.15</v>
      </c>
      <c r="BC396" s="61">
        <v>4.3999999999999997E-2</v>
      </c>
      <c r="BD396" s="61">
        <v>1.155</v>
      </c>
      <c r="BE396" s="61">
        <v>0.14199999999999999</v>
      </c>
      <c r="BF396" s="61" t="s">
        <v>122</v>
      </c>
      <c r="BG396" s="61">
        <v>5.931</v>
      </c>
      <c r="BH396" s="61">
        <v>2.62</v>
      </c>
      <c r="BI396" s="61">
        <v>0.08</v>
      </c>
      <c r="BJ396" s="61">
        <v>8.6300000000000008</v>
      </c>
      <c r="BK396" s="66">
        <v>9.9710000000000001</v>
      </c>
      <c r="BL396" s="67">
        <v>29.651</v>
      </c>
      <c r="BM396" s="61">
        <v>0.80800000000000005</v>
      </c>
      <c r="BN396" s="61" t="s">
        <v>121</v>
      </c>
      <c r="BO396" s="61" t="s">
        <v>121</v>
      </c>
      <c r="BP396" s="61">
        <v>30.459</v>
      </c>
      <c r="BQ396" s="61">
        <v>177.79499999999999</v>
      </c>
      <c r="BR396" s="61">
        <v>12.471</v>
      </c>
      <c r="BS396" s="61">
        <v>0.377</v>
      </c>
      <c r="BT396" s="61">
        <v>14.46</v>
      </c>
      <c r="BU396" s="61">
        <v>14.689</v>
      </c>
      <c r="BV396" s="61">
        <v>17.483000000000001</v>
      </c>
      <c r="BW396" s="61">
        <v>32.170999999999999</v>
      </c>
      <c r="BX396" s="67">
        <v>237.274</v>
      </c>
      <c r="BY396" s="68">
        <v>111120</v>
      </c>
      <c r="BZ396" s="68">
        <v>126457</v>
      </c>
      <c r="CA396" s="69">
        <v>15716</v>
      </c>
      <c r="CB396" s="68">
        <v>124710</v>
      </c>
      <c r="CC396" s="68">
        <v>3388</v>
      </c>
      <c r="CD396" s="68">
        <v>535</v>
      </c>
      <c r="CE396" s="64"/>
      <c r="CF396" s="64"/>
      <c r="CG396" s="70">
        <f t="shared" si="32"/>
        <v>5237.82</v>
      </c>
      <c r="CH396" s="70">
        <f t="shared" si="33"/>
        <v>660.072</v>
      </c>
      <c r="CI396" s="70">
        <f t="shared" si="34"/>
        <v>142.29599999999999</v>
      </c>
      <c r="CJ396" s="70">
        <f t="shared" si="35"/>
        <v>4667.04</v>
      </c>
      <c r="CK396" s="70">
        <f t="shared" si="35"/>
        <v>5311.1940000000004</v>
      </c>
      <c r="CL396" s="70">
        <f t="shared" si="31"/>
        <v>22.47</v>
      </c>
      <c r="CM396" s="61"/>
      <c r="CN396" s="61"/>
      <c r="CO396" s="61"/>
      <c r="CP396" s="61"/>
      <c r="CQ396" s="61"/>
      <c r="CR396" s="61"/>
      <c r="CS396" s="61"/>
      <c r="CT396" s="61"/>
      <c r="CU396" s="61"/>
      <c r="CV396" s="61"/>
      <c r="CW396" s="61"/>
      <c r="CX396" s="61"/>
      <c r="CY396" s="61"/>
      <c r="CZ396" s="61"/>
      <c r="DA396" s="61"/>
      <c r="DB396" s="61"/>
      <c r="DC396" s="61"/>
      <c r="DD396" s="61"/>
      <c r="DE396" s="61"/>
      <c r="DF396" s="61"/>
      <c r="DG396" s="61"/>
      <c r="DH396" s="61"/>
      <c r="DI396" s="61"/>
      <c r="DJ396" s="61"/>
      <c r="DK396" s="61"/>
      <c r="DL396" s="61"/>
      <c r="DM396" s="61"/>
      <c r="DN396" s="61"/>
      <c r="DO396" s="61"/>
      <c r="DP396" s="61"/>
      <c r="DQ396" s="61"/>
      <c r="DR396" s="61"/>
      <c r="DS396" s="61"/>
      <c r="DT396" s="61"/>
      <c r="DU396" s="61"/>
      <c r="DV396" s="61"/>
      <c r="DW396" s="61"/>
      <c r="DX396" s="61"/>
      <c r="DY396" s="61"/>
      <c r="DZ396" s="61"/>
      <c r="EA396" s="61"/>
      <c r="EB396" s="61"/>
      <c r="EC396" s="61"/>
      <c r="ED396" s="61"/>
      <c r="EE396" s="61"/>
      <c r="EF396" s="61"/>
      <c r="EG396" s="61"/>
      <c r="EH396" s="61"/>
      <c r="EI396" s="61"/>
      <c r="EJ396" s="61"/>
      <c r="EK396" s="61"/>
      <c r="EL396" s="61"/>
      <c r="EM396" s="61"/>
      <c r="EN396" s="61"/>
      <c r="EO396" s="61"/>
      <c r="EP396" s="61"/>
      <c r="EQ396" s="61"/>
      <c r="ER396" s="61"/>
      <c r="ES396" s="61"/>
      <c r="ET396" s="61"/>
      <c r="EU396" s="61"/>
      <c r="EV396" s="61"/>
      <c r="EW396" s="61"/>
    </row>
    <row r="397" spans="1:153">
      <c r="A397" s="56">
        <v>38657</v>
      </c>
      <c r="B397" s="57">
        <v>2005</v>
      </c>
      <c r="C397" s="71">
        <v>0.96499999999999997</v>
      </c>
      <c r="D397" s="61">
        <v>1.2999999999999999E-2</v>
      </c>
      <c r="E397" s="61">
        <v>177.66499999999999</v>
      </c>
      <c r="F397" s="61">
        <v>7.4619999999999997</v>
      </c>
      <c r="G397" s="61">
        <v>0.95199999999999996</v>
      </c>
      <c r="H397" s="61">
        <v>24.016999999999999</v>
      </c>
      <c r="I397" s="61">
        <v>11.29</v>
      </c>
      <c r="J397" s="61">
        <v>12.728</v>
      </c>
      <c r="K397" s="61"/>
      <c r="L397" s="61"/>
      <c r="M397" s="61">
        <v>190.392</v>
      </c>
      <c r="N397" s="61">
        <v>7.9960000000000004</v>
      </c>
      <c r="O397" s="71">
        <v>1.02</v>
      </c>
      <c r="P397" s="60">
        <v>173.209</v>
      </c>
      <c r="Q397" s="61">
        <v>49.786999999999999</v>
      </c>
      <c r="R397" s="61">
        <v>256.53199999999998</v>
      </c>
      <c r="S397" s="61">
        <v>484.887</v>
      </c>
      <c r="T397" s="61">
        <v>193.50700000000001</v>
      </c>
      <c r="U397" s="61">
        <v>14.973000000000001</v>
      </c>
      <c r="V397" s="61">
        <v>3.78</v>
      </c>
      <c r="W397" s="61">
        <v>16.094999999999999</v>
      </c>
      <c r="X397" s="61">
        <v>173.209</v>
      </c>
      <c r="Y397" s="61">
        <v>33.536000000000001</v>
      </c>
      <c r="Z397" s="61">
        <v>51.832000000000001</v>
      </c>
      <c r="AA397" s="61">
        <v>258.577</v>
      </c>
      <c r="AB397" s="60">
        <v>486.93200000000002</v>
      </c>
      <c r="AC397" s="62"/>
      <c r="AD397" s="61"/>
      <c r="AE397" s="61"/>
      <c r="AF397" s="61"/>
      <c r="AG397" s="61"/>
      <c r="AH397" s="61"/>
      <c r="AI397" s="61"/>
      <c r="AJ397" s="61"/>
      <c r="AK397" s="62"/>
      <c r="AL397" s="63"/>
      <c r="AM397" s="64"/>
      <c r="AN397" s="65" t="e">
        <v>#N/A</v>
      </c>
      <c r="AO397" s="61" t="e">
        <v>#N/A</v>
      </c>
      <c r="AP397" s="61" t="e">
        <v>#N/A</v>
      </c>
      <c r="AQ397" s="61" t="e">
        <v>#N/A</v>
      </c>
      <c r="AR397" s="61" t="e">
        <v>#N/A</v>
      </c>
      <c r="AS397" s="61" t="e">
        <v>#N/A</v>
      </c>
      <c r="AT397" s="61" t="e">
        <v>#N/A</v>
      </c>
      <c r="AU397" s="61" t="e">
        <v>#N/A</v>
      </c>
      <c r="AV397" s="61" t="e">
        <v>#N/A</v>
      </c>
      <c r="AW397" s="61" t="e">
        <v>#N/A</v>
      </c>
      <c r="AX397" s="65" t="e">
        <v>#N/A</v>
      </c>
      <c r="AY397" s="66">
        <v>1.3069999999999999</v>
      </c>
      <c r="AZ397" s="61">
        <v>3.51</v>
      </c>
      <c r="BA397" s="61">
        <v>35.341999999999999</v>
      </c>
      <c r="BB397" s="61">
        <v>40.159999999999997</v>
      </c>
      <c r="BC397" s="61">
        <v>5.8000000000000003E-2</v>
      </c>
      <c r="BD397" s="61">
        <v>1.1180000000000001</v>
      </c>
      <c r="BE397" s="61">
        <v>0.11600000000000001</v>
      </c>
      <c r="BF397" s="61" t="s">
        <v>122</v>
      </c>
      <c r="BG397" s="61">
        <v>5.7430000000000003</v>
      </c>
      <c r="BH397" s="61">
        <v>2.8159999999999998</v>
      </c>
      <c r="BI397" s="61">
        <v>0.08</v>
      </c>
      <c r="BJ397" s="61">
        <v>8.6389999999999993</v>
      </c>
      <c r="BK397" s="66">
        <v>9.9320000000000004</v>
      </c>
      <c r="BL397" s="67">
        <v>29.914999999999999</v>
      </c>
      <c r="BM397" s="61">
        <v>1.02</v>
      </c>
      <c r="BN397" s="61" t="s">
        <v>121</v>
      </c>
      <c r="BO397" s="61" t="s">
        <v>121</v>
      </c>
      <c r="BP397" s="61">
        <v>30.936</v>
      </c>
      <c r="BQ397" s="61">
        <v>191.22499999999999</v>
      </c>
      <c r="BR397" s="61">
        <v>12.195</v>
      </c>
      <c r="BS397" s="61">
        <v>0.128</v>
      </c>
      <c r="BT397" s="61">
        <v>16.094999999999999</v>
      </c>
      <c r="BU397" s="61">
        <v>15.023999999999999</v>
      </c>
      <c r="BV397" s="61">
        <v>18.710999999999999</v>
      </c>
      <c r="BW397" s="61">
        <v>33.734999999999999</v>
      </c>
      <c r="BX397" s="67">
        <v>253.37700000000001</v>
      </c>
      <c r="BY397" s="68">
        <v>118978</v>
      </c>
      <c r="BZ397" s="68">
        <v>121824</v>
      </c>
      <c r="CA397" s="69">
        <v>14572</v>
      </c>
      <c r="CB397" s="68">
        <v>133684</v>
      </c>
      <c r="CC397" s="68">
        <v>2752</v>
      </c>
      <c r="CD397" s="68">
        <v>785</v>
      </c>
      <c r="CE397" s="64"/>
      <c r="CF397" s="64"/>
      <c r="CG397" s="70">
        <f t="shared" si="32"/>
        <v>5614.7280000000001</v>
      </c>
      <c r="CH397" s="70">
        <f t="shared" si="33"/>
        <v>612.024</v>
      </c>
      <c r="CI397" s="70">
        <f t="shared" si="34"/>
        <v>115.584</v>
      </c>
      <c r="CJ397" s="70">
        <f t="shared" si="35"/>
        <v>4997.076</v>
      </c>
      <c r="CK397" s="70">
        <f t="shared" si="35"/>
        <v>5116.6080000000002</v>
      </c>
      <c r="CL397" s="70">
        <f t="shared" si="31"/>
        <v>32.97</v>
      </c>
      <c r="CM397" s="61"/>
      <c r="CN397" s="61"/>
      <c r="CO397" s="61"/>
      <c r="CP397" s="61"/>
      <c r="CQ397" s="61"/>
      <c r="CR397" s="61"/>
      <c r="CS397" s="61"/>
      <c r="CT397" s="61"/>
      <c r="CU397" s="61"/>
      <c r="CV397" s="61"/>
      <c r="CW397" s="61"/>
      <c r="CX397" s="61"/>
      <c r="CY397" s="61"/>
      <c r="CZ397" s="61"/>
      <c r="DA397" s="61"/>
      <c r="DB397" s="61"/>
      <c r="DC397" s="61"/>
      <c r="DD397" s="61"/>
      <c r="DE397" s="61"/>
      <c r="DF397" s="61"/>
      <c r="DG397" s="61"/>
      <c r="DH397" s="61"/>
      <c r="DI397" s="61"/>
      <c r="DJ397" s="61"/>
      <c r="DK397" s="61"/>
      <c r="DL397" s="61"/>
      <c r="DM397" s="61"/>
      <c r="DN397" s="61"/>
      <c r="DO397" s="61"/>
      <c r="DP397" s="61"/>
      <c r="DQ397" s="61"/>
      <c r="DR397" s="61"/>
      <c r="DS397" s="61"/>
      <c r="DT397" s="61"/>
      <c r="DU397" s="61"/>
      <c r="DV397" s="61"/>
      <c r="DW397" s="61"/>
      <c r="DX397" s="61"/>
      <c r="DY397" s="61"/>
      <c r="DZ397" s="61"/>
      <c r="EA397" s="61"/>
      <c r="EB397" s="61"/>
      <c r="EC397" s="61"/>
      <c r="ED397" s="61"/>
      <c r="EE397" s="61"/>
      <c r="EF397" s="61"/>
      <c r="EG397" s="61"/>
      <c r="EH397" s="61"/>
      <c r="EI397" s="61"/>
      <c r="EJ397" s="61"/>
      <c r="EK397" s="61"/>
      <c r="EL397" s="61"/>
      <c r="EM397" s="61"/>
      <c r="EN397" s="61"/>
      <c r="EO397" s="61"/>
      <c r="EP397" s="61"/>
      <c r="EQ397" s="61"/>
      <c r="ER397" s="61"/>
      <c r="ES397" s="61"/>
      <c r="ET397" s="61"/>
      <c r="EU397" s="61"/>
      <c r="EV397" s="61"/>
      <c r="EW397" s="61"/>
    </row>
    <row r="398" spans="1:153">
      <c r="A398" s="56">
        <v>38687</v>
      </c>
      <c r="B398" s="57">
        <v>2005</v>
      </c>
      <c r="C398" s="71">
        <v>0.997</v>
      </c>
      <c r="D398" s="61">
        <v>1.4E-2</v>
      </c>
      <c r="E398" s="61">
        <v>183.58699999999999</v>
      </c>
      <c r="F398" s="61">
        <v>7.7110000000000003</v>
      </c>
      <c r="G398" s="61">
        <v>0.98399999999999999</v>
      </c>
      <c r="H398" s="61">
        <v>11.087999999999999</v>
      </c>
      <c r="I398" s="61">
        <v>23.338000000000001</v>
      </c>
      <c r="J398" s="61">
        <v>-12.25</v>
      </c>
      <c r="K398" s="61"/>
      <c r="L398" s="61"/>
      <c r="M398" s="61">
        <v>171.33699999999999</v>
      </c>
      <c r="N398" s="61">
        <v>7.1959999999999997</v>
      </c>
      <c r="O398" s="71">
        <v>0.91800000000000004</v>
      </c>
      <c r="P398" s="60">
        <v>181.61199999999999</v>
      </c>
      <c r="Q398" s="61">
        <v>52.283999999999999</v>
      </c>
      <c r="R398" s="61">
        <v>268.55</v>
      </c>
      <c r="S398" s="61">
        <v>527.149</v>
      </c>
      <c r="T398" s="61">
        <v>221.38900000000001</v>
      </c>
      <c r="U398" s="61">
        <v>15.438000000000001</v>
      </c>
      <c r="V398" s="61">
        <v>3.4950000000000001</v>
      </c>
      <c r="W398" s="61">
        <v>18.276</v>
      </c>
      <c r="X398" s="61">
        <v>181.61199999999999</v>
      </c>
      <c r="Y398" s="61">
        <v>34.652999999999999</v>
      </c>
      <c r="Z398" s="61">
        <v>54.823</v>
      </c>
      <c r="AA398" s="61">
        <v>271.089</v>
      </c>
      <c r="AB398" s="60">
        <v>529.68799999999999</v>
      </c>
      <c r="AC398" s="62"/>
      <c r="AD398" s="61"/>
      <c r="AE398" s="61"/>
      <c r="AF398" s="61"/>
      <c r="AG398" s="61"/>
      <c r="AH398" s="61"/>
      <c r="AI398" s="61"/>
      <c r="AJ398" s="61"/>
      <c r="AK398" s="62"/>
      <c r="AL398" s="63"/>
      <c r="AM398" s="64"/>
      <c r="AN398" s="65" t="e">
        <v>#N/A</v>
      </c>
      <c r="AO398" s="61" t="e">
        <v>#N/A</v>
      </c>
      <c r="AP398" s="61" t="e">
        <v>#N/A</v>
      </c>
      <c r="AQ398" s="61" t="e">
        <v>#N/A</v>
      </c>
      <c r="AR398" s="61" t="e">
        <v>#N/A</v>
      </c>
      <c r="AS398" s="61" t="e">
        <v>#N/A</v>
      </c>
      <c r="AT398" s="61" t="e">
        <v>#N/A</v>
      </c>
      <c r="AU398" s="61" t="e">
        <v>#N/A</v>
      </c>
      <c r="AV398" s="61" t="e">
        <v>#N/A</v>
      </c>
      <c r="AW398" s="61" t="e">
        <v>#N/A</v>
      </c>
      <c r="AX398" s="65" t="e">
        <v>#N/A</v>
      </c>
      <c r="AY398" s="66">
        <v>1.35</v>
      </c>
      <c r="AZ398" s="61">
        <v>3.3319999999999999</v>
      </c>
      <c r="BA398" s="61">
        <v>36.521000000000001</v>
      </c>
      <c r="BB398" s="61">
        <v>41.203000000000003</v>
      </c>
      <c r="BC398" s="61">
        <v>6.8000000000000005E-2</v>
      </c>
      <c r="BD398" s="61">
        <v>1.155</v>
      </c>
      <c r="BE398" s="61">
        <v>0.111</v>
      </c>
      <c r="BF398" s="61" t="s">
        <v>122</v>
      </c>
      <c r="BG398" s="61">
        <v>5.96</v>
      </c>
      <c r="BH398" s="61">
        <v>2.8879999999999999</v>
      </c>
      <c r="BI398" s="61">
        <v>8.5999999999999993E-2</v>
      </c>
      <c r="BJ398" s="61">
        <v>8.9329999999999998</v>
      </c>
      <c r="BK398" s="66">
        <v>10.266999999999999</v>
      </c>
      <c r="BL398" s="67">
        <v>31.942</v>
      </c>
      <c r="BM398" s="61">
        <v>0.91800000000000004</v>
      </c>
      <c r="BN398" s="61" t="s">
        <v>121</v>
      </c>
      <c r="BO398" s="61" t="s">
        <v>121</v>
      </c>
      <c r="BP398" s="61">
        <v>32.86</v>
      </c>
      <c r="BQ398" s="61">
        <v>218.43199999999999</v>
      </c>
      <c r="BR398" s="61">
        <v>12.568</v>
      </c>
      <c r="BS398" s="61">
        <v>2.8000000000000001E-2</v>
      </c>
      <c r="BT398" s="61">
        <v>18.276</v>
      </c>
      <c r="BU398" s="61">
        <v>16.468</v>
      </c>
      <c r="BV398" s="61">
        <v>19.292999999999999</v>
      </c>
      <c r="BW398" s="61">
        <v>35.761000000000003</v>
      </c>
      <c r="BX398" s="67">
        <v>285.065</v>
      </c>
      <c r="BY398" s="68">
        <v>125351</v>
      </c>
      <c r="BZ398" s="68">
        <v>134509</v>
      </c>
      <c r="CA398" s="69">
        <v>13499</v>
      </c>
      <c r="CB398" s="68">
        <v>136022</v>
      </c>
      <c r="CC398" s="68">
        <v>2003</v>
      </c>
      <c r="CD398" s="68">
        <v>965</v>
      </c>
      <c r="CE398" s="64"/>
      <c r="CF398" s="64"/>
      <c r="CG398" s="70">
        <f t="shared" si="32"/>
        <v>5712.924</v>
      </c>
      <c r="CH398" s="70">
        <f t="shared" si="33"/>
        <v>566.95799999999997</v>
      </c>
      <c r="CI398" s="70">
        <f t="shared" si="34"/>
        <v>84.126000000000005</v>
      </c>
      <c r="CJ398" s="70">
        <f t="shared" si="35"/>
        <v>5264.7420000000002</v>
      </c>
      <c r="CK398" s="70">
        <f t="shared" si="35"/>
        <v>5649.3779999999997</v>
      </c>
      <c r="CL398" s="70">
        <f t="shared" si="31"/>
        <v>40.53</v>
      </c>
      <c r="CM398" s="61"/>
      <c r="CN398" s="61"/>
      <c r="CO398" s="61"/>
      <c r="CP398" s="61"/>
      <c r="CQ398" s="61"/>
      <c r="CR398" s="61"/>
      <c r="CS398" s="61"/>
      <c r="CT398" s="61"/>
      <c r="CU398" s="61"/>
      <c r="CV398" s="61"/>
      <c r="CW398" s="61"/>
      <c r="CX398" s="61"/>
      <c r="CY398" s="61"/>
      <c r="CZ398" s="61"/>
      <c r="DA398" s="61"/>
      <c r="DB398" s="61"/>
      <c r="DC398" s="61"/>
      <c r="DD398" s="61"/>
      <c r="DE398" s="61"/>
      <c r="DF398" s="61"/>
      <c r="DG398" s="61"/>
      <c r="DH398" s="61"/>
      <c r="DI398" s="61"/>
      <c r="DJ398" s="61"/>
      <c r="DK398" s="61"/>
      <c r="DL398" s="61"/>
      <c r="DM398" s="61"/>
      <c r="DN398" s="61"/>
      <c r="DO398" s="61"/>
      <c r="DP398" s="61"/>
      <c r="DQ398" s="61"/>
      <c r="DR398" s="61"/>
      <c r="DS398" s="61"/>
      <c r="DT398" s="61"/>
      <c r="DU398" s="61"/>
      <c r="DV398" s="61"/>
      <c r="DW398" s="61"/>
      <c r="DX398" s="61"/>
      <c r="DY398" s="61"/>
      <c r="DZ398" s="61"/>
      <c r="EA398" s="61"/>
      <c r="EB398" s="61"/>
      <c r="EC398" s="61"/>
      <c r="ED398" s="61"/>
      <c r="EE398" s="61"/>
      <c r="EF398" s="61"/>
      <c r="EG398" s="61"/>
      <c r="EH398" s="61"/>
      <c r="EI398" s="61"/>
      <c r="EJ398" s="61"/>
      <c r="EK398" s="61"/>
      <c r="EL398" s="61"/>
      <c r="EM398" s="61"/>
      <c r="EN398" s="61"/>
      <c r="EO398" s="61"/>
      <c r="EP398" s="61"/>
      <c r="EQ398" s="61"/>
      <c r="ER398" s="61"/>
      <c r="ES398" s="61"/>
      <c r="ET398" s="61"/>
      <c r="EU398" s="61"/>
      <c r="EV398" s="61"/>
      <c r="EW398" s="61"/>
    </row>
    <row r="399" spans="1:153">
      <c r="A399" s="56">
        <v>38718</v>
      </c>
      <c r="B399" s="57">
        <v>2006</v>
      </c>
      <c r="C399" s="71">
        <v>1.694</v>
      </c>
      <c r="D399" s="61">
        <v>2.3E-2</v>
      </c>
      <c r="E399" s="61">
        <v>311.73099999999999</v>
      </c>
      <c r="F399" s="61">
        <v>13.093</v>
      </c>
      <c r="G399" s="61">
        <v>1.671</v>
      </c>
      <c r="H399" s="61">
        <v>22.65</v>
      </c>
      <c r="I399" s="61">
        <v>27.376000000000001</v>
      </c>
      <c r="J399" s="61">
        <v>-4.726</v>
      </c>
      <c r="K399" s="61"/>
      <c r="L399" s="61"/>
      <c r="M399" s="61">
        <v>307.00400000000002</v>
      </c>
      <c r="N399" s="61">
        <v>12.894</v>
      </c>
      <c r="O399" s="71">
        <v>1.645</v>
      </c>
      <c r="P399" s="60">
        <v>187.67400000000001</v>
      </c>
      <c r="Q399" s="61">
        <v>54.188000000000002</v>
      </c>
      <c r="R399" s="61">
        <v>276.64699999999999</v>
      </c>
      <c r="S399" s="61">
        <v>590.86900000000003</v>
      </c>
      <c r="T399" s="61">
        <v>272.14400000000001</v>
      </c>
      <c r="U399" s="61">
        <v>15.313000000000001</v>
      </c>
      <c r="V399" s="61">
        <v>3.1320000000000001</v>
      </c>
      <c r="W399" s="61">
        <v>23.632999999999999</v>
      </c>
      <c r="X399" s="61">
        <v>187.67400000000001</v>
      </c>
      <c r="Y399" s="61">
        <v>34.784999999999997</v>
      </c>
      <c r="Z399" s="61">
        <v>52.761000000000003</v>
      </c>
      <c r="AA399" s="61">
        <v>275.22000000000003</v>
      </c>
      <c r="AB399" s="60">
        <v>589.44299999999998</v>
      </c>
      <c r="AC399" s="62"/>
      <c r="AD399" s="61"/>
      <c r="AE399" s="61"/>
      <c r="AF399" s="61"/>
      <c r="AG399" s="61"/>
      <c r="AH399" s="61"/>
      <c r="AI399" s="61"/>
      <c r="AJ399" s="61"/>
      <c r="AK399" s="62"/>
      <c r="AL399" s="63"/>
      <c r="AM399" s="64"/>
      <c r="AN399" s="65" t="e">
        <v>#N/A</v>
      </c>
      <c r="AO399" s="61" t="e">
        <v>#N/A</v>
      </c>
      <c r="AP399" s="61" t="e">
        <v>#N/A</v>
      </c>
      <c r="AQ399" s="61" t="e">
        <v>#N/A</v>
      </c>
      <c r="AR399" s="61" t="e">
        <v>#N/A</v>
      </c>
      <c r="AS399" s="61" t="e">
        <v>#N/A</v>
      </c>
      <c r="AT399" s="61" t="e">
        <v>#N/A</v>
      </c>
      <c r="AU399" s="61" t="e">
        <v>#N/A</v>
      </c>
      <c r="AV399" s="61" t="e">
        <v>#N/A</v>
      </c>
      <c r="AW399" s="61" t="e">
        <v>#N/A</v>
      </c>
      <c r="AX399" s="65" t="e">
        <v>#N/A</v>
      </c>
      <c r="AY399" s="66">
        <v>1.554</v>
      </c>
      <c r="AZ399" s="61">
        <v>2.8439999999999999</v>
      </c>
      <c r="BA399" s="61">
        <v>32.274000000000001</v>
      </c>
      <c r="BB399" s="61">
        <v>36.671999999999997</v>
      </c>
      <c r="BC399" s="61">
        <v>0.128</v>
      </c>
      <c r="BD399" s="61">
        <v>1.1890000000000001</v>
      </c>
      <c r="BE399" s="61">
        <v>0.13</v>
      </c>
      <c r="BF399" s="61" t="s">
        <v>122</v>
      </c>
      <c r="BG399" s="61">
        <v>5.532</v>
      </c>
      <c r="BH399" s="61">
        <v>3.1720000000000002</v>
      </c>
      <c r="BI399" s="61">
        <v>8.2000000000000003E-2</v>
      </c>
      <c r="BJ399" s="61">
        <v>8.7859999999999996</v>
      </c>
      <c r="BK399" s="66">
        <v>10.233000000000001</v>
      </c>
      <c r="BL399" s="67">
        <v>28.873999999999999</v>
      </c>
      <c r="BM399" s="61">
        <v>1.645</v>
      </c>
      <c r="BN399" s="61" t="s">
        <v>121</v>
      </c>
      <c r="BO399" s="61" t="s">
        <v>121</v>
      </c>
      <c r="BP399" s="61">
        <v>30.518999999999998</v>
      </c>
      <c r="BQ399" s="61">
        <v>268.47800000000001</v>
      </c>
      <c r="BR399" s="61">
        <v>12.196</v>
      </c>
      <c r="BS399" s="61">
        <v>0.128</v>
      </c>
      <c r="BT399" s="61">
        <v>23.632999999999999</v>
      </c>
      <c r="BU399" s="61">
        <v>16.521999999999998</v>
      </c>
      <c r="BV399" s="61">
        <v>20.148</v>
      </c>
      <c r="BW399" s="61">
        <v>36.67</v>
      </c>
      <c r="BX399" s="67">
        <v>341.10599999999999</v>
      </c>
      <c r="BY399" s="68">
        <v>119046</v>
      </c>
      <c r="BZ399" s="68">
        <v>128937</v>
      </c>
      <c r="CA399" s="69">
        <v>17109</v>
      </c>
      <c r="CB399" s="68">
        <v>139426</v>
      </c>
      <c r="CC399" s="68">
        <v>3814</v>
      </c>
      <c r="CD399" s="68">
        <v>2974</v>
      </c>
      <c r="CE399" s="64"/>
      <c r="CF399" s="64"/>
      <c r="CG399" s="70">
        <f t="shared" si="32"/>
        <v>5855.8919999999998</v>
      </c>
      <c r="CH399" s="70">
        <f t="shared" si="33"/>
        <v>718.57799999999997</v>
      </c>
      <c r="CI399" s="70">
        <f t="shared" si="34"/>
        <v>160.18799999999999</v>
      </c>
      <c r="CJ399" s="70">
        <f t="shared" si="35"/>
        <v>4999.9319999999998</v>
      </c>
      <c r="CK399" s="70">
        <f t="shared" si="35"/>
        <v>5415.3540000000003</v>
      </c>
      <c r="CL399" s="70">
        <f t="shared" si="31"/>
        <v>124.908</v>
      </c>
      <c r="CM399" s="61"/>
      <c r="CN399" s="61"/>
      <c r="CO399" s="61"/>
      <c r="CP399" s="61"/>
      <c r="CQ399" s="61"/>
      <c r="CR399" s="61"/>
      <c r="CS399" s="61"/>
      <c r="CT399" s="61"/>
      <c r="CU399" s="61"/>
      <c r="CV399" s="61"/>
      <c r="CW399" s="61"/>
      <c r="CX399" s="61"/>
      <c r="CY399" s="61"/>
      <c r="CZ399" s="61"/>
      <c r="DA399" s="61"/>
      <c r="DB399" s="61"/>
      <c r="DC399" s="61"/>
      <c r="DD399" s="61"/>
      <c r="DE399" s="61"/>
      <c r="DF399" s="61"/>
      <c r="DG399" s="61"/>
      <c r="DH399" s="61"/>
      <c r="DI399" s="61"/>
      <c r="DJ399" s="61"/>
      <c r="DK399" s="61"/>
      <c r="DL399" s="61"/>
      <c r="DM399" s="61"/>
      <c r="DN399" s="61"/>
      <c r="DO399" s="61"/>
      <c r="DP399" s="61"/>
      <c r="DQ399" s="61"/>
      <c r="DR399" s="61"/>
      <c r="DS399" s="61"/>
      <c r="DT399" s="61"/>
      <c r="DU399" s="61"/>
      <c r="DV399" s="61"/>
      <c r="DW399" s="61"/>
      <c r="DX399" s="61"/>
      <c r="DY399" s="61"/>
      <c r="DZ399" s="61"/>
      <c r="EA399" s="61"/>
      <c r="EB399" s="61"/>
      <c r="EC399" s="61"/>
      <c r="ED399" s="61"/>
      <c r="EE399" s="61"/>
      <c r="EF399" s="61"/>
      <c r="EG399" s="61"/>
      <c r="EH399" s="61"/>
      <c r="EI399" s="61"/>
      <c r="EJ399" s="61"/>
      <c r="EK399" s="61"/>
      <c r="EL399" s="61"/>
      <c r="EM399" s="61"/>
      <c r="EN399" s="61"/>
      <c r="EO399" s="61"/>
      <c r="EP399" s="61"/>
      <c r="EQ399" s="61"/>
      <c r="ER399" s="61"/>
      <c r="ES399" s="61"/>
      <c r="ET399" s="61"/>
      <c r="EU399" s="61"/>
      <c r="EV399" s="61"/>
      <c r="EW399" s="61"/>
    </row>
    <row r="400" spans="1:153">
      <c r="A400" s="56">
        <v>38749</v>
      </c>
      <c r="B400" s="57">
        <v>2006</v>
      </c>
      <c r="C400" s="71">
        <v>1.464</v>
      </c>
      <c r="D400" s="61">
        <v>0.02</v>
      </c>
      <c r="E400" s="61">
        <v>269.46199999999999</v>
      </c>
      <c r="F400" s="61">
        <v>11.317</v>
      </c>
      <c r="G400" s="61">
        <v>1.444</v>
      </c>
      <c r="H400" s="61">
        <v>19.806000000000001</v>
      </c>
      <c r="I400" s="61">
        <v>74.212000000000003</v>
      </c>
      <c r="J400" s="61">
        <v>-54.405999999999999</v>
      </c>
      <c r="K400" s="61"/>
      <c r="L400" s="61"/>
      <c r="M400" s="61">
        <v>215.05600000000001</v>
      </c>
      <c r="N400" s="61">
        <v>9.032</v>
      </c>
      <c r="O400" s="71">
        <v>1.1519999999999999</v>
      </c>
      <c r="P400" s="60">
        <v>164.91200000000001</v>
      </c>
      <c r="Q400" s="61">
        <v>51.185000000000002</v>
      </c>
      <c r="R400" s="61">
        <v>247.274</v>
      </c>
      <c r="S400" s="61">
        <v>529.21400000000006</v>
      </c>
      <c r="T400" s="61">
        <v>245.61099999999999</v>
      </c>
      <c r="U400" s="61">
        <v>13.834</v>
      </c>
      <c r="V400" s="61">
        <v>3.431</v>
      </c>
      <c r="W400" s="61">
        <v>19.064</v>
      </c>
      <c r="X400" s="61">
        <v>164.91200000000001</v>
      </c>
      <c r="Y400" s="61">
        <v>31.177</v>
      </c>
      <c r="Z400" s="61">
        <v>48.954999999999998</v>
      </c>
      <c r="AA400" s="61">
        <v>245.04400000000001</v>
      </c>
      <c r="AB400" s="60">
        <v>526.98400000000004</v>
      </c>
      <c r="AC400" s="62"/>
      <c r="AD400" s="61"/>
      <c r="AE400" s="61"/>
      <c r="AF400" s="61"/>
      <c r="AG400" s="61"/>
      <c r="AH400" s="61"/>
      <c r="AI400" s="61"/>
      <c r="AJ400" s="61"/>
      <c r="AK400" s="62"/>
      <c r="AL400" s="63"/>
      <c r="AM400" s="64"/>
      <c r="AN400" s="65" t="e">
        <v>#N/A</v>
      </c>
      <c r="AO400" s="61" t="e">
        <v>#N/A</v>
      </c>
      <c r="AP400" s="61" t="e">
        <v>#N/A</v>
      </c>
      <c r="AQ400" s="61" t="e">
        <v>#N/A</v>
      </c>
      <c r="AR400" s="61" t="e">
        <v>#N/A</v>
      </c>
      <c r="AS400" s="61" t="e">
        <v>#N/A</v>
      </c>
      <c r="AT400" s="61" t="e">
        <v>#N/A</v>
      </c>
      <c r="AU400" s="61" t="e">
        <v>#N/A</v>
      </c>
      <c r="AV400" s="61" t="e">
        <v>#N/A</v>
      </c>
      <c r="AW400" s="61" t="e">
        <v>#N/A</v>
      </c>
      <c r="AX400" s="65" t="e">
        <v>#N/A</v>
      </c>
      <c r="AY400" s="66">
        <v>1.4039999999999999</v>
      </c>
      <c r="AZ400" s="61">
        <v>3.0659999999999998</v>
      </c>
      <c r="BA400" s="61">
        <v>29.151</v>
      </c>
      <c r="BB400" s="61">
        <v>33.619999999999997</v>
      </c>
      <c r="BC400" s="61">
        <v>0.111</v>
      </c>
      <c r="BD400" s="61">
        <v>1.0740000000000001</v>
      </c>
      <c r="BE400" s="61">
        <v>0.14099999999999999</v>
      </c>
      <c r="BF400" s="61" t="s">
        <v>122</v>
      </c>
      <c r="BG400" s="61">
        <v>4.9980000000000002</v>
      </c>
      <c r="BH400" s="61">
        <v>2.923</v>
      </c>
      <c r="BI400" s="61">
        <v>7.5999999999999998E-2</v>
      </c>
      <c r="BJ400" s="61">
        <v>7.9960000000000004</v>
      </c>
      <c r="BK400" s="66">
        <v>9.3219999999999992</v>
      </c>
      <c r="BL400" s="67">
        <v>26.751999999999999</v>
      </c>
      <c r="BM400" s="61">
        <v>1.1519999999999999</v>
      </c>
      <c r="BN400" s="61" t="s">
        <v>121</v>
      </c>
      <c r="BO400" s="61" t="s">
        <v>121</v>
      </c>
      <c r="BP400" s="61">
        <v>27.904</v>
      </c>
      <c r="BQ400" s="61">
        <v>242.71100000000001</v>
      </c>
      <c r="BR400" s="61">
        <v>11.018000000000001</v>
      </c>
      <c r="BS400" s="61">
        <v>0.19400000000000001</v>
      </c>
      <c r="BT400" s="61">
        <v>19.064</v>
      </c>
      <c r="BU400" s="61">
        <v>15.445</v>
      </c>
      <c r="BV400" s="61">
        <v>18.061</v>
      </c>
      <c r="BW400" s="61">
        <v>33.506999999999998</v>
      </c>
      <c r="BX400" s="67">
        <v>306.49299999999999</v>
      </c>
      <c r="BY400" s="68">
        <v>110345</v>
      </c>
      <c r="BZ400" s="68">
        <v>120622</v>
      </c>
      <c r="CA400" s="69">
        <v>10857</v>
      </c>
      <c r="CB400" s="68">
        <v>135635</v>
      </c>
      <c r="CC400" s="68">
        <v>4371</v>
      </c>
      <c r="CD400" s="68">
        <v>2291</v>
      </c>
      <c r="CE400" s="64"/>
      <c r="CF400" s="64"/>
      <c r="CG400" s="70">
        <f t="shared" si="32"/>
        <v>5696.67</v>
      </c>
      <c r="CH400" s="70">
        <f t="shared" si="33"/>
        <v>455.99400000000003</v>
      </c>
      <c r="CI400" s="70">
        <f t="shared" si="34"/>
        <v>183.58199999999999</v>
      </c>
      <c r="CJ400" s="70">
        <f t="shared" si="35"/>
        <v>4634.49</v>
      </c>
      <c r="CK400" s="70">
        <f t="shared" si="35"/>
        <v>5066.1239999999998</v>
      </c>
      <c r="CL400" s="70">
        <f t="shared" si="31"/>
        <v>96.221999999999994</v>
      </c>
      <c r="CM400" s="61"/>
      <c r="CN400" s="61"/>
      <c r="CO400" s="61"/>
      <c r="CP400" s="61"/>
      <c r="CQ400" s="61"/>
      <c r="CR400" s="61"/>
      <c r="CS400" s="61"/>
      <c r="CT400" s="61"/>
      <c r="CU400" s="61"/>
      <c r="CV400" s="61"/>
      <c r="CW400" s="61"/>
      <c r="CX400" s="61"/>
      <c r="CY400" s="61"/>
      <c r="CZ400" s="61"/>
      <c r="DA400" s="61"/>
      <c r="DB400" s="61"/>
      <c r="DC400" s="61"/>
      <c r="DD400" s="61"/>
      <c r="DE400" s="61"/>
      <c r="DF400" s="61"/>
      <c r="DG400" s="61"/>
      <c r="DH400" s="61"/>
      <c r="DI400" s="61"/>
      <c r="DJ400" s="61"/>
      <c r="DK400" s="61"/>
      <c r="DL400" s="61"/>
      <c r="DM400" s="61"/>
      <c r="DN400" s="61"/>
      <c r="DO400" s="61"/>
      <c r="DP400" s="61"/>
      <c r="DQ400" s="61"/>
      <c r="DR400" s="61"/>
      <c r="DS400" s="61"/>
      <c r="DT400" s="61"/>
      <c r="DU400" s="61"/>
      <c r="DV400" s="61"/>
      <c r="DW400" s="61"/>
      <c r="DX400" s="61"/>
      <c r="DY400" s="61"/>
      <c r="DZ400" s="61"/>
      <c r="EA400" s="61"/>
      <c r="EB400" s="61"/>
      <c r="EC400" s="61"/>
      <c r="ED400" s="61"/>
      <c r="EE400" s="61"/>
      <c r="EF400" s="61"/>
      <c r="EG400" s="61"/>
      <c r="EH400" s="61"/>
      <c r="EI400" s="61"/>
      <c r="EJ400" s="61"/>
      <c r="EK400" s="61"/>
      <c r="EL400" s="61"/>
      <c r="EM400" s="61"/>
      <c r="EN400" s="61"/>
      <c r="EO400" s="61"/>
      <c r="EP400" s="61"/>
      <c r="EQ400" s="61"/>
      <c r="ER400" s="61"/>
      <c r="ES400" s="61"/>
      <c r="ET400" s="61"/>
      <c r="EU400" s="61"/>
      <c r="EV400" s="61"/>
      <c r="EW400" s="61"/>
    </row>
    <row r="401" spans="1:153">
      <c r="A401" s="56">
        <v>38777</v>
      </c>
      <c r="B401" s="57">
        <v>2006</v>
      </c>
      <c r="C401" s="71">
        <v>1.9970000000000001</v>
      </c>
      <c r="D401" s="61">
        <v>2.7E-2</v>
      </c>
      <c r="E401" s="61">
        <v>367.53800000000001</v>
      </c>
      <c r="F401" s="61">
        <v>15.436999999999999</v>
      </c>
      <c r="G401" s="61">
        <v>1.97</v>
      </c>
      <c r="H401" s="61">
        <v>40.828000000000003</v>
      </c>
      <c r="I401" s="61">
        <v>12.005000000000001</v>
      </c>
      <c r="J401" s="61">
        <v>28.823</v>
      </c>
      <c r="K401" s="61"/>
      <c r="L401" s="61"/>
      <c r="M401" s="61">
        <v>396.36099999999999</v>
      </c>
      <c r="N401" s="61">
        <v>16.646999999999998</v>
      </c>
      <c r="O401" s="71">
        <v>2.1240000000000001</v>
      </c>
      <c r="P401" s="60">
        <v>175.5</v>
      </c>
      <c r="Q401" s="61">
        <v>56.829000000000001</v>
      </c>
      <c r="R401" s="61">
        <v>265.06900000000002</v>
      </c>
      <c r="S401" s="61">
        <v>553.13499999999999</v>
      </c>
      <c r="T401" s="61">
        <v>244.251</v>
      </c>
      <c r="U401" s="61">
        <v>15.628</v>
      </c>
      <c r="V401" s="61">
        <v>4.7919999999999998</v>
      </c>
      <c r="W401" s="61">
        <v>23.395</v>
      </c>
      <c r="X401" s="61">
        <v>175.5</v>
      </c>
      <c r="Y401" s="61">
        <v>32.74</v>
      </c>
      <c r="Z401" s="61">
        <v>55.374000000000002</v>
      </c>
      <c r="AA401" s="61">
        <v>263.61399999999998</v>
      </c>
      <c r="AB401" s="60">
        <v>551.68100000000004</v>
      </c>
      <c r="AC401" s="62"/>
      <c r="AD401" s="61"/>
      <c r="AE401" s="61"/>
      <c r="AF401" s="61"/>
      <c r="AG401" s="61"/>
      <c r="AH401" s="61"/>
      <c r="AI401" s="61"/>
      <c r="AJ401" s="61"/>
      <c r="AK401" s="62"/>
      <c r="AL401" s="63"/>
      <c r="AM401" s="64"/>
      <c r="AN401" s="65" t="e">
        <v>#N/A</v>
      </c>
      <c r="AO401" s="61" t="e">
        <v>#N/A</v>
      </c>
      <c r="AP401" s="61" t="e">
        <v>#N/A</v>
      </c>
      <c r="AQ401" s="61" t="e">
        <v>#N/A</v>
      </c>
      <c r="AR401" s="61" t="e">
        <v>#N/A</v>
      </c>
      <c r="AS401" s="61" t="e">
        <v>#N/A</v>
      </c>
      <c r="AT401" s="61" t="e">
        <v>#N/A</v>
      </c>
      <c r="AU401" s="61" t="e">
        <v>#N/A</v>
      </c>
      <c r="AV401" s="61" t="e">
        <v>#N/A</v>
      </c>
      <c r="AW401" s="61" t="e">
        <v>#N/A</v>
      </c>
      <c r="AX401" s="65" t="e">
        <v>#N/A</v>
      </c>
      <c r="AY401" s="66">
        <v>1.554</v>
      </c>
      <c r="AZ401" s="61">
        <v>4.2240000000000002</v>
      </c>
      <c r="BA401" s="61">
        <v>32.274000000000001</v>
      </c>
      <c r="BB401" s="61">
        <v>38.052999999999997</v>
      </c>
      <c r="BC401" s="61">
        <v>0.12</v>
      </c>
      <c r="BD401" s="61">
        <v>1.1890000000000001</v>
      </c>
      <c r="BE401" s="61">
        <v>0.19400000000000001</v>
      </c>
      <c r="BF401" s="61" t="s">
        <v>122</v>
      </c>
      <c r="BG401" s="61">
        <v>5.5309999999999997</v>
      </c>
      <c r="BH401" s="61">
        <v>2.6819999999999999</v>
      </c>
      <c r="BI401" s="61">
        <v>8.5000000000000006E-2</v>
      </c>
      <c r="BJ401" s="61">
        <v>8.298</v>
      </c>
      <c r="BK401" s="66">
        <v>9.8010000000000002</v>
      </c>
      <c r="BL401" s="67">
        <v>30.018000000000001</v>
      </c>
      <c r="BM401" s="61">
        <v>2.1240000000000001</v>
      </c>
      <c r="BN401" s="61" t="s">
        <v>121</v>
      </c>
      <c r="BO401" s="61" t="s">
        <v>121</v>
      </c>
      <c r="BP401" s="61">
        <v>32.142000000000003</v>
      </c>
      <c r="BQ401" s="61">
        <v>242.04400000000001</v>
      </c>
      <c r="BR401" s="61">
        <v>12.510999999999999</v>
      </c>
      <c r="BS401" s="61">
        <v>0.33100000000000002</v>
      </c>
      <c r="BT401" s="61">
        <v>23.395</v>
      </c>
      <c r="BU401" s="61">
        <v>16.013000000000002</v>
      </c>
      <c r="BV401" s="61">
        <v>19.190000000000001</v>
      </c>
      <c r="BW401" s="61">
        <v>35.203000000000003</v>
      </c>
      <c r="BX401" s="67">
        <v>313.48399999999998</v>
      </c>
      <c r="BY401" s="68">
        <v>115813</v>
      </c>
      <c r="BZ401" s="68">
        <v>136232</v>
      </c>
      <c r="CA401" s="69">
        <v>9043</v>
      </c>
      <c r="CB401" s="68">
        <v>120544</v>
      </c>
      <c r="CC401" s="68">
        <v>3715</v>
      </c>
      <c r="CD401" s="68">
        <v>3142</v>
      </c>
      <c r="CE401" s="64"/>
      <c r="CF401" s="64"/>
      <c r="CG401" s="70">
        <f t="shared" si="32"/>
        <v>5062.848</v>
      </c>
      <c r="CH401" s="70">
        <f t="shared" si="33"/>
        <v>379.80599999999998</v>
      </c>
      <c r="CI401" s="70">
        <f t="shared" si="34"/>
        <v>156.03</v>
      </c>
      <c r="CJ401" s="70">
        <f t="shared" si="35"/>
        <v>4864.1459999999997</v>
      </c>
      <c r="CK401" s="70">
        <f t="shared" si="35"/>
        <v>5721.7439999999997</v>
      </c>
      <c r="CL401" s="70">
        <f t="shared" si="31"/>
        <v>131.964</v>
      </c>
      <c r="CM401" s="61"/>
      <c r="CN401" s="61"/>
      <c r="CO401" s="61"/>
      <c r="CP401" s="61"/>
      <c r="CQ401" s="61"/>
      <c r="CR401" s="61"/>
      <c r="CS401" s="61"/>
      <c r="CT401" s="61"/>
      <c r="CU401" s="61"/>
      <c r="CV401" s="61"/>
      <c r="CW401" s="61"/>
      <c r="CX401" s="61"/>
      <c r="CY401" s="61"/>
      <c r="CZ401" s="61"/>
      <c r="DA401" s="61"/>
      <c r="DB401" s="61"/>
      <c r="DC401" s="61"/>
      <c r="DD401" s="61"/>
      <c r="DE401" s="61"/>
      <c r="DF401" s="61"/>
      <c r="DG401" s="61"/>
      <c r="DH401" s="61"/>
      <c r="DI401" s="61"/>
      <c r="DJ401" s="61"/>
      <c r="DK401" s="61"/>
      <c r="DL401" s="61"/>
      <c r="DM401" s="61"/>
      <c r="DN401" s="61"/>
      <c r="DO401" s="61"/>
      <c r="DP401" s="61"/>
      <c r="DQ401" s="61"/>
      <c r="DR401" s="61"/>
      <c r="DS401" s="61"/>
      <c r="DT401" s="61"/>
      <c r="DU401" s="61"/>
      <c r="DV401" s="61"/>
      <c r="DW401" s="61"/>
      <c r="DX401" s="61"/>
      <c r="DY401" s="61"/>
      <c r="DZ401" s="61"/>
      <c r="EA401" s="61"/>
      <c r="EB401" s="61"/>
      <c r="EC401" s="61"/>
      <c r="ED401" s="61"/>
      <c r="EE401" s="61"/>
      <c r="EF401" s="61"/>
      <c r="EG401" s="61"/>
      <c r="EH401" s="61"/>
      <c r="EI401" s="61"/>
      <c r="EJ401" s="61"/>
      <c r="EK401" s="61"/>
      <c r="EL401" s="61"/>
      <c r="EM401" s="61"/>
      <c r="EN401" s="61"/>
      <c r="EO401" s="61"/>
      <c r="EP401" s="61"/>
      <c r="EQ401" s="61"/>
      <c r="ER401" s="61"/>
      <c r="ES401" s="61"/>
      <c r="ET401" s="61"/>
      <c r="EU401" s="61"/>
      <c r="EV401" s="61"/>
      <c r="EW401" s="61"/>
    </row>
    <row r="402" spans="1:153">
      <c r="A402" s="56">
        <v>38808</v>
      </c>
      <c r="B402" s="57">
        <v>2006</v>
      </c>
      <c r="C402" s="71">
        <v>2.0939999999999999</v>
      </c>
      <c r="D402" s="61">
        <v>2.9000000000000001E-2</v>
      </c>
      <c r="E402" s="61">
        <v>385.37</v>
      </c>
      <c r="F402" s="61">
        <v>16.186</v>
      </c>
      <c r="G402" s="61">
        <v>2.0649999999999999</v>
      </c>
      <c r="H402" s="61">
        <v>17.393000000000001</v>
      </c>
      <c r="I402" s="61">
        <v>16.59</v>
      </c>
      <c r="J402" s="61">
        <v>0.80300000000000005</v>
      </c>
      <c r="K402" s="61"/>
      <c r="L402" s="61"/>
      <c r="M402" s="61">
        <v>386.173</v>
      </c>
      <c r="N402" s="61">
        <v>16.219000000000001</v>
      </c>
      <c r="O402" s="71">
        <v>2.0699999999999998</v>
      </c>
      <c r="P402" s="60">
        <v>166.53700000000001</v>
      </c>
      <c r="Q402" s="61">
        <v>52.99</v>
      </c>
      <c r="R402" s="61">
        <v>250.38399999999999</v>
      </c>
      <c r="S402" s="61">
        <v>577.79399999999998</v>
      </c>
      <c r="T402" s="61">
        <v>283.24400000000003</v>
      </c>
      <c r="U402" s="61">
        <v>14.215999999999999</v>
      </c>
      <c r="V402" s="61">
        <v>5.4329999999999998</v>
      </c>
      <c r="W402" s="61">
        <v>24.516999999999999</v>
      </c>
      <c r="X402" s="61">
        <v>166.53700000000001</v>
      </c>
      <c r="Y402" s="61">
        <v>30.858000000000001</v>
      </c>
      <c r="Z402" s="61">
        <v>54.87</v>
      </c>
      <c r="AA402" s="61">
        <v>252.26499999999999</v>
      </c>
      <c r="AB402" s="60">
        <v>579.67499999999995</v>
      </c>
      <c r="AC402" s="62"/>
      <c r="AD402" s="61"/>
      <c r="AE402" s="61"/>
      <c r="AF402" s="61"/>
      <c r="AG402" s="61"/>
      <c r="AH402" s="61"/>
      <c r="AI402" s="61"/>
      <c r="AJ402" s="61"/>
      <c r="AK402" s="62"/>
      <c r="AL402" s="63"/>
      <c r="AM402" s="64"/>
      <c r="AN402" s="65" t="e">
        <v>#N/A</v>
      </c>
      <c r="AO402" s="61" t="e">
        <v>#N/A</v>
      </c>
      <c r="AP402" s="61" t="e">
        <v>#N/A</v>
      </c>
      <c r="AQ402" s="61" t="e">
        <v>#N/A</v>
      </c>
      <c r="AR402" s="61" t="e">
        <v>#N/A</v>
      </c>
      <c r="AS402" s="61" t="e">
        <v>#N/A</v>
      </c>
      <c r="AT402" s="61" t="e">
        <v>#N/A</v>
      </c>
      <c r="AU402" s="61" t="e">
        <v>#N/A</v>
      </c>
      <c r="AV402" s="61" t="e">
        <v>#N/A</v>
      </c>
      <c r="AW402" s="61" t="e">
        <v>#N/A</v>
      </c>
      <c r="AX402" s="65" t="e">
        <v>#N/A</v>
      </c>
      <c r="AY402" s="66">
        <v>1.504</v>
      </c>
      <c r="AZ402" s="61">
        <v>4.6559999999999997</v>
      </c>
      <c r="BA402" s="61">
        <v>31.233000000000001</v>
      </c>
      <c r="BB402" s="61">
        <v>37.393000000000001</v>
      </c>
      <c r="BC402" s="61">
        <v>9.1999999999999998E-2</v>
      </c>
      <c r="BD402" s="61">
        <v>1.151</v>
      </c>
      <c r="BE402" s="61">
        <v>0.21299999999999999</v>
      </c>
      <c r="BF402" s="61" t="s">
        <v>122</v>
      </c>
      <c r="BG402" s="61">
        <v>5.3460000000000001</v>
      </c>
      <c r="BH402" s="61">
        <v>2.9359999999999999</v>
      </c>
      <c r="BI402" s="61">
        <v>8.7999999999999995E-2</v>
      </c>
      <c r="BJ402" s="61">
        <v>8.3699999999999992</v>
      </c>
      <c r="BK402" s="66">
        <v>9.8260000000000005</v>
      </c>
      <c r="BL402" s="67">
        <v>31.151</v>
      </c>
      <c r="BM402" s="61">
        <v>2.0699999999999998</v>
      </c>
      <c r="BN402" s="61" t="s">
        <v>121</v>
      </c>
      <c r="BO402" s="61" t="s">
        <v>121</v>
      </c>
      <c r="BP402" s="61">
        <v>33.220999999999997</v>
      </c>
      <c r="BQ402" s="61">
        <v>281.31299999999999</v>
      </c>
      <c r="BR402" s="61">
        <v>11.199</v>
      </c>
      <c r="BS402" s="61">
        <v>0.51700000000000002</v>
      </c>
      <c r="BT402" s="61">
        <v>24.516999999999999</v>
      </c>
      <c r="BU402" s="61">
        <v>12.061999999999999</v>
      </c>
      <c r="BV402" s="61">
        <v>17.452999999999999</v>
      </c>
      <c r="BW402" s="61">
        <v>29.513999999999999</v>
      </c>
      <c r="BX402" s="67">
        <v>347.06</v>
      </c>
      <c r="BY402" s="68">
        <v>114980</v>
      </c>
      <c r="BZ402" s="68">
        <v>121950</v>
      </c>
      <c r="CA402" s="69">
        <v>8918</v>
      </c>
      <c r="CB402" s="68">
        <v>116491</v>
      </c>
      <c r="CC402" s="68">
        <v>6001</v>
      </c>
      <c r="CD402" s="68">
        <v>6284</v>
      </c>
      <c r="CE402" s="64"/>
      <c r="CF402" s="64"/>
      <c r="CG402" s="70">
        <f t="shared" si="32"/>
        <v>4892.6220000000003</v>
      </c>
      <c r="CH402" s="70">
        <f t="shared" si="33"/>
        <v>374.55599999999998</v>
      </c>
      <c r="CI402" s="70">
        <f t="shared" si="34"/>
        <v>252.042</v>
      </c>
      <c r="CJ402" s="70">
        <f t="shared" si="35"/>
        <v>4829.16</v>
      </c>
      <c r="CK402" s="70">
        <f t="shared" si="35"/>
        <v>5121.8999999999996</v>
      </c>
      <c r="CL402" s="70">
        <f t="shared" si="31"/>
        <v>263.928</v>
      </c>
      <c r="CM402" s="61"/>
      <c r="CN402" s="61"/>
      <c r="CO402" s="61"/>
      <c r="CP402" s="61"/>
      <c r="CQ402" s="61"/>
      <c r="CR402" s="61"/>
      <c r="CS402" s="61"/>
      <c r="CT402" s="61"/>
      <c r="CU402" s="61"/>
      <c r="CV402" s="61"/>
      <c r="CW402" s="61"/>
      <c r="CX402" s="61"/>
      <c r="CY402" s="61"/>
      <c r="CZ402" s="61"/>
      <c r="DA402" s="61"/>
      <c r="DB402" s="61"/>
      <c r="DC402" s="61"/>
      <c r="DD402" s="61"/>
      <c r="DE402" s="61"/>
      <c r="DF402" s="61"/>
      <c r="DG402" s="61"/>
      <c r="DH402" s="61"/>
      <c r="DI402" s="61"/>
      <c r="DJ402" s="61"/>
      <c r="DK402" s="61"/>
      <c r="DL402" s="61"/>
      <c r="DM402" s="61"/>
      <c r="DN402" s="61"/>
      <c r="DO402" s="61"/>
      <c r="DP402" s="61"/>
      <c r="DQ402" s="61"/>
      <c r="DR402" s="61"/>
      <c r="DS402" s="61"/>
      <c r="DT402" s="61"/>
      <c r="DU402" s="61"/>
      <c r="DV402" s="61"/>
      <c r="DW402" s="61"/>
      <c r="DX402" s="61"/>
      <c r="DY402" s="61"/>
      <c r="DZ402" s="61"/>
      <c r="EA402" s="61"/>
      <c r="EB402" s="61"/>
      <c r="EC402" s="61"/>
      <c r="ED402" s="61"/>
      <c r="EE402" s="61"/>
      <c r="EF402" s="61"/>
      <c r="EG402" s="61"/>
      <c r="EH402" s="61"/>
      <c r="EI402" s="61"/>
      <c r="EJ402" s="61"/>
      <c r="EK402" s="61"/>
      <c r="EL402" s="61"/>
      <c r="EM402" s="61"/>
      <c r="EN402" s="61"/>
      <c r="EO402" s="61"/>
      <c r="EP402" s="61"/>
      <c r="EQ402" s="61"/>
      <c r="ER402" s="61"/>
      <c r="ES402" s="61"/>
      <c r="ET402" s="61"/>
      <c r="EU402" s="61"/>
      <c r="EV402" s="61"/>
      <c r="EW402" s="61"/>
    </row>
    <row r="403" spans="1:153">
      <c r="A403" s="56">
        <v>38838</v>
      </c>
      <c r="B403" s="57">
        <v>2006</v>
      </c>
      <c r="C403" s="71">
        <v>2.8849999999999998</v>
      </c>
      <c r="D403" s="61">
        <v>3.9E-2</v>
      </c>
      <c r="E403" s="61">
        <v>530.99900000000002</v>
      </c>
      <c r="F403" s="61">
        <v>22.302</v>
      </c>
      <c r="G403" s="61">
        <v>2.8460000000000001</v>
      </c>
      <c r="H403" s="61">
        <v>77.760000000000005</v>
      </c>
      <c r="I403" s="61">
        <v>55.567999999999998</v>
      </c>
      <c r="J403" s="61">
        <v>22.193000000000001</v>
      </c>
      <c r="K403" s="61"/>
      <c r="L403" s="61"/>
      <c r="M403" s="61">
        <v>553.19200000000001</v>
      </c>
      <c r="N403" s="61">
        <v>23.234000000000002</v>
      </c>
      <c r="O403" s="71">
        <v>2.9649999999999999</v>
      </c>
      <c r="P403" s="60">
        <v>171.13200000000001</v>
      </c>
      <c r="Q403" s="61">
        <v>56.265999999999998</v>
      </c>
      <c r="R403" s="61">
        <v>261.125</v>
      </c>
      <c r="S403" s="61">
        <v>611.31500000000005</v>
      </c>
      <c r="T403" s="61">
        <v>305.68799999999999</v>
      </c>
      <c r="U403" s="61">
        <v>13.984</v>
      </c>
      <c r="V403" s="61">
        <v>6.1289999999999996</v>
      </c>
      <c r="W403" s="61">
        <v>24.388000000000002</v>
      </c>
      <c r="X403" s="61">
        <v>171.13200000000001</v>
      </c>
      <c r="Y403" s="61">
        <v>33.726999999999997</v>
      </c>
      <c r="Z403" s="61">
        <v>62.991999999999997</v>
      </c>
      <c r="AA403" s="61">
        <v>267.851</v>
      </c>
      <c r="AB403" s="60">
        <v>618.04</v>
      </c>
      <c r="AC403" s="62"/>
      <c r="AD403" s="61"/>
      <c r="AE403" s="61"/>
      <c r="AF403" s="61"/>
      <c r="AG403" s="61"/>
      <c r="AH403" s="61"/>
      <c r="AI403" s="61"/>
      <c r="AJ403" s="61"/>
      <c r="AK403" s="62"/>
      <c r="AL403" s="63"/>
      <c r="AM403" s="64"/>
      <c r="AN403" s="65" t="e">
        <v>#N/A</v>
      </c>
      <c r="AO403" s="61" t="e">
        <v>#N/A</v>
      </c>
      <c r="AP403" s="61" t="e">
        <v>#N/A</v>
      </c>
      <c r="AQ403" s="61" t="e">
        <v>#N/A</v>
      </c>
      <c r="AR403" s="61" t="e">
        <v>#N/A</v>
      </c>
      <c r="AS403" s="61" t="e">
        <v>#N/A</v>
      </c>
      <c r="AT403" s="61" t="e">
        <v>#N/A</v>
      </c>
      <c r="AU403" s="61" t="e">
        <v>#N/A</v>
      </c>
      <c r="AV403" s="61" t="e">
        <v>#N/A</v>
      </c>
      <c r="AW403" s="61" t="e">
        <v>#N/A</v>
      </c>
      <c r="AX403" s="65" t="e">
        <v>#N/A</v>
      </c>
      <c r="AY403" s="66">
        <v>1.554</v>
      </c>
      <c r="AZ403" s="61">
        <v>5.14</v>
      </c>
      <c r="BA403" s="61">
        <v>32.274000000000001</v>
      </c>
      <c r="BB403" s="61">
        <v>38.968000000000004</v>
      </c>
      <c r="BC403" s="61">
        <v>9.0999999999999998E-2</v>
      </c>
      <c r="BD403" s="61">
        <v>1.1890000000000001</v>
      </c>
      <c r="BE403" s="61">
        <v>0.23599999999999999</v>
      </c>
      <c r="BF403" s="61" t="s">
        <v>122</v>
      </c>
      <c r="BG403" s="61">
        <v>5.5209999999999999</v>
      </c>
      <c r="BH403" s="61">
        <v>3.4</v>
      </c>
      <c r="BI403" s="61">
        <v>0.105</v>
      </c>
      <c r="BJ403" s="61">
        <v>9.0259999999999998</v>
      </c>
      <c r="BK403" s="66">
        <v>10.542</v>
      </c>
      <c r="BL403" s="67">
        <v>37.200000000000003</v>
      </c>
      <c r="BM403" s="61">
        <v>2.9649999999999999</v>
      </c>
      <c r="BN403" s="61" t="s">
        <v>121</v>
      </c>
      <c r="BO403" s="61" t="s">
        <v>121</v>
      </c>
      <c r="BP403" s="61">
        <v>40.164000000000001</v>
      </c>
      <c r="BQ403" s="61">
        <v>303.79599999999999</v>
      </c>
      <c r="BR403" s="61">
        <v>10.867000000000001</v>
      </c>
      <c r="BS403" s="61">
        <v>0.70199999999999996</v>
      </c>
      <c r="BT403" s="61">
        <v>24.388000000000002</v>
      </c>
      <c r="BU403" s="61">
        <v>13.36</v>
      </c>
      <c r="BV403" s="61">
        <v>19.225999999999999</v>
      </c>
      <c r="BW403" s="61">
        <v>32.587000000000003</v>
      </c>
      <c r="BX403" s="67">
        <v>372.339</v>
      </c>
      <c r="BY403" s="68">
        <v>127248</v>
      </c>
      <c r="BZ403" s="68">
        <v>126241</v>
      </c>
      <c r="CA403" s="69">
        <v>13544</v>
      </c>
      <c r="CB403" s="68">
        <v>123952</v>
      </c>
      <c r="CC403" s="68">
        <v>7090</v>
      </c>
      <c r="CD403" s="68">
        <v>24684</v>
      </c>
      <c r="CE403" s="64"/>
      <c r="CF403" s="64"/>
      <c r="CG403" s="70">
        <f t="shared" si="32"/>
        <v>5205.9840000000004</v>
      </c>
      <c r="CH403" s="70">
        <f t="shared" si="33"/>
        <v>568.84799999999996</v>
      </c>
      <c r="CI403" s="70">
        <f t="shared" si="34"/>
        <v>297.77999999999997</v>
      </c>
      <c r="CJ403" s="70">
        <f t="shared" si="35"/>
        <v>5344.4160000000002</v>
      </c>
      <c r="CK403" s="70">
        <f t="shared" si="35"/>
        <v>5302.1220000000003</v>
      </c>
      <c r="CL403" s="70">
        <f t="shared" si="31"/>
        <v>1036.7280000000001</v>
      </c>
      <c r="CM403" s="61"/>
      <c r="CN403" s="61"/>
      <c r="CO403" s="61"/>
      <c r="CP403" s="61"/>
      <c r="CQ403" s="61"/>
      <c r="CR403" s="61"/>
      <c r="CS403" s="61"/>
      <c r="CT403" s="61"/>
      <c r="CU403" s="61"/>
      <c r="CV403" s="61"/>
      <c r="CW403" s="61"/>
      <c r="CX403" s="61"/>
      <c r="CY403" s="61"/>
      <c r="CZ403" s="61"/>
      <c r="DA403" s="61"/>
      <c r="DB403" s="61"/>
      <c r="DC403" s="61"/>
      <c r="DD403" s="61"/>
      <c r="DE403" s="61"/>
      <c r="DF403" s="61"/>
      <c r="DG403" s="61"/>
      <c r="DH403" s="61"/>
      <c r="DI403" s="61"/>
      <c r="DJ403" s="61"/>
      <c r="DK403" s="61"/>
      <c r="DL403" s="61"/>
      <c r="DM403" s="61"/>
      <c r="DN403" s="61"/>
      <c r="DO403" s="61"/>
      <c r="DP403" s="61"/>
      <c r="DQ403" s="61"/>
      <c r="DR403" s="61"/>
      <c r="DS403" s="61"/>
      <c r="DT403" s="61"/>
      <c r="DU403" s="61"/>
      <c r="DV403" s="61"/>
      <c r="DW403" s="61"/>
      <c r="DX403" s="61"/>
      <c r="DY403" s="61"/>
      <c r="DZ403" s="61"/>
      <c r="EA403" s="61"/>
      <c r="EB403" s="61"/>
      <c r="EC403" s="61"/>
      <c r="ED403" s="61"/>
      <c r="EE403" s="61"/>
      <c r="EF403" s="61"/>
      <c r="EG403" s="61"/>
      <c r="EH403" s="61"/>
      <c r="EI403" s="61"/>
      <c r="EJ403" s="61"/>
      <c r="EK403" s="61"/>
      <c r="EL403" s="61"/>
      <c r="EM403" s="61"/>
      <c r="EN403" s="61"/>
      <c r="EO403" s="61"/>
      <c r="EP403" s="61"/>
      <c r="EQ403" s="61"/>
      <c r="ER403" s="61"/>
      <c r="ES403" s="61"/>
      <c r="ET403" s="61"/>
      <c r="EU403" s="61"/>
      <c r="EV403" s="61"/>
      <c r="EW403" s="61"/>
    </row>
    <row r="404" spans="1:153">
      <c r="A404" s="56">
        <v>38869</v>
      </c>
      <c r="B404" s="57">
        <v>2006</v>
      </c>
      <c r="C404" s="71">
        <v>3.3239999999999998</v>
      </c>
      <c r="D404" s="61">
        <v>4.4999999999999998E-2</v>
      </c>
      <c r="E404" s="61">
        <v>611.90300000000002</v>
      </c>
      <c r="F404" s="61">
        <v>25.7</v>
      </c>
      <c r="G404" s="61">
        <v>3.2789999999999999</v>
      </c>
      <c r="H404" s="61">
        <v>151.697</v>
      </c>
      <c r="I404" s="61">
        <v>55.234999999999999</v>
      </c>
      <c r="J404" s="61">
        <v>96.462999999999994</v>
      </c>
      <c r="K404" s="61"/>
      <c r="L404" s="61"/>
      <c r="M404" s="61">
        <v>708.36599999999999</v>
      </c>
      <c r="N404" s="61">
        <v>29.751000000000001</v>
      </c>
      <c r="O404" s="71">
        <v>3.7959999999999998</v>
      </c>
      <c r="P404" s="60">
        <v>170.346</v>
      </c>
      <c r="Q404" s="61">
        <v>59.32</v>
      </c>
      <c r="R404" s="61">
        <v>261.95999999999998</v>
      </c>
      <c r="S404" s="61">
        <v>598.553</v>
      </c>
      <c r="T404" s="61">
        <v>295.16300000000001</v>
      </c>
      <c r="U404" s="61">
        <v>14.911</v>
      </c>
      <c r="V404" s="61">
        <v>6.1680000000000001</v>
      </c>
      <c r="W404" s="61">
        <v>20.350999999999999</v>
      </c>
      <c r="X404" s="61">
        <v>170.346</v>
      </c>
      <c r="Y404" s="61">
        <v>32.295000000000002</v>
      </c>
      <c r="Z404" s="61">
        <v>69</v>
      </c>
      <c r="AA404" s="61">
        <v>271.64</v>
      </c>
      <c r="AB404" s="60">
        <v>608.23299999999995</v>
      </c>
      <c r="AC404" s="62"/>
      <c r="AD404" s="61"/>
      <c r="AE404" s="61"/>
      <c r="AF404" s="61"/>
      <c r="AG404" s="61"/>
      <c r="AH404" s="61"/>
      <c r="AI404" s="61"/>
      <c r="AJ404" s="61"/>
      <c r="AK404" s="62"/>
      <c r="AL404" s="63"/>
      <c r="AM404" s="64"/>
      <c r="AN404" s="65" t="e">
        <v>#N/A</v>
      </c>
      <c r="AO404" s="61" t="e">
        <v>#N/A</v>
      </c>
      <c r="AP404" s="61" t="e">
        <v>#N/A</v>
      </c>
      <c r="AQ404" s="61" t="e">
        <v>#N/A</v>
      </c>
      <c r="AR404" s="61" t="e">
        <v>#N/A</v>
      </c>
      <c r="AS404" s="61" t="e">
        <v>#N/A</v>
      </c>
      <c r="AT404" s="61" t="e">
        <v>#N/A</v>
      </c>
      <c r="AU404" s="61" t="e">
        <v>#N/A</v>
      </c>
      <c r="AV404" s="61" t="e">
        <v>#N/A</v>
      </c>
      <c r="AW404" s="61" t="e">
        <v>#N/A</v>
      </c>
      <c r="AX404" s="65" t="e">
        <v>#N/A</v>
      </c>
      <c r="AY404" s="66">
        <v>1.504</v>
      </c>
      <c r="AZ404" s="61">
        <v>5.1859999999999999</v>
      </c>
      <c r="BA404" s="61">
        <v>31.233000000000001</v>
      </c>
      <c r="BB404" s="61">
        <v>37.923000000000002</v>
      </c>
      <c r="BC404" s="61">
        <v>9.5000000000000001E-2</v>
      </c>
      <c r="BD404" s="61">
        <v>1.151</v>
      </c>
      <c r="BE404" s="61">
        <v>0.23799999999999999</v>
      </c>
      <c r="BF404" s="61" t="s">
        <v>122</v>
      </c>
      <c r="BG404" s="61">
        <v>5.3449999999999998</v>
      </c>
      <c r="BH404" s="61">
        <v>3.05</v>
      </c>
      <c r="BI404" s="61">
        <v>0.11700000000000001</v>
      </c>
      <c r="BJ404" s="61">
        <v>8.5120000000000005</v>
      </c>
      <c r="BK404" s="66">
        <v>9.9949999999999992</v>
      </c>
      <c r="BL404" s="67">
        <v>41.2</v>
      </c>
      <c r="BM404" s="61">
        <v>3.7959999999999998</v>
      </c>
      <c r="BN404" s="61" t="s">
        <v>121</v>
      </c>
      <c r="BO404" s="61" t="s">
        <v>121</v>
      </c>
      <c r="BP404" s="61">
        <v>44.996000000000002</v>
      </c>
      <c r="BQ404" s="61">
        <v>293.31599999999997</v>
      </c>
      <c r="BR404" s="61">
        <v>11.895</v>
      </c>
      <c r="BS404" s="61">
        <v>0.69099999999999995</v>
      </c>
      <c r="BT404" s="61">
        <v>20.350999999999999</v>
      </c>
      <c r="BU404" s="61">
        <v>14.836</v>
      </c>
      <c r="BV404" s="61">
        <v>18.963000000000001</v>
      </c>
      <c r="BW404" s="61">
        <v>33.798999999999999</v>
      </c>
      <c r="BX404" s="67">
        <v>360.053</v>
      </c>
      <c r="BY404" s="68">
        <v>123223</v>
      </c>
      <c r="BZ404" s="68">
        <v>120578</v>
      </c>
      <c r="CA404" s="69">
        <v>8914</v>
      </c>
      <c r="CB404" s="68">
        <v>129912</v>
      </c>
      <c r="CC404" s="68">
        <v>5599</v>
      </c>
      <c r="CD404" s="68">
        <v>59356</v>
      </c>
      <c r="CE404" s="64"/>
      <c r="CF404" s="64"/>
      <c r="CG404" s="70">
        <f t="shared" si="32"/>
        <v>5456.3040000000001</v>
      </c>
      <c r="CH404" s="70">
        <f t="shared" si="33"/>
        <v>374.38799999999998</v>
      </c>
      <c r="CI404" s="70">
        <f t="shared" si="34"/>
        <v>235.15799999999999</v>
      </c>
      <c r="CJ404" s="70">
        <f t="shared" si="35"/>
        <v>5175.366</v>
      </c>
      <c r="CK404" s="70">
        <f t="shared" si="35"/>
        <v>5064.2759999999998</v>
      </c>
      <c r="CL404" s="70">
        <f t="shared" si="31"/>
        <v>2492.9520000000002</v>
      </c>
      <c r="CM404" s="61"/>
      <c r="CN404" s="61"/>
      <c r="CO404" s="61"/>
      <c r="CP404" s="61"/>
      <c r="CQ404" s="61"/>
      <c r="CR404" s="61"/>
      <c r="CS404" s="61"/>
      <c r="CT404" s="61"/>
      <c r="CU404" s="61"/>
      <c r="CV404" s="61"/>
      <c r="CW404" s="61"/>
      <c r="CX404" s="61"/>
      <c r="CY404" s="61"/>
      <c r="CZ404" s="61"/>
      <c r="DA404" s="61"/>
      <c r="DB404" s="61"/>
      <c r="DC404" s="61"/>
      <c r="DD404" s="61"/>
      <c r="DE404" s="61"/>
      <c r="DF404" s="61"/>
      <c r="DG404" s="61"/>
      <c r="DH404" s="61"/>
      <c r="DI404" s="61"/>
      <c r="DJ404" s="61"/>
      <c r="DK404" s="61"/>
      <c r="DL404" s="61"/>
      <c r="DM404" s="61"/>
      <c r="DN404" s="61"/>
      <c r="DO404" s="61"/>
      <c r="DP404" s="61"/>
      <c r="DQ404" s="61"/>
      <c r="DR404" s="61"/>
      <c r="DS404" s="61"/>
      <c r="DT404" s="61"/>
      <c r="DU404" s="61"/>
      <c r="DV404" s="61"/>
      <c r="DW404" s="61"/>
      <c r="DX404" s="61"/>
      <c r="DY404" s="61"/>
      <c r="DZ404" s="61"/>
      <c r="EA404" s="61"/>
      <c r="EB404" s="61"/>
      <c r="EC404" s="61"/>
      <c r="ED404" s="61"/>
      <c r="EE404" s="61"/>
      <c r="EF404" s="61"/>
      <c r="EG404" s="61"/>
      <c r="EH404" s="61"/>
      <c r="EI404" s="61"/>
      <c r="EJ404" s="61"/>
      <c r="EK404" s="61"/>
      <c r="EL404" s="61"/>
      <c r="EM404" s="61"/>
      <c r="EN404" s="61"/>
      <c r="EO404" s="61"/>
      <c r="EP404" s="61"/>
      <c r="EQ404" s="61"/>
      <c r="ER404" s="61"/>
      <c r="ES404" s="61"/>
      <c r="ET404" s="61"/>
      <c r="EU404" s="61"/>
      <c r="EV404" s="61"/>
      <c r="EW404" s="61"/>
    </row>
    <row r="405" spans="1:153">
      <c r="A405" s="56">
        <v>38899</v>
      </c>
      <c r="B405" s="57">
        <v>2006</v>
      </c>
      <c r="C405" s="71">
        <v>2.9329999999999998</v>
      </c>
      <c r="D405" s="61">
        <v>0.04</v>
      </c>
      <c r="E405" s="61">
        <v>539.91499999999996</v>
      </c>
      <c r="F405" s="61">
        <v>22.675999999999998</v>
      </c>
      <c r="G405" s="61">
        <v>2.8929999999999998</v>
      </c>
      <c r="H405" s="61">
        <v>76.846999999999994</v>
      </c>
      <c r="I405" s="61">
        <v>109.777</v>
      </c>
      <c r="J405" s="61">
        <v>-32.929000000000002</v>
      </c>
      <c r="K405" s="61"/>
      <c r="L405" s="61"/>
      <c r="M405" s="61">
        <v>506.98599999999999</v>
      </c>
      <c r="N405" s="61">
        <v>21.292999999999999</v>
      </c>
      <c r="O405" s="71">
        <v>2.7170000000000001</v>
      </c>
      <c r="P405" s="60">
        <v>180.23500000000001</v>
      </c>
      <c r="Q405" s="61">
        <v>60.456000000000003</v>
      </c>
      <c r="R405" s="61">
        <v>274.80900000000003</v>
      </c>
      <c r="S405" s="61">
        <v>568.524</v>
      </c>
      <c r="T405" s="61">
        <v>252.333</v>
      </c>
      <c r="U405" s="61">
        <v>15.628</v>
      </c>
      <c r="V405" s="61">
        <v>6.3609999999999998</v>
      </c>
      <c r="W405" s="61">
        <v>19.391999999999999</v>
      </c>
      <c r="X405" s="61">
        <v>180.23500000000001</v>
      </c>
      <c r="Y405" s="61">
        <v>34.118000000000002</v>
      </c>
      <c r="Z405" s="61">
        <v>65.849999999999994</v>
      </c>
      <c r="AA405" s="61">
        <v>280.20299999999997</v>
      </c>
      <c r="AB405" s="60">
        <v>573.91700000000003</v>
      </c>
      <c r="AC405" s="62"/>
      <c r="AD405" s="61"/>
      <c r="AE405" s="61"/>
      <c r="AF405" s="61"/>
      <c r="AG405" s="61"/>
      <c r="AH405" s="61"/>
      <c r="AI405" s="61"/>
      <c r="AJ405" s="61"/>
      <c r="AK405" s="62"/>
      <c r="AL405" s="63"/>
      <c r="AM405" s="64"/>
      <c r="AN405" s="65" t="e">
        <v>#N/A</v>
      </c>
      <c r="AO405" s="61" t="e">
        <v>#N/A</v>
      </c>
      <c r="AP405" s="61" t="e">
        <v>#N/A</v>
      </c>
      <c r="AQ405" s="61" t="e">
        <v>#N/A</v>
      </c>
      <c r="AR405" s="61" t="e">
        <v>#N/A</v>
      </c>
      <c r="AS405" s="61" t="e">
        <v>#N/A</v>
      </c>
      <c r="AT405" s="61" t="e">
        <v>#N/A</v>
      </c>
      <c r="AU405" s="61" t="e">
        <v>#N/A</v>
      </c>
      <c r="AV405" s="61" t="e">
        <v>#N/A</v>
      </c>
      <c r="AW405" s="61" t="e">
        <v>#N/A</v>
      </c>
      <c r="AX405" s="65" t="e">
        <v>#N/A</v>
      </c>
      <c r="AY405" s="66">
        <v>1.554</v>
      </c>
      <c r="AZ405" s="61">
        <v>5.444</v>
      </c>
      <c r="BA405" s="61">
        <v>32.274000000000001</v>
      </c>
      <c r="BB405" s="61">
        <v>39.271999999999998</v>
      </c>
      <c r="BC405" s="61">
        <v>3.3000000000000002E-2</v>
      </c>
      <c r="BD405" s="61">
        <v>1.1890000000000001</v>
      </c>
      <c r="BE405" s="61">
        <v>0.25</v>
      </c>
      <c r="BF405" s="61" t="s">
        <v>122</v>
      </c>
      <c r="BG405" s="61">
        <v>5.5270000000000001</v>
      </c>
      <c r="BH405" s="61">
        <v>3.0409999999999999</v>
      </c>
      <c r="BI405" s="61">
        <v>0.109</v>
      </c>
      <c r="BJ405" s="61">
        <v>8.6769999999999996</v>
      </c>
      <c r="BK405" s="66">
        <v>10.148999999999999</v>
      </c>
      <c r="BL405" s="67">
        <v>38.573999999999998</v>
      </c>
      <c r="BM405" s="61">
        <v>2.7170000000000001</v>
      </c>
      <c r="BN405" s="61" t="s">
        <v>121</v>
      </c>
      <c r="BO405" s="61" t="s">
        <v>121</v>
      </c>
      <c r="BP405" s="61">
        <v>41.290999999999997</v>
      </c>
      <c r="BQ405" s="61">
        <v>250.12200000000001</v>
      </c>
      <c r="BR405" s="61">
        <v>12.510999999999999</v>
      </c>
      <c r="BS405" s="61">
        <v>0.61199999999999999</v>
      </c>
      <c r="BT405" s="61">
        <v>19.391999999999999</v>
      </c>
      <c r="BU405" s="61">
        <v>15.885999999999999</v>
      </c>
      <c r="BV405" s="61">
        <v>20.167999999999999</v>
      </c>
      <c r="BW405" s="61">
        <v>36.055</v>
      </c>
      <c r="BX405" s="67">
        <v>318.69200000000001</v>
      </c>
      <c r="BY405" s="68">
        <v>126011</v>
      </c>
      <c r="BZ405" s="68">
        <v>122435</v>
      </c>
      <c r="CA405" s="69">
        <v>11181</v>
      </c>
      <c r="CB405" s="68">
        <v>137506</v>
      </c>
      <c r="CC405" s="68">
        <v>7163</v>
      </c>
      <c r="CD405" s="68">
        <v>67287</v>
      </c>
      <c r="CE405" s="64"/>
      <c r="CF405" s="64"/>
      <c r="CG405" s="70">
        <f t="shared" si="32"/>
        <v>5775.2520000000004</v>
      </c>
      <c r="CH405" s="70">
        <f t="shared" si="33"/>
        <v>469.60199999999998</v>
      </c>
      <c r="CI405" s="70">
        <f t="shared" si="34"/>
        <v>300.846</v>
      </c>
      <c r="CJ405" s="70">
        <f t="shared" si="35"/>
        <v>5292.4620000000004</v>
      </c>
      <c r="CK405" s="70">
        <f t="shared" si="35"/>
        <v>5142.2700000000004</v>
      </c>
      <c r="CL405" s="70">
        <f t="shared" si="31"/>
        <v>2826.0540000000001</v>
      </c>
      <c r="CM405" s="61"/>
      <c r="CN405" s="61"/>
      <c r="CO405" s="61"/>
      <c r="CP405" s="61"/>
      <c r="CQ405" s="61"/>
      <c r="CR405" s="61"/>
      <c r="CS405" s="61"/>
      <c r="CT405" s="61"/>
      <c r="CU405" s="61"/>
      <c r="CV405" s="61"/>
      <c r="CW405" s="61"/>
      <c r="CX405" s="61"/>
      <c r="CY405" s="61"/>
      <c r="CZ405" s="61"/>
      <c r="DA405" s="61"/>
      <c r="DB405" s="61"/>
      <c r="DC405" s="61"/>
      <c r="DD405" s="61"/>
      <c r="DE405" s="61"/>
      <c r="DF405" s="61"/>
      <c r="DG405" s="61"/>
      <c r="DH405" s="61"/>
      <c r="DI405" s="61"/>
      <c r="DJ405" s="61"/>
      <c r="DK405" s="61"/>
      <c r="DL405" s="61"/>
      <c r="DM405" s="61"/>
      <c r="DN405" s="61"/>
      <c r="DO405" s="61"/>
      <c r="DP405" s="61"/>
      <c r="DQ405" s="61"/>
      <c r="DR405" s="61"/>
      <c r="DS405" s="61"/>
      <c r="DT405" s="61"/>
      <c r="DU405" s="61"/>
      <c r="DV405" s="61"/>
      <c r="DW405" s="61"/>
      <c r="DX405" s="61"/>
      <c r="DY405" s="61"/>
      <c r="DZ405" s="61"/>
      <c r="EA405" s="61"/>
      <c r="EB405" s="61"/>
      <c r="EC405" s="61"/>
      <c r="ED405" s="61"/>
      <c r="EE405" s="61"/>
      <c r="EF405" s="61"/>
      <c r="EG405" s="61"/>
      <c r="EH405" s="61"/>
      <c r="EI405" s="61"/>
      <c r="EJ405" s="61"/>
      <c r="EK405" s="61"/>
      <c r="EL405" s="61"/>
      <c r="EM405" s="61"/>
      <c r="EN405" s="61"/>
      <c r="EO405" s="61"/>
      <c r="EP405" s="61"/>
      <c r="EQ405" s="61"/>
      <c r="ER405" s="61"/>
      <c r="ES405" s="61"/>
      <c r="ET405" s="61"/>
      <c r="EU405" s="61"/>
      <c r="EV405" s="61"/>
      <c r="EW405" s="61"/>
    </row>
    <row r="406" spans="1:153">
      <c r="A406" s="56">
        <v>38930</v>
      </c>
      <c r="B406" s="57">
        <v>2006</v>
      </c>
      <c r="C406" s="71">
        <v>3.7410000000000001</v>
      </c>
      <c r="D406" s="61">
        <v>5.0999999999999997E-2</v>
      </c>
      <c r="E406" s="61">
        <v>688.51499999999999</v>
      </c>
      <c r="F406" s="61">
        <v>28.917999999999999</v>
      </c>
      <c r="G406" s="61">
        <v>3.69</v>
      </c>
      <c r="H406" s="61">
        <v>96.123999999999995</v>
      </c>
      <c r="I406" s="61">
        <v>120.542</v>
      </c>
      <c r="J406" s="61">
        <v>-24.417000000000002</v>
      </c>
      <c r="K406" s="61"/>
      <c r="L406" s="61"/>
      <c r="M406" s="61">
        <v>664.09799999999996</v>
      </c>
      <c r="N406" s="61">
        <v>27.891999999999999</v>
      </c>
      <c r="O406" s="71">
        <v>3.5590000000000002</v>
      </c>
      <c r="P406" s="60">
        <v>179.39599999999999</v>
      </c>
      <c r="Q406" s="61">
        <v>63.872</v>
      </c>
      <c r="R406" s="61">
        <v>277.06299999999999</v>
      </c>
      <c r="S406" s="61">
        <v>531.41899999999998</v>
      </c>
      <c r="T406" s="61">
        <v>215.524</v>
      </c>
      <c r="U406" s="61">
        <v>15.901999999999999</v>
      </c>
      <c r="V406" s="61">
        <v>6.5129999999999999</v>
      </c>
      <c r="W406" s="61">
        <v>16.417999999999999</v>
      </c>
      <c r="X406" s="61">
        <v>179.39599999999999</v>
      </c>
      <c r="Y406" s="61">
        <v>33.793999999999997</v>
      </c>
      <c r="Z406" s="61">
        <v>69.551000000000002</v>
      </c>
      <c r="AA406" s="61">
        <v>282.74099999999999</v>
      </c>
      <c r="AB406" s="60">
        <v>537.09699999999998</v>
      </c>
      <c r="AC406" s="62"/>
      <c r="AD406" s="61"/>
      <c r="AE406" s="61"/>
      <c r="AF406" s="61"/>
      <c r="AG406" s="61"/>
      <c r="AH406" s="61"/>
      <c r="AI406" s="61"/>
      <c r="AJ406" s="61"/>
      <c r="AK406" s="62"/>
      <c r="AL406" s="63"/>
      <c r="AM406" s="64"/>
      <c r="AN406" s="65" t="e">
        <v>#N/A</v>
      </c>
      <c r="AO406" s="61" t="e">
        <v>#N/A</v>
      </c>
      <c r="AP406" s="61" t="e">
        <v>#N/A</v>
      </c>
      <c r="AQ406" s="61" t="e">
        <v>#N/A</v>
      </c>
      <c r="AR406" s="61" t="e">
        <v>#N/A</v>
      </c>
      <c r="AS406" s="61" t="e">
        <v>#N/A</v>
      </c>
      <c r="AT406" s="61" t="e">
        <v>#N/A</v>
      </c>
      <c r="AU406" s="61" t="e">
        <v>#N/A</v>
      </c>
      <c r="AV406" s="61" t="e">
        <v>#N/A</v>
      </c>
      <c r="AW406" s="61" t="e">
        <v>#N/A</v>
      </c>
      <c r="AX406" s="65" t="e">
        <v>#N/A</v>
      </c>
      <c r="AY406" s="66">
        <v>1.554</v>
      </c>
      <c r="AZ406" s="61">
        <v>5.3879999999999999</v>
      </c>
      <c r="BA406" s="61">
        <v>32.274000000000001</v>
      </c>
      <c r="BB406" s="61">
        <v>39.216000000000001</v>
      </c>
      <c r="BC406" s="61">
        <v>2E-3</v>
      </c>
      <c r="BD406" s="61">
        <v>1.1890000000000001</v>
      </c>
      <c r="BE406" s="61">
        <v>0.247</v>
      </c>
      <c r="BF406" s="61" t="s">
        <v>122</v>
      </c>
      <c r="BG406" s="61">
        <v>5.5359999999999996</v>
      </c>
      <c r="BH406" s="61">
        <v>3.0470000000000002</v>
      </c>
      <c r="BI406" s="61">
        <v>0.114</v>
      </c>
      <c r="BJ406" s="61">
        <v>8.6969999999999992</v>
      </c>
      <c r="BK406" s="66">
        <v>10.135</v>
      </c>
      <c r="BL406" s="67">
        <v>40.31</v>
      </c>
      <c r="BM406" s="61">
        <v>3.5590000000000002</v>
      </c>
      <c r="BN406" s="61" t="s">
        <v>121</v>
      </c>
      <c r="BO406" s="61" t="s">
        <v>121</v>
      </c>
      <c r="BP406" s="61">
        <v>43.869</v>
      </c>
      <c r="BQ406" s="61">
        <v>213.71199999999999</v>
      </c>
      <c r="BR406" s="61">
        <v>12.785</v>
      </c>
      <c r="BS406" s="61">
        <v>0.82299999999999995</v>
      </c>
      <c r="BT406" s="61">
        <v>16.417999999999999</v>
      </c>
      <c r="BU406" s="61">
        <v>16.675999999999998</v>
      </c>
      <c r="BV406" s="61">
        <v>19.917000000000002</v>
      </c>
      <c r="BW406" s="61">
        <v>36.593000000000004</v>
      </c>
      <c r="BX406" s="67">
        <v>280.33100000000002</v>
      </c>
      <c r="BY406" s="68">
        <v>131251</v>
      </c>
      <c r="BZ406" s="68">
        <v>129033</v>
      </c>
      <c r="CA406" s="69">
        <v>11267</v>
      </c>
      <c r="CB406" s="68">
        <v>145083</v>
      </c>
      <c r="CC406" s="68">
        <v>5908</v>
      </c>
      <c r="CD406" s="68">
        <v>76061</v>
      </c>
      <c r="CE406" s="64"/>
      <c r="CF406" s="64"/>
      <c r="CG406" s="70">
        <f t="shared" si="32"/>
        <v>6093.4859999999999</v>
      </c>
      <c r="CH406" s="70">
        <f t="shared" si="33"/>
        <v>473.214</v>
      </c>
      <c r="CI406" s="70">
        <f t="shared" si="34"/>
        <v>248.136</v>
      </c>
      <c r="CJ406" s="70">
        <f t="shared" si="35"/>
        <v>5512.5420000000004</v>
      </c>
      <c r="CK406" s="70">
        <f t="shared" si="35"/>
        <v>5419.3860000000004</v>
      </c>
      <c r="CL406" s="70">
        <f t="shared" si="31"/>
        <v>3194.5619999999999</v>
      </c>
      <c r="CM406" s="61"/>
      <c r="CN406" s="61"/>
      <c r="CO406" s="61"/>
      <c r="CP406" s="61"/>
      <c r="CQ406" s="61"/>
      <c r="CR406" s="61"/>
      <c r="CS406" s="61"/>
      <c r="CT406" s="61"/>
      <c r="CU406" s="61"/>
      <c r="CV406" s="61"/>
      <c r="CW406" s="61"/>
      <c r="CX406" s="61"/>
      <c r="CY406" s="61"/>
      <c r="CZ406" s="61"/>
      <c r="DA406" s="61"/>
      <c r="DB406" s="61"/>
      <c r="DC406" s="61"/>
      <c r="DD406" s="61"/>
      <c r="DE406" s="61"/>
      <c r="DF406" s="61"/>
      <c r="DG406" s="61"/>
      <c r="DH406" s="61"/>
      <c r="DI406" s="61"/>
      <c r="DJ406" s="61"/>
      <c r="DK406" s="61"/>
      <c r="DL406" s="61"/>
      <c r="DM406" s="61"/>
      <c r="DN406" s="61"/>
      <c r="DO406" s="61"/>
      <c r="DP406" s="61"/>
      <c r="DQ406" s="61"/>
      <c r="DR406" s="61"/>
      <c r="DS406" s="61"/>
      <c r="DT406" s="61"/>
      <c r="DU406" s="61"/>
      <c r="DV406" s="61"/>
      <c r="DW406" s="61"/>
      <c r="DX406" s="61"/>
      <c r="DY406" s="61"/>
      <c r="DZ406" s="61"/>
      <c r="EA406" s="61"/>
      <c r="EB406" s="61"/>
      <c r="EC406" s="61"/>
      <c r="ED406" s="61"/>
      <c r="EE406" s="61"/>
      <c r="EF406" s="61"/>
      <c r="EG406" s="61"/>
      <c r="EH406" s="61"/>
      <c r="EI406" s="61"/>
      <c r="EJ406" s="61"/>
      <c r="EK406" s="61"/>
      <c r="EL406" s="61"/>
      <c r="EM406" s="61"/>
      <c r="EN406" s="61"/>
      <c r="EO406" s="61"/>
      <c r="EP406" s="61"/>
      <c r="EQ406" s="61"/>
      <c r="ER406" s="61"/>
      <c r="ES406" s="61"/>
      <c r="ET406" s="61"/>
      <c r="EU406" s="61"/>
      <c r="EV406" s="61"/>
      <c r="EW406" s="61"/>
    </row>
    <row r="407" spans="1:153">
      <c r="A407" s="56">
        <v>38961</v>
      </c>
      <c r="B407" s="57">
        <v>2006</v>
      </c>
      <c r="C407" s="71">
        <v>3.2509999999999999</v>
      </c>
      <c r="D407" s="61">
        <v>4.3999999999999997E-2</v>
      </c>
      <c r="E407" s="61">
        <v>598.36400000000003</v>
      </c>
      <c r="F407" s="61">
        <v>25.131</v>
      </c>
      <c r="G407" s="61">
        <v>3.2069999999999999</v>
      </c>
      <c r="H407" s="61">
        <v>91.26</v>
      </c>
      <c r="I407" s="61">
        <v>66.715000000000003</v>
      </c>
      <c r="J407" s="61">
        <v>24.545999999999999</v>
      </c>
      <c r="K407" s="61"/>
      <c r="L407" s="61"/>
      <c r="M407" s="61">
        <v>622.91</v>
      </c>
      <c r="N407" s="61">
        <v>26.161999999999999</v>
      </c>
      <c r="O407" s="71">
        <v>3.3380000000000001</v>
      </c>
      <c r="P407" s="60">
        <v>173.11500000000001</v>
      </c>
      <c r="Q407" s="61">
        <v>62.518999999999998</v>
      </c>
      <c r="R407" s="61">
        <v>267.952</v>
      </c>
      <c r="S407" s="61">
        <v>478.04899999999998</v>
      </c>
      <c r="T407" s="61">
        <v>170.62100000000001</v>
      </c>
      <c r="U407" s="61">
        <v>15.112</v>
      </c>
      <c r="V407" s="61">
        <v>5.7249999999999996</v>
      </c>
      <c r="W407" s="61">
        <v>18.638999999999999</v>
      </c>
      <c r="X407" s="61">
        <v>173.11500000000001</v>
      </c>
      <c r="Y407" s="61">
        <v>32.317999999999998</v>
      </c>
      <c r="Z407" s="61">
        <v>68.462999999999994</v>
      </c>
      <c r="AA407" s="61">
        <v>273.89600000000002</v>
      </c>
      <c r="AB407" s="60">
        <v>483.99299999999999</v>
      </c>
      <c r="AC407" s="62"/>
      <c r="AD407" s="61"/>
      <c r="AE407" s="61"/>
      <c r="AF407" s="61"/>
      <c r="AG407" s="61"/>
      <c r="AH407" s="61"/>
      <c r="AI407" s="61"/>
      <c r="AJ407" s="61"/>
      <c r="AK407" s="62"/>
      <c r="AL407" s="63"/>
      <c r="AM407" s="64"/>
      <c r="AN407" s="65" t="e">
        <v>#N/A</v>
      </c>
      <c r="AO407" s="61" t="e">
        <v>#N/A</v>
      </c>
      <c r="AP407" s="61" t="e">
        <v>#N/A</v>
      </c>
      <c r="AQ407" s="61" t="e">
        <v>#N/A</v>
      </c>
      <c r="AR407" s="61" t="e">
        <v>#N/A</v>
      </c>
      <c r="AS407" s="61" t="e">
        <v>#N/A</v>
      </c>
      <c r="AT407" s="61" t="e">
        <v>#N/A</v>
      </c>
      <c r="AU407" s="61" t="e">
        <v>#N/A</v>
      </c>
      <c r="AV407" s="61" t="e">
        <v>#N/A</v>
      </c>
      <c r="AW407" s="61" t="e">
        <v>#N/A</v>
      </c>
      <c r="AX407" s="65" t="e">
        <v>#N/A</v>
      </c>
      <c r="AY407" s="66">
        <v>1.504</v>
      </c>
      <c r="AZ407" s="61">
        <v>4.9139999999999997</v>
      </c>
      <c r="BA407" s="61">
        <v>31.233000000000001</v>
      </c>
      <c r="BB407" s="61">
        <v>37.651000000000003</v>
      </c>
      <c r="BC407" s="61">
        <v>2.7E-2</v>
      </c>
      <c r="BD407" s="61">
        <v>1.151</v>
      </c>
      <c r="BE407" s="61">
        <v>0.22500000000000001</v>
      </c>
      <c r="BF407" s="61" t="s">
        <v>122</v>
      </c>
      <c r="BG407" s="61">
        <v>5.3520000000000003</v>
      </c>
      <c r="BH407" s="61">
        <v>2.8889999999999998</v>
      </c>
      <c r="BI407" s="61">
        <v>0.113</v>
      </c>
      <c r="BJ407" s="61">
        <v>8.3529999999999998</v>
      </c>
      <c r="BK407" s="66">
        <v>9.7560000000000002</v>
      </c>
      <c r="BL407" s="67">
        <v>39.816000000000003</v>
      </c>
      <c r="BM407" s="61">
        <v>3.3380000000000001</v>
      </c>
      <c r="BN407" s="61" t="s">
        <v>121</v>
      </c>
      <c r="BO407" s="61" t="s">
        <v>121</v>
      </c>
      <c r="BP407" s="61">
        <v>43.154000000000003</v>
      </c>
      <c r="BQ407" s="61">
        <v>168.58799999999999</v>
      </c>
      <c r="BR407" s="61">
        <v>12.096</v>
      </c>
      <c r="BS407" s="61">
        <v>0.53600000000000003</v>
      </c>
      <c r="BT407" s="61">
        <v>18.638999999999999</v>
      </c>
      <c r="BU407" s="61">
        <v>15.295</v>
      </c>
      <c r="BV407" s="61">
        <v>19.02</v>
      </c>
      <c r="BW407" s="61">
        <v>34.314999999999998</v>
      </c>
      <c r="BX407" s="67">
        <v>234.173</v>
      </c>
      <c r="BY407" s="68">
        <v>129004</v>
      </c>
      <c r="BZ407" s="68">
        <v>124239</v>
      </c>
      <c r="CA407" s="69">
        <v>13132</v>
      </c>
      <c r="CB407" s="68">
        <v>149308</v>
      </c>
      <c r="CC407" s="68">
        <v>13672</v>
      </c>
      <c r="CD407" s="68">
        <v>77519</v>
      </c>
      <c r="CE407" s="64"/>
      <c r="CF407" s="64"/>
      <c r="CG407" s="70">
        <f t="shared" si="32"/>
        <v>6270.9359999999997</v>
      </c>
      <c r="CH407" s="70">
        <f t="shared" si="33"/>
        <v>551.54399999999998</v>
      </c>
      <c r="CI407" s="70">
        <f t="shared" si="34"/>
        <v>574.22400000000005</v>
      </c>
      <c r="CJ407" s="70">
        <f t="shared" si="35"/>
        <v>5418.1679999999997</v>
      </c>
      <c r="CK407" s="70">
        <f t="shared" si="35"/>
        <v>5218.0379999999996</v>
      </c>
      <c r="CL407" s="70">
        <f t="shared" si="31"/>
        <v>3255.7979999999998</v>
      </c>
      <c r="CM407" s="61"/>
      <c r="CN407" s="61"/>
      <c r="CO407" s="61"/>
      <c r="CP407" s="61"/>
      <c r="CQ407" s="61"/>
      <c r="CR407" s="61"/>
      <c r="CS407" s="61"/>
      <c r="CT407" s="61"/>
      <c r="CU407" s="61"/>
      <c r="CV407" s="61"/>
      <c r="CW407" s="61"/>
      <c r="CX407" s="61"/>
      <c r="CY407" s="61"/>
      <c r="CZ407" s="61"/>
      <c r="DA407" s="61"/>
      <c r="DB407" s="61"/>
      <c r="DC407" s="61"/>
      <c r="DD407" s="61"/>
      <c r="DE407" s="61"/>
      <c r="DF407" s="61"/>
      <c r="DG407" s="61"/>
      <c r="DH407" s="61"/>
      <c r="DI407" s="61"/>
      <c r="DJ407" s="61"/>
      <c r="DK407" s="61"/>
      <c r="DL407" s="61"/>
      <c r="DM407" s="61"/>
      <c r="DN407" s="61"/>
      <c r="DO407" s="61"/>
      <c r="DP407" s="61"/>
      <c r="DQ407" s="61"/>
      <c r="DR407" s="61"/>
      <c r="DS407" s="61"/>
      <c r="DT407" s="61"/>
      <c r="DU407" s="61"/>
      <c r="DV407" s="61"/>
      <c r="DW407" s="61"/>
      <c r="DX407" s="61"/>
      <c r="DY407" s="61"/>
      <c r="DZ407" s="61"/>
      <c r="EA407" s="61"/>
      <c r="EB407" s="61"/>
      <c r="EC407" s="61"/>
      <c r="ED407" s="61"/>
      <c r="EE407" s="61"/>
      <c r="EF407" s="61"/>
      <c r="EG407" s="61"/>
      <c r="EH407" s="61"/>
      <c r="EI407" s="61"/>
      <c r="EJ407" s="61"/>
      <c r="EK407" s="61"/>
      <c r="EL407" s="61"/>
      <c r="EM407" s="61"/>
      <c r="EN407" s="61"/>
      <c r="EO407" s="61"/>
      <c r="EP407" s="61"/>
      <c r="EQ407" s="61"/>
      <c r="ER407" s="61"/>
      <c r="ES407" s="61"/>
      <c r="ET407" s="61"/>
      <c r="EU407" s="61"/>
      <c r="EV407" s="61"/>
      <c r="EW407" s="61"/>
    </row>
    <row r="408" spans="1:153">
      <c r="A408" s="56">
        <v>38991</v>
      </c>
      <c r="B408" s="57">
        <v>2006</v>
      </c>
      <c r="C408" s="71">
        <v>2.98</v>
      </c>
      <c r="D408" s="61">
        <v>4.1000000000000002E-2</v>
      </c>
      <c r="E408" s="61">
        <v>548.50099999999998</v>
      </c>
      <c r="F408" s="61">
        <v>23.036999999999999</v>
      </c>
      <c r="G408" s="61">
        <v>2.9390000000000001</v>
      </c>
      <c r="H408" s="61">
        <v>104.32</v>
      </c>
      <c r="I408" s="61">
        <v>59.131999999999998</v>
      </c>
      <c r="J408" s="61">
        <v>45.188000000000002</v>
      </c>
      <c r="K408" s="61"/>
      <c r="L408" s="61"/>
      <c r="M408" s="61">
        <v>593.68799999999999</v>
      </c>
      <c r="N408" s="61">
        <v>24.934999999999999</v>
      </c>
      <c r="O408" s="71">
        <v>3.1819999999999999</v>
      </c>
      <c r="P408" s="60">
        <v>177.45400000000001</v>
      </c>
      <c r="Q408" s="61">
        <v>64.739000000000004</v>
      </c>
      <c r="R408" s="61">
        <v>275.12</v>
      </c>
      <c r="S408" s="61">
        <v>489.33</v>
      </c>
      <c r="T408" s="61">
        <v>169.17</v>
      </c>
      <c r="U408" s="61">
        <v>15.766</v>
      </c>
      <c r="V408" s="61">
        <v>5.05</v>
      </c>
      <c r="W408" s="61">
        <v>24.222999999999999</v>
      </c>
      <c r="X408" s="61">
        <v>177.45400000000001</v>
      </c>
      <c r="Y408" s="61">
        <v>32.927</v>
      </c>
      <c r="Z408" s="61">
        <v>72.076999999999998</v>
      </c>
      <c r="AA408" s="61">
        <v>282.45800000000003</v>
      </c>
      <c r="AB408" s="60">
        <v>496.66800000000001</v>
      </c>
      <c r="AC408" s="62"/>
      <c r="AD408" s="61"/>
      <c r="AE408" s="61"/>
      <c r="AF408" s="61"/>
      <c r="AG408" s="61"/>
      <c r="AH408" s="61"/>
      <c r="AI408" s="61"/>
      <c r="AJ408" s="61"/>
      <c r="AK408" s="62"/>
      <c r="AL408" s="63"/>
      <c r="AM408" s="64"/>
      <c r="AN408" s="65" t="e">
        <v>#N/A</v>
      </c>
      <c r="AO408" s="61" t="e">
        <v>#N/A</v>
      </c>
      <c r="AP408" s="61" t="e">
        <v>#N/A</v>
      </c>
      <c r="AQ408" s="61" t="e">
        <v>#N/A</v>
      </c>
      <c r="AR408" s="61" t="e">
        <v>#N/A</v>
      </c>
      <c r="AS408" s="61" t="e">
        <v>#N/A</v>
      </c>
      <c r="AT408" s="61" t="e">
        <v>#N/A</v>
      </c>
      <c r="AU408" s="61" t="e">
        <v>#N/A</v>
      </c>
      <c r="AV408" s="61" t="e">
        <v>#N/A</v>
      </c>
      <c r="AW408" s="61" t="e">
        <v>#N/A</v>
      </c>
      <c r="AX408" s="65" t="e">
        <v>#N/A</v>
      </c>
      <c r="AY408" s="66">
        <v>1.554</v>
      </c>
      <c r="AZ408" s="61">
        <v>4.4790000000000001</v>
      </c>
      <c r="BA408" s="61">
        <v>32.274000000000001</v>
      </c>
      <c r="BB408" s="61">
        <v>38.307000000000002</v>
      </c>
      <c r="BC408" s="61">
        <v>0.03</v>
      </c>
      <c r="BD408" s="61">
        <v>1.1890000000000001</v>
      </c>
      <c r="BE408" s="61">
        <v>0.20499999999999999</v>
      </c>
      <c r="BF408" s="61" t="s">
        <v>122</v>
      </c>
      <c r="BG408" s="61">
        <v>5.53</v>
      </c>
      <c r="BH408" s="61">
        <v>2.984</v>
      </c>
      <c r="BI408" s="61">
        <v>0.12</v>
      </c>
      <c r="BJ408" s="61">
        <v>8.6349999999999998</v>
      </c>
      <c r="BK408" s="66">
        <v>10.06</v>
      </c>
      <c r="BL408" s="67">
        <v>42.503</v>
      </c>
      <c r="BM408" s="61">
        <v>3.1819999999999999</v>
      </c>
      <c r="BN408" s="61" t="s">
        <v>121</v>
      </c>
      <c r="BO408" s="61" t="s">
        <v>121</v>
      </c>
      <c r="BP408" s="61">
        <v>45.685000000000002</v>
      </c>
      <c r="BQ408" s="61">
        <v>166.37700000000001</v>
      </c>
      <c r="BR408" s="61">
        <v>12.648999999999999</v>
      </c>
      <c r="BS408" s="61">
        <v>0.32</v>
      </c>
      <c r="BT408" s="61">
        <v>24.222999999999999</v>
      </c>
      <c r="BU408" s="61">
        <v>14.916</v>
      </c>
      <c r="BV408" s="61">
        <v>18.989999999999998</v>
      </c>
      <c r="BW408" s="61">
        <v>33.905999999999999</v>
      </c>
      <c r="BX408" s="67">
        <v>237.476</v>
      </c>
      <c r="BY408" s="68">
        <v>126804</v>
      </c>
      <c r="BZ408" s="68">
        <v>133771</v>
      </c>
      <c r="CA408" s="69">
        <v>9517</v>
      </c>
      <c r="CB408" s="68">
        <v>142843</v>
      </c>
      <c r="CC408" s="68">
        <v>9015</v>
      </c>
      <c r="CD408" s="68">
        <v>76430</v>
      </c>
      <c r="CE408" s="64"/>
      <c r="CF408" s="64"/>
      <c r="CG408" s="70">
        <f t="shared" si="32"/>
        <v>5999.4059999999999</v>
      </c>
      <c r="CH408" s="70">
        <f t="shared" si="33"/>
        <v>399.714</v>
      </c>
      <c r="CI408" s="70">
        <f t="shared" si="34"/>
        <v>378.63</v>
      </c>
      <c r="CJ408" s="70">
        <f t="shared" si="35"/>
        <v>5325.768</v>
      </c>
      <c r="CK408" s="70">
        <f t="shared" si="35"/>
        <v>5618.3819999999996</v>
      </c>
      <c r="CL408" s="70">
        <f t="shared" si="31"/>
        <v>3210.06</v>
      </c>
      <c r="CM408" s="61"/>
      <c r="CN408" s="61"/>
      <c r="CO408" s="61"/>
      <c r="CP408" s="61"/>
      <c r="CQ408" s="61"/>
      <c r="CR408" s="61"/>
      <c r="CS408" s="61"/>
      <c r="CT408" s="61"/>
      <c r="CU408" s="61"/>
      <c r="CV408" s="61"/>
      <c r="CW408" s="61"/>
      <c r="CX408" s="61"/>
      <c r="CY408" s="61"/>
      <c r="CZ408" s="61"/>
      <c r="DA408" s="61"/>
      <c r="DB408" s="61"/>
      <c r="DC408" s="61"/>
      <c r="DD408" s="61"/>
      <c r="DE408" s="61"/>
      <c r="DF408" s="61"/>
      <c r="DG408" s="61"/>
      <c r="DH408" s="61"/>
      <c r="DI408" s="61"/>
      <c r="DJ408" s="61"/>
      <c r="DK408" s="61"/>
      <c r="DL408" s="61"/>
      <c r="DM408" s="61"/>
      <c r="DN408" s="61"/>
      <c r="DO408" s="61"/>
      <c r="DP408" s="61"/>
      <c r="DQ408" s="61"/>
      <c r="DR408" s="61"/>
      <c r="DS408" s="61"/>
      <c r="DT408" s="61"/>
      <c r="DU408" s="61"/>
      <c r="DV408" s="61"/>
      <c r="DW408" s="61"/>
      <c r="DX408" s="61"/>
      <c r="DY408" s="61"/>
      <c r="DZ408" s="61"/>
      <c r="EA408" s="61"/>
      <c r="EB408" s="61"/>
      <c r="EC408" s="61"/>
      <c r="ED408" s="61"/>
      <c r="EE408" s="61"/>
      <c r="EF408" s="61"/>
      <c r="EG408" s="61"/>
      <c r="EH408" s="61"/>
      <c r="EI408" s="61"/>
      <c r="EJ408" s="61"/>
      <c r="EK408" s="61"/>
      <c r="EL408" s="61"/>
      <c r="EM408" s="61"/>
      <c r="EN408" s="61"/>
      <c r="EO408" s="61"/>
      <c r="EP408" s="61"/>
      <c r="EQ408" s="61"/>
      <c r="ER408" s="61"/>
      <c r="ES408" s="61"/>
      <c r="ET408" s="61"/>
      <c r="EU408" s="61"/>
      <c r="EV408" s="61"/>
      <c r="EW408" s="61"/>
    </row>
    <row r="409" spans="1:153">
      <c r="A409" s="56">
        <v>39022</v>
      </c>
      <c r="B409" s="57">
        <v>2006</v>
      </c>
      <c r="C409" s="71">
        <v>2.8279999999999998</v>
      </c>
      <c r="D409" s="61">
        <v>3.9E-2</v>
      </c>
      <c r="E409" s="61">
        <v>520.43200000000002</v>
      </c>
      <c r="F409" s="61">
        <v>21.858000000000001</v>
      </c>
      <c r="G409" s="61">
        <v>2.7890000000000001</v>
      </c>
      <c r="H409" s="61">
        <v>193.52600000000001</v>
      </c>
      <c r="I409" s="61">
        <v>137.90899999999999</v>
      </c>
      <c r="J409" s="61">
        <v>55.616999999999997</v>
      </c>
      <c r="K409" s="61"/>
      <c r="L409" s="61"/>
      <c r="M409" s="61">
        <v>576.04899999999998</v>
      </c>
      <c r="N409" s="61">
        <v>24.193999999999999</v>
      </c>
      <c r="O409" s="71">
        <v>3.0870000000000002</v>
      </c>
      <c r="P409" s="60">
        <v>172.74100000000001</v>
      </c>
      <c r="Q409" s="61">
        <v>64.174999999999997</v>
      </c>
      <c r="R409" s="61">
        <v>270.47500000000002</v>
      </c>
      <c r="S409" s="61">
        <v>515.77800000000002</v>
      </c>
      <c r="T409" s="61">
        <v>201.07499999999999</v>
      </c>
      <c r="U409" s="61">
        <v>14.993</v>
      </c>
      <c r="V409" s="61">
        <v>4.0350000000000001</v>
      </c>
      <c r="W409" s="61">
        <v>25.199000000000002</v>
      </c>
      <c r="X409" s="61">
        <v>172.74100000000001</v>
      </c>
      <c r="Y409" s="61">
        <v>33.56</v>
      </c>
      <c r="Z409" s="61">
        <v>70.948999999999998</v>
      </c>
      <c r="AA409" s="61">
        <v>277.24900000000002</v>
      </c>
      <c r="AB409" s="60">
        <v>522.55100000000004</v>
      </c>
      <c r="AC409" s="62"/>
      <c r="AD409" s="61"/>
      <c r="AE409" s="61"/>
      <c r="AF409" s="61"/>
      <c r="AG409" s="61"/>
      <c r="AH409" s="61"/>
      <c r="AI409" s="61"/>
      <c r="AJ409" s="61"/>
      <c r="AK409" s="62"/>
      <c r="AL409" s="63"/>
      <c r="AM409" s="64"/>
      <c r="AN409" s="65" t="e">
        <v>#N/A</v>
      </c>
      <c r="AO409" s="61" t="e">
        <v>#N/A</v>
      </c>
      <c r="AP409" s="61" t="e">
        <v>#N/A</v>
      </c>
      <c r="AQ409" s="61" t="e">
        <v>#N/A</v>
      </c>
      <c r="AR409" s="61" t="e">
        <v>#N/A</v>
      </c>
      <c r="AS409" s="61" t="e">
        <v>#N/A</v>
      </c>
      <c r="AT409" s="61" t="e">
        <v>#N/A</v>
      </c>
      <c r="AU409" s="61" t="e">
        <v>#N/A</v>
      </c>
      <c r="AV409" s="61" t="e">
        <v>#N/A</v>
      </c>
      <c r="AW409" s="61" t="e">
        <v>#N/A</v>
      </c>
      <c r="AX409" s="65" t="e">
        <v>#N/A</v>
      </c>
      <c r="AY409" s="66">
        <v>1.504</v>
      </c>
      <c r="AZ409" s="61">
        <v>3.6739999999999999</v>
      </c>
      <c r="BA409" s="61">
        <v>31.233000000000001</v>
      </c>
      <c r="BB409" s="61">
        <v>36.411000000000001</v>
      </c>
      <c r="BC409" s="61">
        <v>0.10100000000000001</v>
      </c>
      <c r="BD409" s="61">
        <v>1.151</v>
      </c>
      <c r="BE409" s="61">
        <v>0.16800000000000001</v>
      </c>
      <c r="BF409" s="61" t="s">
        <v>122</v>
      </c>
      <c r="BG409" s="61">
        <v>5.3529999999999998</v>
      </c>
      <c r="BH409" s="61">
        <v>3.0369999999999999</v>
      </c>
      <c r="BI409" s="61">
        <v>0.11799999999999999</v>
      </c>
      <c r="BJ409" s="61">
        <v>8.5090000000000003</v>
      </c>
      <c r="BK409" s="66">
        <v>9.9280000000000008</v>
      </c>
      <c r="BL409" s="67">
        <v>41.661000000000001</v>
      </c>
      <c r="BM409" s="61">
        <v>3.0870000000000002</v>
      </c>
      <c r="BN409" s="61" t="s">
        <v>121</v>
      </c>
      <c r="BO409" s="61" t="s">
        <v>121</v>
      </c>
      <c r="BP409" s="61">
        <v>44.747999999999998</v>
      </c>
      <c r="BQ409" s="61">
        <v>197.422</v>
      </c>
      <c r="BR409" s="61">
        <v>11.977</v>
      </c>
      <c r="BS409" s="61">
        <v>0.156</v>
      </c>
      <c r="BT409" s="61">
        <v>25.199000000000002</v>
      </c>
      <c r="BU409" s="61">
        <v>14.872999999999999</v>
      </c>
      <c r="BV409" s="61">
        <v>19.698</v>
      </c>
      <c r="BW409" s="61">
        <v>34.572000000000003</v>
      </c>
      <c r="BX409" s="67">
        <v>269.32400000000001</v>
      </c>
      <c r="BY409" s="68">
        <v>122094</v>
      </c>
      <c r="BZ409" s="68">
        <v>125396</v>
      </c>
      <c r="CA409" s="69">
        <v>8630</v>
      </c>
      <c r="CB409" s="68">
        <v>140626</v>
      </c>
      <c r="CC409" s="68">
        <v>7545</v>
      </c>
      <c r="CD409" s="68">
        <v>77856</v>
      </c>
      <c r="CE409" s="64"/>
      <c r="CF409" s="64"/>
      <c r="CG409" s="70">
        <f t="shared" si="32"/>
        <v>5906.2920000000004</v>
      </c>
      <c r="CH409" s="70">
        <f t="shared" si="33"/>
        <v>362.46</v>
      </c>
      <c r="CI409" s="70">
        <f t="shared" si="34"/>
        <v>316.89</v>
      </c>
      <c r="CJ409" s="70">
        <f t="shared" si="35"/>
        <v>5127.9480000000003</v>
      </c>
      <c r="CK409" s="70">
        <f t="shared" si="35"/>
        <v>5266.6319999999996</v>
      </c>
      <c r="CL409" s="70">
        <f t="shared" si="31"/>
        <v>3269.9520000000002</v>
      </c>
      <c r="CM409" s="61"/>
      <c r="CN409" s="61"/>
      <c r="CO409" s="61"/>
      <c r="CP409" s="61"/>
      <c r="CQ409" s="61"/>
      <c r="CR409" s="61"/>
      <c r="CS409" s="61"/>
      <c r="CT409" s="61"/>
      <c r="CU409" s="61"/>
      <c r="CV409" s="61"/>
      <c r="CW409" s="61"/>
      <c r="CX409" s="61"/>
      <c r="CY409" s="61"/>
      <c r="CZ409" s="61"/>
      <c r="DA409" s="61"/>
      <c r="DB409" s="61"/>
      <c r="DC409" s="61"/>
      <c r="DD409" s="61"/>
      <c r="DE409" s="61"/>
      <c r="DF409" s="61"/>
      <c r="DG409" s="61"/>
      <c r="DH409" s="61"/>
      <c r="DI409" s="61"/>
      <c r="DJ409" s="61"/>
      <c r="DK409" s="61"/>
      <c r="DL409" s="61"/>
      <c r="DM409" s="61"/>
      <c r="DN409" s="61"/>
      <c r="DO409" s="61"/>
      <c r="DP409" s="61"/>
      <c r="DQ409" s="61"/>
      <c r="DR409" s="61"/>
      <c r="DS409" s="61"/>
      <c r="DT409" s="61"/>
      <c r="DU409" s="61"/>
      <c r="DV409" s="61"/>
      <c r="DW409" s="61"/>
      <c r="DX409" s="61"/>
      <c r="DY409" s="61"/>
      <c r="DZ409" s="61"/>
      <c r="EA409" s="61"/>
      <c r="EB409" s="61"/>
      <c r="EC409" s="61"/>
      <c r="ED409" s="61"/>
      <c r="EE409" s="61"/>
      <c r="EF409" s="61"/>
      <c r="EG409" s="61"/>
      <c r="EH409" s="61"/>
      <c r="EI409" s="61"/>
      <c r="EJ409" s="61"/>
      <c r="EK409" s="61"/>
      <c r="EL409" s="61"/>
      <c r="EM409" s="61"/>
      <c r="EN409" s="61"/>
      <c r="EO409" s="61"/>
      <c r="EP409" s="61"/>
      <c r="EQ409" s="61"/>
      <c r="ER409" s="61"/>
      <c r="ES409" s="61"/>
      <c r="ET409" s="61"/>
      <c r="EU409" s="61"/>
      <c r="EV409" s="61"/>
      <c r="EW409" s="61"/>
    </row>
    <row r="410" spans="1:153">
      <c r="A410" s="56">
        <v>39052</v>
      </c>
      <c r="B410" s="57">
        <v>2006</v>
      </c>
      <c r="C410" s="71">
        <v>3.206</v>
      </c>
      <c r="D410" s="61">
        <v>4.3999999999999997E-2</v>
      </c>
      <c r="E410" s="61">
        <v>590.10900000000004</v>
      </c>
      <c r="F410" s="61">
        <v>24.785</v>
      </c>
      <c r="G410" s="61">
        <v>3.1619999999999999</v>
      </c>
      <c r="H410" s="61">
        <v>213.10300000000001</v>
      </c>
      <c r="I410" s="61">
        <v>120.56100000000001</v>
      </c>
      <c r="J410" s="61">
        <v>92.542000000000002</v>
      </c>
      <c r="K410" s="61"/>
      <c r="L410" s="61"/>
      <c r="M410" s="61">
        <v>682.65099999999995</v>
      </c>
      <c r="N410" s="61">
        <v>28.670999999999999</v>
      </c>
      <c r="O410" s="71">
        <v>3.6579999999999999</v>
      </c>
      <c r="P410" s="60">
        <v>180.279</v>
      </c>
      <c r="Q410" s="61">
        <v>69.094999999999999</v>
      </c>
      <c r="R410" s="61">
        <v>283.63600000000002</v>
      </c>
      <c r="S410" s="61">
        <v>541.98500000000001</v>
      </c>
      <c r="T410" s="61">
        <v>214.21</v>
      </c>
      <c r="U410" s="61">
        <v>15.913</v>
      </c>
      <c r="V410" s="61">
        <v>3.7090000000000001</v>
      </c>
      <c r="W410" s="61">
        <v>24.516999999999999</v>
      </c>
      <c r="X410" s="61">
        <v>180.279</v>
      </c>
      <c r="Y410" s="61">
        <v>34.262</v>
      </c>
      <c r="Z410" s="61">
        <v>75.418000000000006</v>
      </c>
      <c r="AA410" s="61">
        <v>289.959</v>
      </c>
      <c r="AB410" s="60">
        <v>548.30799999999999</v>
      </c>
      <c r="AC410" s="62"/>
      <c r="AD410" s="61"/>
      <c r="AE410" s="61"/>
      <c r="AF410" s="61"/>
      <c r="AG410" s="61"/>
      <c r="AH410" s="61"/>
      <c r="AI410" s="61"/>
      <c r="AJ410" s="61"/>
      <c r="AK410" s="62"/>
      <c r="AL410" s="63"/>
      <c r="AM410" s="64"/>
      <c r="AN410" s="65" t="e">
        <v>#N/A</v>
      </c>
      <c r="AO410" s="61" t="e">
        <v>#N/A</v>
      </c>
      <c r="AP410" s="61" t="e">
        <v>#N/A</v>
      </c>
      <c r="AQ410" s="61" t="e">
        <v>#N/A</v>
      </c>
      <c r="AR410" s="61" t="e">
        <v>#N/A</v>
      </c>
      <c r="AS410" s="61" t="e">
        <v>#N/A</v>
      </c>
      <c r="AT410" s="61" t="e">
        <v>#N/A</v>
      </c>
      <c r="AU410" s="61" t="e">
        <v>#N/A</v>
      </c>
      <c r="AV410" s="61" t="e">
        <v>#N/A</v>
      </c>
      <c r="AW410" s="61" t="e">
        <v>#N/A</v>
      </c>
      <c r="AX410" s="65" t="e">
        <v>#N/A</v>
      </c>
      <c r="AY410" s="66">
        <v>1.554</v>
      </c>
      <c r="AZ410" s="61">
        <v>3.4870000000000001</v>
      </c>
      <c r="BA410" s="61">
        <v>32.274000000000001</v>
      </c>
      <c r="BB410" s="61">
        <v>37.314999999999998</v>
      </c>
      <c r="BC410" s="61">
        <v>9.8000000000000004E-2</v>
      </c>
      <c r="BD410" s="61">
        <v>1.1890000000000001</v>
      </c>
      <c r="BE410" s="61">
        <v>0.16</v>
      </c>
      <c r="BF410" s="61" t="s">
        <v>122</v>
      </c>
      <c r="BG410" s="61">
        <v>5.5339999999999998</v>
      </c>
      <c r="BH410" s="61">
        <v>3.149</v>
      </c>
      <c r="BI410" s="61">
        <v>0.124</v>
      </c>
      <c r="BJ410" s="61">
        <v>8.8070000000000004</v>
      </c>
      <c r="BK410" s="66">
        <v>10.253</v>
      </c>
      <c r="BL410" s="67">
        <v>43.643999999999998</v>
      </c>
      <c r="BM410" s="61">
        <v>3.6579999999999999</v>
      </c>
      <c r="BN410" s="61" t="s">
        <v>121</v>
      </c>
      <c r="BO410" s="61" t="s">
        <v>121</v>
      </c>
      <c r="BP410" s="61">
        <v>47.302</v>
      </c>
      <c r="BQ410" s="61">
        <v>211.47499999999999</v>
      </c>
      <c r="BR410" s="61">
        <v>12.795999999999999</v>
      </c>
      <c r="BS410" s="61">
        <v>2.7E-2</v>
      </c>
      <c r="BT410" s="61">
        <v>24.516999999999999</v>
      </c>
      <c r="BU410" s="61">
        <v>15.93</v>
      </c>
      <c r="BV410" s="61">
        <v>19.832999999999998</v>
      </c>
      <c r="BW410" s="61">
        <v>35.762999999999998</v>
      </c>
      <c r="BX410" s="67">
        <v>284.577</v>
      </c>
      <c r="BY410" s="68">
        <v>128922</v>
      </c>
      <c r="BZ410" s="68">
        <v>132297</v>
      </c>
      <c r="CA410" s="69">
        <v>11014</v>
      </c>
      <c r="CB410" s="68">
        <v>143651</v>
      </c>
      <c r="CC410" s="68">
        <v>4614</v>
      </c>
      <c r="CD410" s="68">
        <v>81640</v>
      </c>
      <c r="CE410" s="64"/>
      <c r="CF410" s="64"/>
      <c r="CG410" s="70">
        <f t="shared" si="32"/>
        <v>6033.3419999999996</v>
      </c>
      <c r="CH410" s="70">
        <f t="shared" si="33"/>
        <v>462.58800000000002</v>
      </c>
      <c r="CI410" s="70">
        <f t="shared" si="34"/>
        <v>193.78800000000001</v>
      </c>
      <c r="CJ410" s="70">
        <f t="shared" si="35"/>
        <v>5414.7240000000002</v>
      </c>
      <c r="CK410" s="70">
        <f t="shared" si="35"/>
        <v>5556.4740000000002</v>
      </c>
      <c r="CL410" s="70">
        <f t="shared" si="31"/>
        <v>3428.88</v>
      </c>
      <c r="CM410" s="61"/>
      <c r="CN410" s="61"/>
      <c r="CO410" s="61"/>
      <c r="CP410" s="61"/>
      <c r="CQ410" s="61"/>
      <c r="CR410" s="61"/>
      <c r="CS410" s="61"/>
      <c r="CT410" s="61"/>
      <c r="CU410" s="61"/>
      <c r="CV410" s="61"/>
      <c r="CW410" s="61"/>
      <c r="CX410" s="61"/>
      <c r="CY410" s="61"/>
      <c r="CZ410" s="61"/>
      <c r="DA410" s="61"/>
      <c r="DB410" s="61"/>
      <c r="DC410" s="61"/>
      <c r="DD410" s="61"/>
      <c r="DE410" s="61"/>
      <c r="DF410" s="61"/>
      <c r="DG410" s="61"/>
      <c r="DH410" s="61"/>
      <c r="DI410" s="61"/>
      <c r="DJ410" s="61"/>
      <c r="DK410" s="61"/>
      <c r="DL410" s="61"/>
      <c r="DM410" s="61"/>
      <c r="DN410" s="61"/>
      <c r="DO410" s="61"/>
      <c r="DP410" s="61"/>
      <c r="DQ410" s="61"/>
      <c r="DR410" s="61"/>
      <c r="DS410" s="61"/>
      <c r="DT410" s="61"/>
      <c r="DU410" s="61"/>
      <c r="DV410" s="61"/>
      <c r="DW410" s="61"/>
      <c r="DX410" s="61"/>
      <c r="DY410" s="61"/>
      <c r="DZ410" s="61"/>
      <c r="EA410" s="61"/>
      <c r="EB410" s="61"/>
      <c r="EC410" s="61"/>
      <c r="ED410" s="61"/>
      <c r="EE410" s="61"/>
      <c r="EF410" s="61"/>
      <c r="EG410" s="61"/>
      <c r="EH410" s="61"/>
      <c r="EI410" s="61"/>
      <c r="EJ410" s="61"/>
      <c r="EK410" s="61"/>
      <c r="EL410" s="61"/>
      <c r="EM410" s="61"/>
      <c r="EN410" s="61"/>
      <c r="EO410" s="61"/>
      <c r="EP410" s="61"/>
      <c r="EQ410" s="61"/>
      <c r="ER410" s="61"/>
      <c r="ES410" s="61"/>
      <c r="ET410" s="61"/>
      <c r="EU410" s="61"/>
      <c r="EV410" s="61"/>
      <c r="EW410" s="61"/>
    </row>
    <row r="411" spans="1:153">
      <c r="A411" s="56">
        <v>39083</v>
      </c>
      <c r="B411" s="57">
        <v>2007</v>
      </c>
      <c r="C411" s="71">
        <v>3.762</v>
      </c>
      <c r="D411" s="61">
        <v>5.0999999999999997E-2</v>
      </c>
      <c r="E411" s="61">
        <v>692.49900000000002</v>
      </c>
      <c r="F411" s="61">
        <v>29.085000000000001</v>
      </c>
      <c r="G411" s="61">
        <v>3.7109999999999999</v>
      </c>
      <c r="H411" s="61">
        <v>245.24600000000001</v>
      </c>
      <c r="I411" s="61">
        <v>106.027</v>
      </c>
      <c r="J411" s="61">
        <v>139.22</v>
      </c>
      <c r="K411" s="61"/>
      <c r="L411" s="61"/>
      <c r="M411" s="61">
        <v>831.71900000000005</v>
      </c>
      <c r="N411" s="61">
        <v>34.932000000000002</v>
      </c>
      <c r="O411" s="71">
        <v>4.4569999999999999</v>
      </c>
      <c r="P411" s="60">
        <v>182.45500000000001</v>
      </c>
      <c r="Q411" s="61">
        <v>71.626999999999995</v>
      </c>
      <c r="R411" s="61">
        <v>290.84500000000003</v>
      </c>
      <c r="S411" s="61">
        <v>592.13900000000001</v>
      </c>
      <c r="T411" s="61">
        <v>257.42599999999999</v>
      </c>
      <c r="U411" s="61">
        <v>16.297000000000001</v>
      </c>
      <c r="V411" s="61">
        <v>3.3330000000000002</v>
      </c>
      <c r="W411" s="61">
        <v>24.239000000000001</v>
      </c>
      <c r="X411" s="61">
        <v>182.45500000000001</v>
      </c>
      <c r="Y411" s="61">
        <v>36.762999999999998</v>
      </c>
      <c r="Z411" s="61">
        <v>76.468999999999994</v>
      </c>
      <c r="AA411" s="61">
        <v>295.68700000000001</v>
      </c>
      <c r="AB411" s="60">
        <v>596.98099999999999</v>
      </c>
      <c r="AC411" s="62"/>
      <c r="AD411" s="61"/>
      <c r="AE411" s="61"/>
      <c r="AF411" s="61"/>
      <c r="AG411" s="61"/>
      <c r="AH411" s="61"/>
      <c r="AI411" s="61"/>
      <c r="AJ411" s="61"/>
      <c r="AK411" s="62"/>
      <c r="AL411" s="63"/>
      <c r="AM411" s="64"/>
      <c r="AN411" s="65" t="e">
        <v>#N/A</v>
      </c>
      <c r="AO411" s="61" t="e">
        <v>#N/A</v>
      </c>
      <c r="AP411" s="61" t="e">
        <v>#N/A</v>
      </c>
      <c r="AQ411" s="61" t="e">
        <v>#N/A</v>
      </c>
      <c r="AR411" s="61" t="e">
        <v>#N/A</v>
      </c>
      <c r="AS411" s="61" t="e">
        <v>#N/A</v>
      </c>
      <c r="AT411" s="61" t="e">
        <v>#N/A</v>
      </c>
      <c r="AU411" s="61" t="e">
        <v>#N/A</v>
      </c>
      <c r="AV411" s="61" t="e">
        <v>#N/A</v>
      </c>
      <c r="AW411" s="61" t="e">
        <v>#N/A</v>
      </c>
      <c r="AX411" s="65" t="e">
        <v>#N/A</v>
      </c>
      <c r="AY411" s="66">
        <v>1.8680000000000001</v>
      </c>
      <c r="AZ411" s="61">
        <v>2.9820000000000002</v>
      </c>
      <c r="BA411" s="61">
        <v>35.670999999999999</v>
      </c>
      <c r="BB411" s="61">
        <v>40.521999999999998</v>
      </c>
      <c r="BC411" s="61">
        <v>0.108</v>
      </c>
      <c r="BD411" s="61">
        <v>1.2230000000000001</v>
      </c>
      <c r="BE411" s="61">
        <v>0.183</v>
      </c>
      <c r="BF411" s="61" t="s">
        <v>122</v>
      </c>
      <c r="BG411" s="61">
        <v>5.9749999999999996</v>
      </c>
      <c r="BH411" s="61">
        <v>2.6219999999999999</v>
      </c>
      <c r="BI411" s="61">
        <v>0.154</v>
      </c>
      <c r="BJ411" s="61">
        <v>8.75</v>
      </c>
      <c r="BK411" s="66">
        <v>10.265000000000001</v>
      </c>
      <c r="BL411" s="67">
        <v>43.478000000000002</v>
      </c>
      <c r="BM411" s="61">
        <v>4.4569999999999999</v>
      </c>
      <c r="BN411" s="61" t="s">
        <v>121</v>
      </c>
      <c r="BO411" s="61" t="s">
        <v>121</v>
      </c>
      <c r="BP411" s="61">
        <v>47.935000000000002</v>
      </c>
      <c r="BQ411" s="61">
        <v>255.535</v>
      </c>
      <c r="BR411" s="61">
        <v>12.805999999999999</v>
      </c>
      <c r="BS411" s="61">
        <v>0.127</v>
      </c>
      <c r="BT411" s="61">
        <v>24.239000000000001</v>
      </c>
      <c r="BU411" s="61">
        <v>19.443000000000001</v>
      </c>
      <c r="BV411" s="61">
        <v>19.75</v>
      </c>
      <c r="BW411" s="61">
        <v>39.192999999999998</v>
      </c>
      <c r="BX411" s="67">
        <v>331.899</v>
      </c>
      <c r="BY411" s="68">
        <v>124828</v>
      </c>
      <c r="BZ411" s="68">
        <v>131943</v>
      </c>
      <c r="CA411" s="69">
        <v>10919</v>
      </c>
      <c r="CB411" s="68">
        <v>139608</v>
      </c>
      <c r="CC411" s="68">
        <v>7847</v>
      </c>
      <c r="CD411" s="68">
        <v>77214</v>
      </c>
      <c r="CE411" s="64"/>
      <c r="CF411" s="64"/>
      <c r="CG411" s="70">
        <f t="shared" si="32"/>
        <v>5863.5360000000001</v>
      </c>
      <c r="CH411" s="70">
        <f t="shared" si="33"/>
        <v>458.59800000000001</v>
      </c>
      <c r="CI411" s="70">
        <f t="shared" si="34"/>
        <v>329.57400000000001</v>
      </c>
      <c r="CJ411" s="70">
        <f t="shared" si="35"/>
        <v>5242.7759999999998</v>
      </c>
      <c r="CK411" s="70">
        <f t="shared" si="35"/>
        <v>5541.6059999999998</v>
      </c>
      <c r="CL411" s="70">
        <f t="shared" si="31"/>
        <v>3242.9879999999998</v>
      </c>
      <c r="CM411" s="61"/>
      <c r="CN411" s="61"/>
      <c r="CO411" s="61"/>
      <c r="CP411" s="61"/>
      <c r="CQ411" s="61"/>
      <c r="CR411" s="61"/>
      <c r="CS411" s="61"/>
      <c r="CT411" s="61"/>
      <c r="CU411" s="61"/>
      <c r="CV411" s="61"/>
      <c r="CW411" s="61"/>
      <c r="CX411" s="61"/>
      <c r="CY411" s="61"/>
      <c r="CZ411" s="61"/>
      <c r="DA411" s="61"/>
      <c r="DB411" s="61"/>
      <c r="DC411" s="61"/>
      <c r="DD411" s="61"/>
      <c r="DE411" s="61"/>
      <c r="DF411" s="61"/>
      <c r="DG411" s="61"/>
      <c r="DH411" s="61"/>
      <c r="DI411" s="61"/>
      <c r="DJ411" s="61"/>
      <c r="DK411" s="61"/>
      <c r="DL411" s="61"/>
      <c r="DM411" s="61"/>
      <c r="DN411" s="61"/>
      <c r="DO411" s="61"/>
      <c r="DP411" s="61"/>
      <c r="DQ411" s="61"/>
      <c r="DR411" s="61"/>
      <c r="DS411" s="61"/>
      <c r="DT411" s="61"/>
      <c r="DU411" s="61"/>
      <c r="DV411" s="61"/>
      <c r="DW411" s="61"/>
      <c r="DX411" s="61"/>
      <c r="DY411" s="61"/>
      <c r="DZ411" s="61"/>
      <c r="EA411" s="61"/>
      <c r="EB411" s="61"/>
      <c r="EC411" s="61"/>
      <c r="ED411" s="61"/>
      <c r="EE411" s="61"/>
      <c r="EF411" s="61"/>
      <c r="EG411" s="61"/>
      <c r="EH411" s="61"/>
      <c r="EI411" s="61"/>
      <c r="EJ411" s="61"/>
      <c r="EK411" s="61"/>
      <c r="EL411" s="61"/>
      <c r="EM411" s="61"/>
      <c r="EN411" s="61"/>
      <c r="EO411" s="61"/>
      <c r="EP411" s="61"/>
      <c r="EQ411" s="61"/>
      <c r="ER411" s="61"/>
      <c r="ES411" s="61"/>
      <c r="ET411" s="61"/>
      <c r="EU411" s="61"/>
      <c r="EV411" s="61"/>
      <c r="EW411" s="61"/>
    </row>
    <row r="412" spans="1:153">
      <c r="A412" s="56">
        <v>39114</v>
      </c>
      <c r="B412" s="57">
        <v>2007</v>
      </c>
      <c r="C412" s="71">
        <v>3.0659999999999998</v>
      </c>
      <c r="D412" s="61">
        <v>4.2000000000000003E-2</v>
      </c>
      <c r="E412" s="61">
        <v>564.31399999999996</v>
      </c>
      <c r="F412" s="61">
        <v>23.701000000000001</v>
      </c>
      <c r="G412" s="61">
        <v>3.024</v>
      </c>
      <c r="H412" s="61">
        <v>152.74199999999999</v>
      </c>
      <c r="I412" s="61">
        <v>179.09800000000001</v>
      </c>
      <c r="J412" s="61">
        <v>-26.356000000000002</v>
      </c>
      <c r="K412" s="61"/>
      <c r="L412" s="61"/>
      <c r="M412" s="61">
        <v>537.95799999999997</v>
      </c>
      <c r="N412" s="61">
        <v>22.594000000000001</v>
      </c>
      <c r="O412" s="71">
        <v>2.883</v>
      </c>
      <c r="P412" s="60">
        <v>162.893</v>
      </c>
      <c r="Q412" s="61">
        <v>66.106999999999999</v>
      </c>
      <c r="R412" s="61">
        <v>261.666</v>
      </c>
      <c r="S412" s="61">
        <v>487.97800000000001</v>
      </c>
      <c r="T412" s="61">
        <v>183.51300000000001</v>
      </c>
      <c r="U412" s="61">
        <v>14.247999999999999</v>
      </c>
      <c r="V412" s="61">
        <v>3.6459999999999999</v>
      </c>
      <c r="W412" s="61">
        <v>24.905999999999999</v>
      </c>
      <c r="X412" s="61">
        <v>162.893</v>
      </c>
      <c r="Y412" s="61">
        <v>32.665999999999997</v>
      </c>
      <c r="Z412" s="61">
        <v>69.09</v>
      </c>
      <c r="AA412" s="61">
        <v>264.64999999999998</v>
      </c>
      <c r="AB412" s="60">
        <v>490.96199999999999</v>
      </c>
      <c r="AC412" s="62"/>
      <c r="AD412" s="61"/>
      <c r="AE412" s="61"/>
      <c r="AF412" s="61"/>
      <c r="AG412" s="61"/>
      <c r="AH412" s="61"/>
      <c r="AI412" s="61"/>
      <c r="AJ412" s="61"/>
      <c r="AK412" s="62"/>
      <c r="AL412" s="63"/>
      <c r="AM412" s="64"/>
      <c r="AN412" s="65" t="e">
        <v>#N/A</v>
      </c>
      <c r="AO412" s="61" t="e">
        <v>#N/A</v>
      </c>
      <c r="AP412" s="61" t="e">
        <v>#N/A</v>
      </c>
      <c r="AQ412" s="61" t="e">
        <v>#N/A</v>
      </c>
      <c r="AR412" s="61" t="e">
        <v>#N/A</v>
      </c>
      <c r="AS412" s="61" t="e">
        <v>#N/A</v>
      </c>
      <c r="AT412" s="61" t="e">
        <v>#N/A</v>
      </c>
      <c r="AU412" s="61" t="e">
        <v>#N/A</v>
      </c>
      <c r="AV412" s="61" t="e">
        <v>#N/A</v>
      </c>
      <c r="AW412" s="61" t="e">
        <v>#N/A</v>
      </c>
      <c r="AX412" s="65" t="e">
        <v>#N/A</v>
      </c>
      <c r="AY412" s="66">
        <v>1.6879999999999999</v>
      </c>
      <c r="AZ412" s="61">
        <v>3.214</v>
      </c>
      <c r="BA412" s="61">
        <v>32.219000000000001</v>
      </c>
      <c r="BB412" s="61">
        <v>37.121000000000002</v>
      </c>
      <c r="BC412" s="61">
        <v>8.4000000000000005E-2</v>
      </c>
      <c r="BD412" s="61">
        <v>1.105</v>
      </c>
      <c r="BE412" s="61">
        <v>0.19800000000000001</v>
      </c>
      <c r="BF412" s="61" t="s">
        <v>122</v>
      </c>
      <c r="BG412" s="61">
        <v>5.3879999999999999</v>
      </c>
      <c r="BH412" s="61">
        <v>2.2349999999999999</v>
      </c>
      <c r="BI412" s="61">
        <v>0.14000000000000001</v>
      </c>
      <c r="BJ412" s="61">
        <v>7.7640000000000002</v>
      </c>
      <c r="BK412" s="66">
        <v>9.15</v>
      </c>
      <c r="BL412" s="67">
        <v>39.722000000000001</v>
      </c>
      <c r="BM412" s="61">
        <v>2.883</v>
      </c>
      <c r="BN412" s="61" t="s">
        <v>121</v>
      </c>
      <c r="BO412" s="61" t="s">
        <v>121</v>
      </c>
      <c r="BP412" s="61">
        <v>42.604999999999997</v>
      </c>
      <c r="BQ412" s="61">
        <v>182.06299999999999</v>
      </c>
      <c r="BR412" s="61">
        <v>11.095000000000001</v>
      </c>
      <c r="BS412" s="61">
        <v>0.19</v>
      </c>
      <c r="BT412" s="61">
        <v>24.905999999999999</v>
      </c>
      <c r="BU412" s="61">
        <v>14.943</v>
      </c>
      <c r="BV412" s="61">
        <v>17.279</v>
      </c>
      <c r="BW412" s="61">
        <v>32.222000000000001</v>
      </c>
      <c r="BX412" s="67">
        <v>250.47499999999999</v>
      </c>
      <c r="BY412" s="68">
        <v>108733</v>
      </c>
      <c r="BZ412" s="68">
        <v>128300</v>
      </c>
      <c r="CA412" s="69">
        <v>9347</v>
      </c>
      <c r="CB412" s="68">
        <v>123723</v>
      </c>
      <c r="CC412" s="68">
        <v>5665</v>
      </c>
      <c r="CD412" s="68">
        <v>67879</v>
      </c>
      <c r="CE412" s="64"/>
      <c r="CF412" s="64"/>
      <c r="CG412" s="70">
        <f t="shared" si="32"/>
        <v>5196.366</v>
      </c>
      <c r="CH412" s="70">
        <f t="shared" si="33"/>
        <v>392.57400000000001</v>
      </c>
      <c r="CI412" s="70">
        <f t="shared" si="34"/>
        <v>237.93</v>
      </c>
      <c r="CJ412" s="70">
        <f t="shared" si="35"/>
        <v>4566.7860000000001</v>
      </c>
      <c r="CK412" s="70">
        <f t="shared" si="35"/>
        <v>5388.6</v>
      </c>
      <c r="CL412" s="70">
        <f t="shared" si="31"/>
        <v>2850.9180000000001</v>
      </c>
      <c r="CM412" s="61"/>
      <c r="CN412" s="61"/>
      <c r="CO412" s="61"/>
      <c r="CP412" s="61"/>
      <c r="CQ412" s="61"/>
      <c r="CR412" s="61"/>
      <c r="CS412" s="61"/>
      <c r="CT412" s="61"/>
      <c r="CU412" s="61"/>
      <c r="CV412" s="61"/>
      <c r="CW412" s="61"/>
      <c r="CX412" s="61"/>
      <c r="CY412" s="61"/>
      <c r="CZ412" s="61"/>
      <c r="DA412" s="61"/>
      <c r="DB412" s="61"/>
      <c r="DC412" s="61"/>
      <c r="DD412" s="61"/>
      <c r="DE412" s="61"/>
      <c r="DF412" s="61"/>
      <c r="DG412" s="61"/>
      <c r="DH412" s="61"/>
      <c r="DI412" s="61"/>
      <c r="DJ412" s="61"/>
      <c r="DK412" s="61"/>
      <c r="DL412" s="61"/>
      <c r="DM412" s="61"/>
      <c r="DN412" s="61"/>
      <c r="DO412" s="61"/>
      <c r="DP412" s="61"/>
      <c r="DQ412" s="61"/>
      <c r="DR412" s="61"/>
      <c r="DS412" s="61"/>
      <c r="DT412" s="61"/>
      <c r="DU412" s="61"/>
      <c r="DV412" s="61"/>
      <c r="DW412" s="61"/>
      <c r="DX412" s="61"/>
      <c r="DY412" s="61"/>
      <c r="DZ412" s="61"/>
      <c r="EA412" s="61"/>
      <c r="EB412" s="61"/>
      <c r="EC412" s="61"/>
      <c r="ED412" s="61"/>
      <c r="EE412" s="61"/>
      <c r="EF412" s="61"/>
      <c r="EG412" s="61"/>
      <c r="EH412" s="61"/>
      <c r="EI412" s="61"/>
      <c r="EJ412" s="61"/>
      <c r="EK412" s="61"/>
      <c r="EL412" s="61"/>
      <c r="EM412" s="61"/>
      <c r="EN412" s="61"/>
      <c r="EO412" s="61"/>
      <c r="EP412" s="61"/>
      <c r="EQ412" s="61"/>
      <c r="ER412" s="61"/>
      <c r="ES412" s="61"/>
      <c r="ET412" s="61"/>
      <c r="EU412" s="61"/>
      <c r="EV412" s="61"/>
      <c r="EW412" s="61"/>
    </row>
    <row r="413" spans="1:153">
      <c r="A413" s="56">
        <v>39142</v>
      </c>
      <c r="B413" s="57">
        <v>2007</v>
      </c>
      <c r="C413" s="71">
        <v>4.21</v>
      </c>
      <c r="D413" s="61">
        <v>5.7000000000000002E-2</v>
      </c>
      <c r="E413" s="61">
        <v>774.85500000000002</v>
      </c>
      <c r="F413" s="61">
        <v>32.543999999999997</v>
      </c>
      <c r="G413" s="61">
        <v>4.1520000000000001</v>
      </c>
      <c r="H413" s="61">
        <v>117.41</v>
      </c>
      <c r="I413" s="61">
        <v>302.613</v>
      </c>
      <c r="J413" s="61">
        <v>-185.203</v>
      </c>
      <c r="K413" s="61"/>
      <c r="L413" s="61"/>
      <c r="M413" s="61">
        <v>589.65200000000004</v>
      </c>
      <c r="N413" s="61">
        <v>24.765000000000001</v>
      </c>
      <c r="O413" s="71">
        <v>3.16</v>
      </c>
      <c r="P413" s="60">
        <v>174.64</v>
      </c>
      <c r="Q413" s="61">
        <v>73.656999999999996</v>
      </c>
      <c r="R413" s="61">
        <v>285.14600000000002</v>
      </c>
      <c r="S413" s="61">
        <v>574.72900000000004</v>
      </c>
      <c r="T413" s="61">
        <v>238.83199999999999</v>
      </c>
      <c r="U413" s="61">
        <v>15.391999999999999</v>
      </c>
      <c r="V413" s="61">
        <v>5.2409999999999997</v>
      </c>
      <c r="W413" s="61">
        <v>30.117000000000001</v>
      </c>
      <c r="X413" s="61">
        <v>174.64</v>
      </c>
      <c r="Y413" s="61">
        <v>36.85</v>
      </c>
      <c r="Z413" s="61">
        <v>75.944999999999993</v>
      </c>
      <c r="AA413" s="61">
        <v>287.435</v>
      </c>
      <c r="AB413" s="60">
        <v>577.01700000000005</v>
      </c>
      <c r="AC413" s="62"/>
      <c r="AD413" s="61"/>
      <c r="AE413" s="61"/>
      <c r="AF413" s="61"/>
      <c r="AG413" s="61"/>
      <c r="AH413" s="61"/>
      <c r="AI413" s="61"/>
      <c r="AJ413" s="61"/>
      <c r="AK413" s="62"/>
      <c r="AL413" s="63"/>
      <c r="AM413" s="64"/>
      <c r="AN413" s="65" t="e">
        <v>#N/A</v>
      </c>
      <c r="AO413" s="61" t="e">
        <v>#N/A</v>
      </c>
      <c r="AP413" s="61" t="e">
        <v>#N/A</v>
      </c>
      <c r="AQ413" s="61" t="e">
        <v>#N/A</v>
      </c>
      <c r="AR413" s="61" t="e">
        <v>#N/A</v>
      </c>
      <c r="AS413" s="61" t="e">
        <v>#N/A</v>
      </c>
      <c r="AT413" s="61" t="e">
        <v>#N/A</v>
      </c>
      <c r="AU413" s="61" t="e">
        <v>#N/A</v>
      </c>
      <c r="AV413" s="61" t="e">
        <v>#N/A</v>
      </c>
      <c r="AW413" s="61" t="e">
        <v>#N/A</v>
      </c>
      <c r="AX413" s="65" t="e">
        <v>#N/A</v>
      </c>
      <c r="AY413" s="66">
        <v>1.8680000000000001</v>
      </c>
      <c r="AZ413" s="61">
        <v>4.4290000000000003</v>
      </c>
      <c r="BA413" s="61">
        <v>35.670999999999999</v>
      </c>
      <c r="BB413" s="61">
        <v>41.969000000000001</v>
      </c>
      <c r="BC413" s="61">
        <v>0.109</v>
      </c>
      <c r="BD413" s="61">
        <v>1.2230000000000001</v>
      </c>
      <c r="BE413" s="61">
        <v>0.27200000000000002</v>
      </c>
      <c r="BF413" s="61" t="s">
        <v>122</v>
      </c>
      <c r="BG413" s="61">
        <v>5.9619999999999997</v>
      </c>
      <c r="BH413" s="61">
        <v>2.5870000000000002</v>
      </c>
      <c r="BI413" s="61">
        <v>0.154</v>
      </c>
      <c r="BJ413" s="61">
        <v>8.7029999999999994</v>
      </c>
      <c r="BK413" s="66">
        <v>10.308</v>
      </c>
      <c r="BL413" s="67">
        <v>43.6</v>
      </c>
      <c r="BM413" s="61">
        <v>3.16</v>
      </c>
      <c r="BN413" s="61" t="s">
        <v>121</v>
      </c>
      <c r="BO413" s="61" t="s">
        <v>121</v>
      </c>
      <c r="BP413" s="61">
        <v>46.76</v>
      </c>
      <c r="BQ413" s="61">
        <v>236.91300000000001</v>
      </c>
      <c r="BR413" s="61">
        <v>11.901999999999999</v>
      </c>
      <c r="BS413" s="61">
        <v>0.47899999999999998</v>
      </c>
      <c r="BT413" s="61">
        <v>30.117000000000001</v>
      </c>
      <c r="BU413" s="61">
        <v>15.013</v>
      </c>
      <c r="BV413" s="61">
        <v>19.7</v>
      </c>
      <c r="BW413" s="61">
        <v>34.713000000000001</v>
      </c>
      <c r="BX413" s="67">
        <v>314.12400000000002</v>
      </c>
      <c r="BY413" s="68">
        <v>124273</v>
      </c>
      <c r="BZ413" s="68">
        <v>134346</v>
      </c>
      <c r="CA413" s="69">
        <v>11148</v>
      </c>
      <c r="CB413" s="68">
        <v>120007</v>
      </c>
      <c r="CC413" s="68">
        <v>4791</v>
      </c>
      <c r="CD413" s="68">
        <v>79619</v>
      </c>
      <c r="CE413" s="64"/>
      <c r="CF413" s="64"/>
      <c r="CG413" s="70">
        <f t="shared" si="32"/>
        <v>5040.2939999999999</v>
      </c>
      <c r="CH413" s="70">
        <f t="shared" si="33"/>
        <v>468.21600000000001</v>
      </c>
      <c r="CI413" s="70">
        <f t="shared" si="34"/>
        <v>201.22200000000001</v>
      </c>
      <c r="CJ413" s="70">
        <f t="shared" si="35"/>
        <v>5219.4660000000003</v>
      </c>
      <c r="CK413" s="70">
        <f t="shared" si="35"/>
        <v>5642.5320000000002</v>
      </c>
      <c r="CL413" s="70">
        <f t="shared" si="31"/>
        <v>3343.998</v>
      </c>
      <c r="CM413" s="61"/>
      <c r="CN413" s="61"/>
      <c r="CO413" s="61"/>
      <c r="CP413" s="61"/>
      <c r="CQ413" s="61"/>
      <c r="CR413" s="61"/>
      <c r="CS413" s="61"/>
      <c r="CT413" s="61"/>
      <c r="CU413" s="61"/>
      <c r="CV413" s="61"/>
      <c r="CW413" s="61"/>
      <c r="CX413" s="61"/>
      <c r="CY413" s="61"/>
      <c r="CZ413" s="61"/>
      <c r="DA413" s="61"/>
      <c r="DB413" s="61"/>
      <c r="DC413" s="61"/>
      <c r="DD413" s="61"/>
      <c r="DE413" s="61"/>
      <c r="DF413" s="61"/>
      <c r="DG413" s="61"/>
      <c r="DH413" s="61"/>
      <c r="DI413" s="61"/>
      <c r="DJ413" s="61"/>
      <c r="DK413" s="61"/>
      <c r="DL413" s="61"/>
      <c r="DM413" s="61"/>
      <c r="DN413" s="61"/>
      <c r="DO413" s="61"/>
      <c r="DP413" s="61"/>
      <c r="DQ413" s="61"/>
      <c r="DR413" s="61"/>
      <c r="DS413" s="61"/>
      <c r="DT413" s="61"/>
      <c r="DU413" s="61"/>
      <c r="DV413" s="61"/>
      <c r="DW413" s="61"/>
      <c r="DX413" s="61"/>
      <c r="DY413" s="61"/>
      <c r="DZ413" s="61"/>
      <c r="EA413" s="61"/>
      <c r="EB413" s="61"/>
      <c r="EC413" s="61"/>
      <c r="ED413" s="61"/>
      <c r="EE413" s="61"/>
      <c r="EF413" s="61"/>
      <c r="EG413" s="61"/>
      <c r="EH413" s="61"/>
      <c r="EI413" s="61"/>
      <c r="EJ413" s="61"/>
      <c r="EK413" s="61"/>
      <c r="EL413" s="61"/>
      <c r="EM413" s="61"/>
      <c r="EN413" s="61"/>
      <c r="EO413" s="61"/>
      <c r="EP413" s="61"/>
      <c r="EQ413" s="61"/>
      <c r="ER413" s="61"/>
      <c r="ES413" s="61"/>
      <c r="ET413" s="61"/>
      <c r="EU413" s="61"/>
      <c r="EV413" s="61"/>
      <c r="EW413" s="61"/>
    </row>
    <row r="414" spans="1:153">
      <c r="A414" s="56">
        <v>39173</v>
      </c>
      <c r="B414" s="57">
        <v>2007</v>
      </c>
      <c r="C414" s="71">
        <v>4.1559999999999997</v>
      </c>
      <c r="D414" s="61">
        <v>5.7000000000000002E-2</v>
      </c>
      <c r="E414" s="61">
        <v>764.88</v>
      </c>
      <c r="F414" s="61">
        <v>32.125</v>
      </c>
      <c r="G414" s="61">
        <v>4.0990000000000002</v>
      </c>
      <c r="H414" s="61">
        <v>185.55099999999999</v>
      </c>
      <c r="I414" s="61">
        <v>625.82299999999998</v>
      </c>
      <c r="J414" s="61">
        <v>-440.27199999999999</v>
      </c>
      <c r="K414" s="61"/>
      <c r="L414" s="61"/>
      <c r="M414" s="61">
        <v>324.608</v>
      </c>
      <c r="N414" s="61">
        <v>13.634</v>
      </c>
      <c r="O414" s="71">
        <v>1.74</v>
      </c>
      <c r="P414" s="60">
        <v>173.47</v>
      </c>
      <c r="Q414" s="61">
        <v>72.575000000000003</v>
      </c>
      <c r="R414" s="61">
        <v>278.38600000000002</v>
      </c>
      <c r="S414" s="61">
        <v>566.47900000000004</v>
      </c>
      <c r="T414" s="61">
        <v>236.13499999999999</v>
      </c>
      <c r="U414" s="61">
        <v>14.824</v>
      </c>
      <c r="V414" s="61">
        <v>5.7869999999999999</v>
      </c>
      <c r="W414" s="61">
        <v>31.349</v>
      </c>
      <c r="X414" s="61">
        <v>173.47</v>
      </c>
      <c r="Y414" s="61">
        <v>32.341000000000001</v>
      </c>
      <c r="Z414" s="61">
        <v>71.828000000000003</v>
      </c>
      <c r="AA414" s="61">
        <v>277.63900000000001</v>
      </c>
      <c r="AB414" s="60">
        <v>565.73299999999995</v>
      </c>
      <c r="AC414" s="62"/>
      <c r="AD414" s="61"/>
      <c r="AE414" s="61"/>
      <c r="AF414" s="61"/>
      <c r="AG414" s="61"/>
      <c r="AH414" s="61"/>
      <c r="AI414" s="61"/>
      <c r="AJ414" s="61"/>
      <c r="AK414" s="62"/>
      <c r="AL414" s="63"/>
      <c r="AM414" s="64"/>
      <c r="AN414" s="65" t="e">
        <v>#N/A</v>
      </c>
      <c r="AO414" s="61" t="e">
        <v>#N/A</v>
      </c>
      <c r="AP414" s="61" t="e">
        <v>#N/A</v>
      </c>
      <c r="AQ414" s="61" t="e">
        <v>#N/A</v>
      </c>
      <c r="AR414" s="61" t="e">
        <v>#N/A</v>
      </c>
      <c r="AS414" s="61" t="e">
        <v>#N/A</v>
      </c>
      <c r="AT414" s="61" t="e">
        <v>#N/A</v>
      </c>
      <c r="AU414" s="61" t="e">
        <v>#N/A</v>
      </c>
      <c r="AV414" s="61" t="e">
        <v>#N/A</v>
      </c>
      <c r="AW414" s="61" t="e">
        <v>#N/A</v>
      </c>
      <c r="AX414" s="65" t="e">
        <v>#N/A</v>
      </c>
      <c r="AY414" s="66">
        <v>1.8080000000000001</v>
      </c>
      <c r="AZ414" s="61">
        <v>4.8810000000000002</v>
      </c>
      <c r="BA414" s="61">
        <v>34.521000000000001</v>
      </c>
      <c r="BB414" s="61">
        <v>41.21</v>
      </c>
      <c r="BC414" s="61">
        <v>0.111</v>
      </c>
      <c r="BD414" s="61">
        <v>1.1839999999999999</v>
      </c>
      <c r="BE414" s="61">
        <v>0.3</v>
      </c>
      <c r="BF414" s="61" t="s">
        <v>122</v>
      </c>
      <c r="BG414" s="61">
        <v>5.7460000000000004</v>
      </c>
      <c r="BH414" s="61">
        <v>2.524</v>
      </c>
      <c r="BI414" s="61">
        <v>0.14599999999999999</v>
      </c>
      <c r="BJ414" s="61">
        <v>8.4149999999999991</v>
      </c>
      <c r="BK414" s="66">
        <v>10.01</v>
      </c>
      <c r="BL414" s="67">
        <v>41.369</v>
      </c>
      <c r="BM414" s="61">
        <v>1.74</v>
      </c>
      <c r="BN414" s="61" t="s">
        <v>121</v>
      </c>
      <c r="BO414" s="61" t="s">
        <v>121</v>
      </c>
      <c r="BP414" s="61">
        <v>43.109000000000002</v>
      </c>
      <c r="BQ414" s="61">
        <v>234.19499999999999</v>
      </c>
      <c r="BR414" s="61">
        <v>11.445</v>
      </c>
      <c r="BS414" s="61">
        <v>0.53800000000000003</v>
      </c>
      <c r="BT414" s="61">
        <v>31.349</v>
      </c>
      <c r="BU414" s="61">
        <v>15.063000000000001</v>
      </c>
      <c r="BV414" s="61">
        <v>18.106000000000002</v>
      </c>
      <c r="BW414" s="61">
        <v>33.17</v>
      </c>
      <c r="BX414" s="67">
        <v>310.69799999999998</v>
      </c>
      <c r="BY414" s="68">
        <v>123066</v>
      </c>
      <c r="BZ414" s="68">
        <v>126421</v>
      </c>
      <c r="CA414" s="69">
        <v>9675</v>
      </c>
      <c r="CB414" s="68">
        <v>121311</v>
      </c>
      <c r="CC414" s="68">
        <v>5016</v>
      </c>
      <c r="CD414" s="68">
        <v>82705</v>
      </c>
      <c r="CE414" s="64"/>
      <c r="CF414" s="64"/>
      <c r="CG414" s="70">
        <f t="shared" si="32"/>
        <v>5095.0619999999999</v>
      </c>
      <c r="CH414" s="70">
        <f t="shared" si="33"/>
        <v>406.35</v>
      </c>
      <c r="CI414" s="70">
        <f t="shared" si="34"/>
        <v>210.672</v>
      </c>
      <c r="CJ414" s="70">
        <f t="shared" si="35"/>
        <v>5168.7719999999999</v>
      </c>
      <c r="CK414" s="70">
        <f t="shared" si="35"/>
        <v>5309.6819999999998</v>
      </c>
      <c r="CL414" s="70">
        <f t="shared" si="31"/>
        <v>3473.61</v>
      </c>
      <c r="CM414" s="61"/>
      <c r="CN414" s="61"/>
      <c r="CO414" s="61"/>
      <c r="CP414" s="61"/>
      <c r="CQ414" s="61"/>
      <c r="CR414" s="61"/>
      <c r="CS414" s="61"/>
      <c r="CT414" s="61"/>
      <c r="CU414" s="61"/>
      <c r="CV414" s="61"/>
      <c r="CW414" s="61"/>
      <c r="CX414" s="61"/>
      <c r="CY414" s="61"/>
      <c r="CZ414" s="61"/>
      <c r="DA414" s="61"/>
      <c r="DB414" s="61"/>
      <c r="DC414" s="61"/>
      <c r="DD414" s="61"/>
      <c r="DE414" s="61"/>
      <c r="DF414" s="61"/>
      <c r="DG414" s="61"/>
      <c r="DH414" s="61"/>
      <c r="DI414" s="61"/>
      <c r="DJ414" s="61"/>
      <c r="DK414" s="61"/>
      <c r="DL414" s="61"/>
      <c r="DM414" s="61"/>
      <c r="DN414" s="61"/>
      <c r="DO414" s="61"/>
      <c r="DP414" s="61"/>
      <c r="DQ414" s="61"/>
      <c r="DR414" s="61"/>
      <c r="DS414" s="61"/>
      <c r="DT414" s="61"/>
      <c r="DU414" s="61"/>
      <c r="DV414" s="61"/>
      <c r="DW414" s="61"/>
      <c r="DX414" s="61"/>
      <c r="DY414" s="61"/>
      <c r="DZ414" s="61"/>
      <c r="EA414" s="61"/>
      <c r="EB414" s="61"/>
      <c r="EC414" s="61"/>
      <c r="ED414" s="61"/>
      <c r="EE414" s="61"/>
      <c r="EF414" s="61"/>
      <c r="EG414" s="61"/>
      <c r="EH414" s="61"/>
      <c r="EI414" s="61"/>
      <c r="EJ414" s="61"/>
      <c r="EK414" s="61"/>
      <c r="EL414" s="61"/>
      <c r="EM414" s="61"/>
      <c r="EN414" s="61"/>
      <c r="EO414" s="61"/>
      <c r="EP414" s="61"/>
      <c r="EQ414" s="61"/>
      <c r="ER414" s="61"/>
      <c r="ES414" s="61"/>
      <c r="ET414" s="61"/>
      <c r="EU414" s="61"/>
      <c r="EV414" s="61"/>
      <c r="EW414" s="61"/>
    </row>
    <row r="415" spans="1:153">
      <c r="A415" s="56">
        <v>39203</v>
      </c>
      <c r="B415" s="57">
        <v>2007</v>
      </c>
      <c r="C415" s="71">
        <v>5.2050000000000001</v>
      </c>
      <c r="D415" s="61">
        <v>7.0999999999999994E-2</v>
      </c>
      <c r="E415" s="61">
        <v>958.09199999999998</v>
      </c>
      <c r="F415" s="61">
        <v>40.24</v>
      </c>
      <c r="G415" s="61">
        <v>5.1340000000000003</v>
      </c>
      <c r="H415" s="61">
        <v>113.90900000000001</v>
      </c>
      <c r="I415" s="61">
        <v>560.83900000000006</v>
      </c>
      <c r="J415" s="61">
        <v>-446.92899999999997</v>
      </c>
      <c r="K415" s="61"/>
      <c r="L415" s="61"/>
      <c r="M415" s="61">
        <v>511.16300000000001</v>
      </c>
      <c r="N415" s="61">
        <v>21.469000000000001</v>
      </c>
      <c r="O415" s="71">
        <v>2.7389999999999999</v>
      </c>
      <c r="P415" s="60">
        <v>173.553</v>
      </c>
      <c r="Q415" s="61">
        <v>78.629000000000005</v>
      </c>
      <c r="R415" s="61">
        <v>286.01</v>
      </c>
      <c r="S415" s="61">
        <v>594.16899999999998</v>
      </c>
      <c r="T415" s="61">
        <v>257.44799999999998</v>
      </c>
      <c r="U415" s="61">
        <v>14.904</v>
      </c>
      <c r="V415" s="61">
        <v>6.6260000000000003</v>
      </c>
      <c r="W415" s="61">
        <v>29.181000000000001</v>
      </c>
      <c r="X415" s="61">
        <v>173.553</v>
      </c>
      <c r="Y415" s="61">
        <v>33.828000000000003</v>
      </c>
      <c r="Z415" s="61">
        <v>77.981999999999999</v>
      </c>
      <c r="AA415" s="61">
        <v>285.363</v>
      </c>
      <c r="AB415" s="60">
        <v>593.52200000000005</v>
      </c>
      <c r="AC415" s="62"/>
      <c r="AD415" s="61"/>
      <c r="AE415" s="61"/>
      <c r="AF415" s="61"/>
      <c r="AG415" s="61"/>
      <c r="AH415" s="61"/>
      <c r="AI415" s="61"/>
      <c r="AJ415" s="61"/>
      <c r="AK415" s="62"/>
      <c r="AL415" s="63"/>
      <c r="AM415" s="64"/>
      <c r="AN415" s="65" t="e">
        <v>#N/A</v>
      </c>
      <c r="AO415" s="61" t="e">
        <v>#N/A</v>
      </c>
      <c r="AP415" s="61" t="e">
        <v>#N/A</v>
      </c>
      <c r="AQ415" s="61" t="e">
        <v>#N/A</v>
      </c>
      <c r="AR415" s="61" t="e">
        <v>#N/A</v>
      </c>
      <c r="AS415" s="61" t="e">
        <v>#N/A</v>
      </c>
      <c r="AT415" s="61" t="e">
        <v>#N/A</v>
      </c>
      <c r="AU415" s="61" t="e">
        <v>#N/A</v>
      </c>
      <c r="AV415" s="61" t="e">
        <v>#N/A</v>
      </c>
      <c r="AW415" s="61" t="e">
        <v>#N/A</v>
      </c>
      <c r="AX415" s="65" t="e">
        <v>#N/A</v>
      </c>
      <c r="AY415" s="66">
        <v>1.8680000000000001</v>
      </c>
      <c r="AZ415" s="61">
        <v>5.3890000000000002</v>
      </c>
      <c r="BA415" s="61">
        <v>35.670999999999999</v>
      </c>
      <c r="BB415" s="61">
        <v>42.929000000000002</v>
      </c>
      <c r="BC415" s="61">
        <v>0.11799999999999999</v>
      </c>
      <c r="BD415" s="61">
        <v>1.2230000000000001</v>
      </c>
      <c r="BE415" s="61">
        <v>0.33200000000000002</v>
      </c>
      <c r="BF415" s="61" t="s">
        <v>122</v>
      </c>
      <c r="BG415" s="61">
        <v>5.8970000000000002</v>
      </c>
      <c r="BH415" s="61">
        <v>2.6560000000000001</v>
      </c>
      <c r="BI415" s="61">
        <v>0.157</v>
      </c>
      <c r="BJ415" s="61">
        <v>8.7110000000000003</v>
      </c>
      <c r="BK415" s="66">
        <v>10.382999999999999</v>
      </c>
      <c r="BL415" s="67">
        <v>44.411999999999999</v>
      </c>
      <c r="BM415" s="61">
        <v>2.7389999999999999</v>
      </c>
      <c r="BN415" s="61" t="s">
        <v>121</v>
      </c>
      <c r="BO415" s="61" t="s">
        <v>121</v>
      </c>
      <c r="BP415" s="61">
        <v>47.151000000000003</v>
      </c>
      <c r="BQ415" s="61">
        <v>255.673</v>
      </c>
      <c r="BR415" s="61">
        <v>11.413</v>
      </c>
      <c r="BS415" s="61">
        <v>0.83199999999999996</v>
      </c>
      <c r="BT415" s="61">
        <v>29.181000000000001</v>
      </c>
      <c r="BU415" s="61">
        <v>13.89</v>
      </c>
      <c r="BV415" s="61">
        <v>19.853999999999999</v>
      </c>
      <c r="BW415" s="61">
        <v>33.744</v>
      </c>
      <c r="BX415" s="67">
        <v>330.84399999999999</v>
      </c>
      <c r="BY415" s="68">
        <v>128410</v>
      </c>
      <c r="BZ415" s="68">
        <v>126107</v>
      </c>
      <c r="CA415" s="69">
        <v>8497</v>
      </c>
      <c r="CB415" s="68">
        <v>125083</v>
      </c>
      <c r="CC415" s="68">
        <v>7028</v>
      </c>
      <c r="CD415" s="68">
        <v>88047</v>
      </c>
      <c r="CE415" s="64"/>
      <c r="CF415" s="64"/>
      <c r="CG415" s="70">
        <f t="shared" si="32"/>
        <v>5253.4859999999999</v>
      </c>
      <c r="CH415" s="70">
        <f t="shared" si="33"/>
        <v>356.87400000000002</v>
      </c>
      <c r="CI415" s="70">
        <f t="shared" si="34"/>
        <v>295.17599999999999</v>
      </c>
      <c r="CJ415" s="70">
        <f t="shared" si="35"/>
        <v>5393.22</v>
      </c>
      <c r="CK415" s="70">
        <f t="shared" si="35"/>
        <v>5296.4939999999997</v>
      </c>
      <c r="CL415" s="70">
        <f t="shared" si="31"/>
        <v>3697.9740000000002</v>
      </c>
      <c r="CM415" s="61"/>
      <c r="CN415" s="61"/>
      <c r="CO415" s="61"/>
      <c r="CP415" s="61"/>
      <c r="CQ415" s="61"/>
      <c r="CR415" s="61"/>
      <c r="CS415" s="61"/>
      <c r="CT415" s="61"/>
      <c r="CU415" s="61"/>
      <c r="CV415" s="61"/>
      <c r="CW415" s="61"/>
      <c r="CX415" s="61"/>
      <c r="CY415" s="61"/>
      <c r="CZ415" s="61"/>
      <c r="DA415" s="61"/>
      <c r="DB415" s="61"/>
      <c r="DC415" s="61"/>
      <c r="DD415" s="61"/>
      <c r="DE415" s="61"/>
      <c r="DF415" s="61"/>
      <c r="DG415" s="61"/>
      <c r="DH415" s="61"/>
      <c r="DI415" s="61"/>
      <c r="DJ415" s="61"/>
      <c r="DK415" s="61"/>
      <c r="DL415" s="61"/>
      <c r="DM415" s="61"/>
      <c r="DN415" s="61"/>
      <c r="DO415" s="61"/>
      <c r="DP415" s="61"/>
      <c r="DQ415" s="61"/>
      <c r="DR415" s="61"/>
      <c r="DS415" s="61"/>
      <c r="DT415" s="61"/>
      <c r="DU415" s="61"/>
      <c r="DV415" s="61"/>
      <c r="DW415" s="61"/>
      <c r="DX415" s="61"/>
      <c r="DY415" s="61"/>
      <c r="DZ415" s="61"/>
      <c r="EA415" s="61"/>
      <c r="EB415" s="61"/>
      <c r="EC415" s="61"/>
      <c r="ED415" s="61"/>
      <c r="EE415" s="61"/>
      <c r="EF415" s="61"/>
      <c r="EG415" s="61"/>
      <c r="EH415" s="61"/>
      <c r="EI415" s="61"/>
      <c r="EJ415" s="61"/>
      <c r="EK415" s="61"/>
      <c r="EL415" s="61"/>
      <c r="EM415" s="61"/>
      <c r="EN415" s="61"/>
      <c r="EO415" s="61"/>
      <c r="EP415" s="61"/>
      <c r="EQ415" s="61"/>
      <c r="ER415" s="61"/>
      <c r="ES415" s="61"/>
      <c r="ET415" s="61"/>
      <c r="EU415" s="61"/>
      <c r="EV415" s="61"/>
      <c r="EW415" s="61"/>
    </row>
    <row r="416" spans="1:153">
      <c r="A416" s="56">
        <v>39234</v>
      </c>
      <c r="B416" s="57">
        <v>2007</v>
      </c>
      <c r="C416" s="71">
        <v>5.1210000000000004</v>
      </c>
      <c r="D416" s="61">
        <v>7.0000000000000007E-2</v>
      </c>
      <c r="E416" s="61">
        <v>942.60799999999995</v>
      </c>
      <c r="F416" s="61">
        <v>39.590000000000003</v>
      </c>
      <c r="G416" s="61">
        <v>5.0510000000000002</v>
      </c>
      <c r="H416" s="61">
        <v>376.42500000000001</v>
      </c>
      <c r="I416" s="61">
        <v>432.02100000000002</v>
      </c>
      <c r="J416" s="61">
        <v>-55.597000000000001</v>
      </c>
      <c r="K416" s="61"/>
      <c r="L416" s="61"/>
      <c r="M416" s="61">
        <v>887.01199999999994</v>
      </c>
      <c r="N416" s="61">
        <v>37.253999999999998</v>
      </c>
      <c r="O416" s="71">
        <v>4.7530000000000001</v>
      </c>
      <c r="P416" s="60">
        <v>170.16399999999999</v>
      </c>
      <c r="Q416" s="61">
        <v>78.427999999999997</v>
      </c>
      <c r="R416" s="61">
        <v>281.995</v>
      </c>
      <c r="S416" s="61">
        <v>555.71199999999999</v>
      </c>
      <c r="T416" s="61">
        <v>225.51900000000001</v>
      </c>
      <c r="U416" s="61">
        <v>15.616</v>
      </c>
      <c r="V416" s="61">
        <v>6.681</v>
      </c>
      <c r="W416" s="61">
        <v>25.9</v>
      </c>
      <c r="X416" s="61">
        <v>170.16399999999999</v>
      </c>
      <c r="Y416" s="61">
        <v>33.402000000000001</v>
      </c>
      <c r="Z416" s="61">
        <v>80.617000000000004</v>
      </c>
      <c r="AA416" s="61">
        <v>284.18400000000003</v>
      </c>
      <c r="AB416" s="60">
        <v>557.90099999999995</v>
      </c>
      <c r="AC416" s="62"/>
      <c r="AD416" s="61"/>
      <c r="AE416" s="61"/>
      <c r="AF416" s="61"/>
      <c r="AG416" s="61"/>
      <c r="AH416" s="61"/>
      <c r="AI416" s="61"/>
      <c r="AJ416" s="61"/>
      <c r="AK416" s="62"/>
      <c r="AL416" s="63"/>
      <c r="AM416" s="64"/>
      <c r="AN416" s="65" t="e">
        <v>#N/A</v>
      </c>
      <c r="AO416" s="61" t="e">
        <v>#N/A</v>
      </c>
      <c r="AP416" s="61" t="e">
        <v>#N/A</v>
      </c>
      <c r="AQ416" s="61" t="e">
        <v>#N/A</v>
      </c>
      <c r="AR416" s="61" t="e">
        <v>#N/A</v>
      </c>
      <c r="AS416" s="61" t="e">
        <v>#N/A</v>
      </c>
      <c r="AT416" s="61" t="e">
        <v>#N/A</v>
      </c>
      <c r="AU416" s="61" t="e">
        <v>#N/A</v>
      </c>
      <c r="AV416" s="61" t="e">
        <v>#N/A</v>
      </c>
      <c r="AW416" s="61" t="e">
        <v>#N/A</v>
      </c>
      <c r="AX416" s="65" t="e">
        <v>#N/A</v>
      </c>
      <c r="AY416" s="66">
        <v>1.8080000000000001</v>
      </c>
      <c r="AZ416" s="61">
        <v>5.4370000000000003</v>
      </c>
      <c r="BA416" s="61">
        <v>34.521000000000001</v>
      </c>
      <c r="BB416" s="61">
        <v>41.765999999999998</v>
      </c>
      <c r="BC416" s="61">
        <v>5.2999999999999999E-2</v>
      </c>
      <c r="BD416" s="61">
        <v>1.1839999999999999</v>
      </c>
      <c r="BE416" s="61">
        <v>0.33500000000000002</v>
      </c>
      <c r="BF416" s="61" t="s">
        <v>122</v>
      </c>
      <c r="BG416" s="61">
        <v>5.7030000000000003</v>
      </c>
      <c r="BH416" s="61">
        <v>2.609</v>
      </c>
      <c r="BI416" s="61">
        <v>0.159</v>
      </c>
      <c r="BJ416" s="61">
        <v>8.4710000000000001</v>
      </c>
      <c r="BK416" s="66">
        <v>10.042</v>
      </c>
      <c r="BL416" s="67">
        <v>45.067999999999998</v>
      </c>
      <c r="BM416" s="61">
        <v>4.7530000000000001</v>
      </c>
      <c r="BN416" s="61" t="s">
        <v>121</v>
      </c>
      <c r="BO416" s="61" t="s">
        <v>121</v>
      </c>
      <c r="BP416" s="61">
        <v>49.820999999999998</v>
      </c>
      <c r="BQ416" s="61">
        <v>224.27099999999999</v>
      </c>
      <c r="BR416" s="61">
        <v>12.238</v>
      </c>
      <c r="BS416" s="61">
        <v>0.83499999999999996</v>
      </c>
      <c r="BT416" s="61">
        <v>25.9</v>
      </c>
      <c r="BU416" s="61">
        <v>15.077999999999999</v>
      </c>
      <c r="BV416" s="61">
        <v>19.937000000000001</v>
      </c>
      <c r="BW416" s="61">
        <v>35.015000000000001</v>
      </c>
      <c r="BX416" s="67">
        <v>298.25900000000001</v>
      </c>
      <c r="BY416" s="68">
        <v>121486</v>
      </c>
      <c r="BZ416" s="68">
        <v>123429</v>
      </c>
      <c r="CA416" s="69">
        <v>8201</v>
      </c>
      <c r="CB416" s="68">
        <v>123800</v>
      </c>
      <c r="CC416" s="68">
        <v>7541</v>
      </c>
      <c r="CD416" s="68">
        <v>85766</v>
      </c>
      <c r="CE416" s="64"/>
      <c r="CF416" s="64"/>
      <c r="CG416" s="70">
        <f t="shared" si="32"/>
        <v>5199.6000000000004</v>
      </c>
      <c r="CH416" s="70">
        <f t="shared" si="33"/>
        <v>344.44200000000001</v>
      </c>
      <c r="CI416" s="70">
        <f t="shared" si="34"/>
        <v>316.72199999999998</v>
      </c>
      <c r="CJ416" s="70">
        <f t="shared" si="35"/>
        <v>5102.4120000000003</v>
      </c>
      <c r="CK416" s="70">
        <f t="shared" si="35"/>
        <v>5184.018</v>
      </c>
      <c r="CL416" s="70">
        <f t="shared" si="31"/>
        <v>3602.172</v>
      </c>
      <c r="CM416" s="61"/>
      <c r="CN416" s="61"/>
      <c r="CO416" s="61"/>
      <c r="CP416" s="61"/>
      <c r="CQ416" s="61"/>
      <c r="CR416" s="61"/>
      <c r="CS416" s="61"/>
      <c r="CT416" s="61"/>
      <c r="CU416" s="61"/>
      <c r="CV416" s="61"/>
      <c r="CW416" s="61"/>
      <c r="CX416" s="61"/>
      <c r="CY416" s="61"/>
      <c r="CZ416" s="61"/>
      <c r="DA416" s="61"/>
      <c r="DB416" s="61"/>
      <c r="DC416" s="61"/>
      <c r="DD416" s="61"/>
      <c r="DE416" s="61"/>
      <c r="DF416" s="61"/>
      <c r="DG416" s="61"/>
      <c r="DH416" s="61"/>
      <c r="DI416" s="61"/>
      <c r="DJ416" s="61"/>
      <c r="DK416" s="61"/>
      <c r="DL416" s="61"/>
      <c r="DM416" s="61"/>
      <c r="DN416" s="61"/>
      <c r="DO416" s="61"/>
      <c r="DP416" s="61"/>
      <c r="DQ416" s="61"/>
      <c r="DR416" s="61"/>
      <c r="DS416" s="61"/>
      <c r="DT416" s="61"/>
      <c r="DU416" s="61"/>
      <c r="DV416" s="61"/>
      <c r="DW416" s="61"/>
      <c r="DX416" s="61"/>
      <c r="DY416" s="61"/>
      <c r="DZ416" s="61"/>
      <c r="EA416" s="61"/>
      <c r="EB416" s="61"/>
      <c r="EC416" s="61"/>
      <c r="ED416" s="61"/>
      <c r="EE416" s="61"/>
      <c r="EF416" s="61"/>
      <c r="EG416" s="61"/>
      <c r="EH416" s="61"/>
      <c r="EI416" s="61"/>
      <c r="EJ416" s="61"/>
      <c r="EK416" s="61"/>
      <c r="EL416" s="61"/>
      <c r="EM416" s="61"/>
      <c r="EN416" s="61"/>
      <c r="EO416" s="61"/>
      <c r="EP416" s="61"/>
      <c r="EQ416" s="61"/>
      <c r="ER416" s="61"/>
      <c r="ES416" s="61"/>
      <c r="ET416" s="61"/>
      <c r="EU416" s="61"/>
      <c r="EV416" s="61"/>
      <c r="EW416" s="61"/>
    </row>
    <row r="417" spans="1:153">
      <c r="A417" s="56">
        <v>39264</v>
      </c>
      <c r="B417" s="57">
        <v>2007</v>
      </c>
      <c r="C417" s="71">
        <v>6.7220000000000004</v>
      </c>
      <c r="D417" s="61">
        <v>9.1999999999999998E-2</v>
      </c>
      <c r="E417" s="61">
        <v>1237.2329999999999</v>
      </c>
      <c r="F417" s="61">
        <v>51.963999999999999</v>
      </c>
      <c r="G417" s="61">
        <v>6.63</v>
      </c>
      <c r="H417" s="61">
        <v>278.49</v>
      </c>
      <c r="I417" s="61">
        <v>925.56299999999999</v>
      </c>
      <c r="J417" s="61">
        <v>-647.07399999999996</v>
      </c>
      <c r="K417" s="61"/>
      <c r="L417" s="61"/>
      <c r="M417" s="61">
        <v>590.16</v>
      </c>
      <c r="N417" s="61">
        <v>24.786999999999999</v>
      </c>
      <c r="O417" s="71">
        <v>3.1629999999999998</v>
      </c>
      <c r="P417" s="60">
        <v>178.13399999999999</v>
      </c>
      <c r="Q417" s="61">
        <v>83.123999999999995</v>
      </c>
      <c r="R417" s="61">
        <v>295.65300000000002</v>
      </c>
      <c r="S417" s="61">
        <v>561.99099999999999</v>
      </c>
      <c r="T417" s="61">
        <v>222.17</v>
      </c>
      <c r="U417" s="61">
        <v>15.849</v>
      </c>
      <c r="V417" s="61">
        <v>6.9850000000000003</v>
      </c>
      <c r="W417" s="61">
        <v>21.332999999999998</v>
      </c>
      <c r="X417" s="61">
        <v>178.13399999999999</v>
      </c>
      <c r="Y417" s="61">
        <v>34.395000000000003</v>
      </c>
      <c r="Z417" s="61">
        <v>82.563000000000002</v>
      </c>
      <c r="AA417" s="61">
        <v>295.09199999999998</v>
      </c>
      <c r="AB417" s="60">
        <v>561.42999999999995</v>
      </c>
      <c r="AC417" s="62"/>
      <c r="AD417" s="61"/>
      <c r="AE417" s="61"/>
      <c r="AF417" s="61"/>
      <c r="AG417" s="61"/>
      <c r="AH417" s="61"/>
      <c r="AI417" s="61"/>
      <c r="AJ417" s="61"/>
      <c r="AK417" s="62"/>
      <c r="AL417" s="63"/>
      <c r="AM417" s="64"/>
      <c r="AN417" s="65" t="e">
        <v>#N/A</v>
      </c>
      <c r="AO417" s="61" t="e">
        <v>#N/A</v>
      </c>
      <c r="AP417" s="61" t="e">
        <v>#N/A</v>
      </c>
      <c r="AQ417" s="61" t="e">
        <v>#N/A</v>
      </c>
      <c r="AR417" s="61" t="e">
        <v>#N/A</v>
      </c>
      <c r="AS417" s="61" t="e">
        <v>#N/A</v>
      </c>
      <c r="AT417" s="61" t="e">
        <v>#N/A</v>
      </c>
      <c r="AU417" s="61" t="e">
        <v>#N/A</v>
      </c>
      <c r="AV417" s="61" t="e">
        <v>#N/A</v>
      </c>
      <c r="AW417" s="61" t="e">
        <v>#N/A</v>
      </c>
      <c r="AX417" s="65" t="e">
        <v>#N/A</v>
      </c>
      <c r="AY417" s="66">
        <v>1.8680000000000001</v>
      </c>
      <c r="AZ417" s="61">
        <v>5.7080000000000002</v>
      </c>
      <c r="BA417" s="61">
        <v>35.670999999999999</v>
      </c>
      <c r="BB417" s="61">
        <v>43.247999999999998</v>
      </c>
      <c r="BC417" s="61">
        <v>1.6E-2</v>
      </c>
      <c r="BD417" s="61">
        <v>1.2230000000000001</v>
      </c>
      <c r="BE417" s="61">
        <v>0.35099999999999998</v>
      </c>
      <c r="BF417" s="61" t="s">
        <v>122</v>
      </c>
      <c r="BG417" s="61">
        <v>5.8650000000000002</v>
      </c>
      <c r="BH417" s="61">
        <v>2.74</v>
      </c>
      <c r="BI417" s="61">
        <v>0.16700000000000001</v>
      </c>
      <c r="BJ417" s="61">
        <v>8.7720000000000002</v>
      </c>
      <c r="BK417" s="66">
        <v>10.362</v>
      </c>
      <c r="BL417" s="67">
        <v>47.279000000000003</v>
      </c>
      <c r="BM417" s="61">
        <v>3.1629999999999998</v>
      </c>
      <c r="BN417" s="61" t="s">
        <v>121</v>
      </c>
      <c r="BO417" s="61" t="s">
        <v>121</v>
      </c>
      <c r="BP417" s="61">
        <v>50.441000000000003</v>
      </c>
      <c r="BQ417" s="61">
        <v>221.274</v>
      </c>
      <c r="BR417" s="61">
        <v>12.359</v>
      </c>
      <c r="BS417" s="61">
        <v>0.84799999999999998</v>
      </c>
      <c r="BT417" s="61">
        <v>21.332999999999998</v>
      </c>
      <c r="BU417" s="61">
        <v>15.635</v>
      </c>
      <c r="BV417" s="61">
        <v>20.529</v>
      </c>
      <c r="BW417" s="61">
        <v>36.164000000000001</v>
      </c>
      <c r="BX417" s="67">
        <v>291.97899999999998</v>
      </c>
      <c r="BY417" s="68">
        <v>128505</v>
      </c>
      <c r="BZ417" s="68">
        <v>124811</v>
      </c>
      <c r="CA417" s="69">
        <v>10386</v>
      </c>
      <c r="CB417" s="68">
        <v>130297</v>
      </c>
      <c r="CC417" s="68">
        <v>7583</v>
      </c>
      <c r="CD417" s="68">
        <v>88436</v>
      </c>
      <c r="CE417" s="64"/>
      <c r="CF417" s="64"/>
      <c r="CG417" s="70">
        <f t="shared" si="32"/>
        <v>5472.4740000000002</v>
      </c>
      <c r="CH417" s="70">
        <f t="shared" si="33"/>
        <v>436.21199999999999</v>
      </c>
      <c r="CI417" s="70">
        <f t="shared" si="34"/>
        <v>318.48599999999999</v>
      </c>
      <c r="CJ417" s="70">
        <f t="shared" si="35"/>
        <v>5397.21</v>
      </c>
      <c r="CK417" s="70">
        <f t="shared" si="35"/>
        <v>5242.0619999999999</v>
      </c>
      <c r="CL417" s="70">
        <f t="shared" si="31"/>
        <v>3714.3119999999999</v>
      </c>
      <c r="CM417" s="61"/>
      <c r="CN417" s="61"/>
      <c r="CO417" s="61"/>
      <c r="CP417" s="61"/>
      <c r="CQ417" s="61"/>
      <c r="CR417" s="61"/>
      <c r="CS417" s="61"/>
      <c r="CT417" s="61"/>
      <c r="CU417" s="61"/>
      <c r="CV417" s="61"/>
      <c r="CW417" s="61"/>
      <c r="CX417" s="61"/>
      <c r="CY417" s="61"/>
      <c r="CZ417" s="61"/>
      <c r="DA417" s="61"/>
      <c r="DB417" s="61"/>
      <c r="DC417" s="61"/>
      <c r="DD417" s="61"/>
      <c r="DE417" s="61"/>
      <c r="DF417" s="61"/>
      <c r="DG417" s="61"/>
      <c r="DH417" s="61"/>
      <c r="DI417" s="61"/>
      <c r="DJ417" s="61"/>
      <c r="DK417" s="61"/>
      <c r="DL417" s="61"/>
      <c r="DM417" s="61"/>
      <c r="DN417" s="61"/>
      <c r="DO417" s="61"/>
      <c r="DP417" s="61"/>
      <c r="DQ417" s="61"/>
      <c r="DR417" s="61"/>
      <c r="DS417" s="61"/>
      <c r="DT417" s="61"/>
      <c r="DU417" s="61"/>
      <c r="DV417" s="61"/>
      <c r="DW417" s="61"/>
      <c r="DX417" s="61"/>
      <c r="DY417" s="61"/>
      <c r="DZ417" s="61"/>
      <c r="EA417" s="61"/>
      <c r="EB417" s="61"/>
      <c r="EC417" s="61"/>
      <c r="ED417" s="61"/>
      <c r="EE417" s="61"/>
      <c r="EF417" s="61"/>
      <c r="EG417" s="61"/>
      <c r="EH417" s="61"/>
      <c r="EI417" s="61"/>
      <c r="EJ417" s="61"/>
      <c r="EK417" s="61"/>
      <c r="EL417" s="61"/>
      <c r="EM417" s="61"/>
      <c r="EN417" s="61"/>
      <c r="EO417" s="61"/>
      <c r="EP417" s="61"/>
      <c r="EQ417" s="61"/>
      <c r="ER417" s="61"/>
      <c r="ES417" s="61"/>
      <c r="ET417" s="61"/>
      <c r="EU417" s="61"/>
      <c r="EV417" s="61"/>
      <c r="EW417" s="61"/>
    </row>
    <row r="418" spans="1:153">
      <c r="A418" s="56">
        <v>39295</v>
      </c>
      <c r="B418" s="57">
        <v>2007</v>
      </c>
      <c r="C418" s="71">
        <v>7.0510000000000002</v>
      </c>
      <c r="D418" s="61">
        <v>9.6000000000000002E-2</v>
      </c>
      <c r="E418" s="61">
        <v>1297.8520000000001</v>
      </c>
      <c r="F418" s="61">
        <v>54.51</v>
      </c>
      <c r="G418" s="61">
        <v>6.9550000000000001</v>
      </c>
      <c r="H418" s="61">
        <v>422.36399999999998</v>
      </c>
      <c r="I418" s="61">
        <v>666.22500000000002</v>
      </c>
      <c r="J418" s="61">
        <v>-243.86199999999999</v>
      </c>
      <c r="K418" s="61"/>
      <c r="L418" s="61"/>
      <c r="M418" s="61">
        <v>1053.991</v>
      </c>
      <c r="N418" s="61">
        <v>44.268000000000001</v>
      </c>
      <c r="O418" s="71">
        <v>5.6479999999999997</v>
      </c>
      <c r="P418" s="60">
        <v>174.785</v>
      </c>
      <c r="Q418" s="61">
        <v>86.361999999999995</v>
      </c>
      <c r="R418" s="61">
        <v>295.52300000000002</v>
      </c>
      <c r="S418" s="61">
        <v>542.00300000000004</v>
      </c>
      <c r="T418" s="61">
        <v>197.09200000000001</v>
      </c>
      <c r="U418" s="61">
        <v>15.891</v>
      </c>
      <c r="V418" s="61">
        <v>6.8159999999999998</v>
      </c>
      <c r="W418" s="61">
        <v>26.681000000000001</v>
      </c>
      <c r="X418" s="61">
        <v>174.785</v>
      </c>
      <c r="Y418" s="61">
        <v>34.377000000000002</v>
      </c>
      <c r="Z418" s="61">
        <v>86.584000000000003</v>
      </c>
      <c r="AA418" s="61">
        <v>295.74599999999998</v>
      </c>
      <c r="AB418" s="60">
        <v>542.226</v>
      </c>
      <c r="AC418" s="62"/>
      <c r="AD418" s="61"/>
      <c r="AE418" s="61"/>
      <c r="AF418" s="61"/>
      <c r="AG418" s="61"/>
      <c r="AH418" s="61"/>
      <c r="AI418" s="61"/>
      <c r="AJ418" s="61"/>
      <c r="AK418" s="62"/>
      <c r="AL418" s="63"/>
      <c r="AM418" s="64"/>
      <c r="AN418" s="65" t="e">
        <v>#N/A</v>
      </c>
      <c r="AO418" s="61" t="e">
        <v>#N/A</v>
      </c>
      <c r="AP418" s="61" t="e">
        <v>#N/A</v>
      </c>
      <c r="AQ418" s="61" t="e">
        <v>#N/A</v>
      </c>
      <c r="AR418" s="61" t="e">
        <v>#N/A</v>
      </c>
      <c r="AS418" s="61" t="e">
        <v>#N/A</v>
      </c>
      <c r="AT418" s="61" t="e">
        <v>#N/A</v>
      </c>
      <c r="AU418" s="61" t="e">
        <v>#N/A</v>
      </c>
      <c r="AV418" s="61" t="e">
        <v>#N/A</v>
      </c>
      <c r="AW418" s="61" t="e">
        <v>#N/A</v>
      </c>
      <c r="AX418" s="65" t="e">
        <v>#N/A</v>
      </c>
      <c r="AY418" s="66">
        <v>1.8680000000000001</v>
      </c>
      <c r="AZ418" s="61">
        <v>5.649</v>
      </c>
      <c r="BA418" s="61">
        <v>35.670999999999999</v>
      </c>
      <c r="BB418" s="61">
        <v>43.189</v>
      </c>
      <c r="BC418" s="61">
        <v>-4.0000000000000001E-3</v>
      </c>
      <c r="BD418" s="61">
        <v>1.2230000000000001</v>
      </c>
      <c r="BE418" s="61">
        <v>0.34799999999999998</v>
      </c>
      <c r="BF418" s="61" t="s">
        <v>122</v>
      </c>
      <c r="BG418" s="61">
        <v>5.8769999999999998</v>
      </c>
      <c r="BH418" s="61">
        <v>2.613</v>
      </c>
      <c r="BI418" s="61">
        <v>0.16800000000000001</v>
      </c>
      <c r="BJ418" s="61">
        <v>8.6579999999999995</v>
      </c>
      <c r="BK418" s="66">
        <v>10.224</v>
      </c>
      <c r="BL418" s="67">
        <v>47.622</v>
      </c>
      <c r="BM418" s="61">
        <v>5.6479999999999997</v>
      </c>
      <c r="BN418" s="61" t="s">
        <v>121</v>
      </c>
      <c r="BO418" s="61" t="s">
        <v>121</v>
      </c>
      <c r="BP418" s="61">
        <v>53.27</v>
      </c>
      <c r="BQ418" s="61">
        <v>196.34299999999999</v>
      </c>
      <c r="BR418" s="61">
        <v>12.4</v>
      </c>
      <c r="BS418" s="61">
        <v>0.74299999999999999</v>
      </c>
      <c r="BT418" s="61">
        <v>26.681000000000001</v>
      </c>
      <c r="BU418" s="61">
        <v>15.705</v>
      </c>
      <c r="BV418" s="61">
        <v>20.614999999999998</v>
      </c>
      <c r="BW418" s="61">
        <v>36.320999999999998</v>
      </c>
      <c r="BX418" s="67">
        <v>272.48700000000002</v>
      </c>
      <c r="BY418" s="68">
        <v>131569</v>
      </c>
      <c r="BZ418" s="68">
        <v>128516</v>
      </c>
      <c r="CA418" s="69">
        <v>10968</v>
      </c>
      <c r="CB418" s="68">
        <v>134569</v>
      </c>
      <c r="CC418" s="68">
        <v>9749</v>
      </c>
      <c r="CD418" s="68">
        <v>92815</v>
      </c>
      <c r="CE418" s="64"/>
      <c r="CF418" s="64"/>
      <c r="CG418" s="70">
        <f t="shared" si="32"/>
        <v>5651.8980000000001</v>
      </c>
      <c r="CH418" s="70">
        <f t="shared" si="33"/>
        <v>460.65600000000001</v>
      </c>
      <c r="CI418" s="70">
        <f t="shared" si="34"/>
        <v>409.45800000000003</v>
      </c>
      <c r="CJ418" s="70">
        <f t="shared" si="35"/>
        <v>5525.8980000000001</v>
      </c>
      <c r="CK418" s="70">
        <f t="shared" si="35"/>
        <v>5397.6719999999996</v>
      </c>
      <c r="CL418" s="70">
        <f t="shared" si="31"/>
        <v>3898.23</v>
      </c>
      <c r="CM418" s="61"/>
      <c r="CN418" s="61"/>
      <c r="CO418" s="61"/>
      <c r="CP418" s="61"/>
      <c r="CQ418" s="61"/>
      <c r="CR418" s="61"/>
      <c r="CS418" s="61"/>
      <c r="CT418" s="61"/>
      <c r="CU418" s="61"/>
      <c r="CV418" s="61"/>
      <c r="CW418" s="61"/>
      <c r="CX418" s="61"/>
      <c r="CY418" s="61"/>
      <c r="CZ418" s="61"/>
      <c r="DA418" s="61"/>
      <c r="DB418" s="61"/>
      <c r="DC418" s="61"/>
      <c r="DD418" s="61"/>
      <c r="DE418" s="61"/>
      <c r="DF418" s="61"/>
      <c r="DG418" s="61"/>
      <c r="DH418" s="61"/>
      <c r="DI418" s="61"/>
      <c r="DJ418" s="61"/>
      <c r="DK418" s="61"/>
      <c r="DL418" s="61"/>
      <c r="DM418" s="61"/>
      <c r="DN418" s="61"/>
      <c r="DO418" s="61"/>
      <c r="DP418" s="61"/>
      <c r="DQ418" s="61"/>
      <c r="DR418" s="61"/>
      <c r="DS418" s="61"/>
      <c r="DT418" s="61"/>
      <c r="DU418" s="61"/>
      <c r="DV418" s="61"/>
      <c r="DW418" s="61"/>
      <c r="DX418" s="61"/>
      <c r="DY418" s="61"/>
      <c r="DZ418" s="61"/>
      <c r="EA418" s="61"/>
      <c r="EB418" s="61"/>
      <c r="EC418" s="61"/>
      <c r="ED418" s="61"/>
      <c r="EE418" s="61"/>
      <c r="EF418" s="61"/>
      <c r="EG418" s="61"/>
      <c r="EH418" s="61"/>
      <c r="EI418" s="61"/>
      <c r="EJ418" s="61"/>
      <c r="EK418" s="61"/>
      <c r="EL418" s="61"/>
      <c r="EM418" s="61"/>
      <c r="EN418" s="61"/>
      <c r="EO418" s="61"/>
      <c r="EP418" s="61"/>
      <c r="EQ418" s="61"/>
      <c r="ER418" s="61"/>
      <c r="ES418" s="61"/>
      <c r="ET418" s="61"/>
      <c r="EU418" s="61"/>
      <c r="EV418" s="61"/>
      <c r="EW418" s="61"/>
    </row>
    <row r="419" spans="1:153">
      <c r="A419" s="56">
        <v>39326</v>
      </c>
      <c r="B419" s="57">
        <v>2007</v>
      </c>
      <c r="C419" s="71">
        <v>6.6479999999999997</v>
      </c>
      <c r="D419" s="61">
        <v>9.0999999999999998E-2</v>
      </c>
      <c r="E419" s="61">
        <v>1223.6659999999999</v>
      </c>
      <c r="F419" s="61">
        <v>51.393999999999998</v>
      </c>
      <c r="G419" s="61">
        <v>6.5579999999999998</v>
      </c>
      <c r="H419" s="61">
        <v>309.56099999999998</v>
      </c>
      <c r="I419" s="61">
        <v>532.12599999999998</v>
      </c>
      <c r="J419" s="61">
        <v>-222.565</v>
      </c>
      <c r="K419" s="61"/>
      <c r="L419" s="61"/>
      <c r="M419" s="61">
        <v>1001.101</v>
      </c>
      <c r="N419" s="61">
        <v>42.045999999999999</v>
      </c>
      <c r="O419" s="71">
        <v>5.3650000000000002</v>
      </c>
      <c r="P419" s="60">
        <v>169.547</v>
      </c>
      <c r="Q419" s="61">
        <v>84.912999999999997</v>
      </c>
      <c r="R419" s="61">
        <v>287.60300000000001</v>
      </c>
      <c r="S419" s="61">
        <v>483.28100000000001</v>
      </c>
      <c r="T419" s="61">
        <v>145.715</v>
      </c>
      <c r="U419" s="61">
        <v>15.414</v>
      </c>
      <c r="V419" s="61">
        <v>6.2130000000000001</v>
      </c>
      <c r="W419" s="61">
        <v>28.335000000000001</v>
      </c>
      <c r="X419" s="61">
        <v>169.547</v>
      </c>
      <c r="Y419" s="61">
        <v>33.143000000000001</v>
      </c>
      <c r="Z419" s="61">
        <v>83.95</v>
      </c>
      <c r="AA419" s="61">
        <v>286.64</v>
      </c>
      <c r="AB419" s="60">
        <v>482.31700000000001</v>
      </c>
      <c r="AC419" s="62"/>
      <c r="AD419" s="61"/>
      <c r="AE419" s="61"/>
      <c r="AF419" s="61"/>
      <c r="AG419" s="61"/>
      <c r="AH419" s="61"/>
      <c r="AI419" s="61"/>
      <c r="AJ419" s="61"/>
      <c r="AK419" s="62"/>
      <c r="AL419" s="63"/>
      <c r="AM419" s="64"/>
      <c r="AN419" s="65" t="e">
        <v>#N/A</v>
      </c>
      <c r="AO419" s="61" t="e">
        <v>#N/A</v>
      </c>
      <c r="AP419" s="61" t="e">
        <v>#N/A</v>
      </c>
      <c r="AQ419" s="61" t="e">
        <v>#N/A</v>
      </c>
      <c r="AR419" s="61" t="e">
        <v>#N/A</v>
      </c>
      <c r="AS419" s="61" t="e">
        <v>#N/A</v>
      </c>
      <c r="AT419" s="61" t="e">
        <v>#N/A</v>
      </c>
      <c r="AU419" s="61" t="e">
        <v>#N/A</v>
      </c>
      <c r="AV419" s="61" t="e">
        <v>#N/A</v>
      </c>
      <c r="AW419" s="61" t="e">
        <v>#N/A</v>
      </c>
      <c r="AX419" s="65" t="e">
        <v>#N/A</v>
      </c>
      <c r="AY419" s="66">
        <v>1.8080000000000001</v>
      </c>
      <c r="AZ419" s="61">
        <v>5.1520000000000001</v>
      </c>
      <c r="BA419" s="61">
        <v>34.521000000000001</v>
      </c>
      <c r="BB419" s="61">
        <v>41.481000000000002</v>
      </c>
      <c r="BC419" s="61">
        <v>7.0000000000000001E-3</v>
      </c>
      <c r="BD419" s="61">
        <v>1.1839999999999999</v>
      </c>
      <c r="BE419" s="61">
        <v>0.317</v>
      </c>
      <c r="BF419" s="61" t="s">
        <v>122</v>
      </c>
      <c r="BG419" s="61">
        <v>5.6929999999999996</v>
      </c>
      <c r="BH419" s="61">
        <v>2.5030000000000001</v>
      </c>
      <c r="BI419" s="61">
        <v>0.16200000000000001</v>
      </c>
      <c r="BJ419" s="61">
        <v>8.3569999999999993</v>
      </c>
      <c r="BK419" s="66">
        <v>9.8650000000000002</v>
      </c>
      <c r="BL419" s="67">
        <v>45.74</v>
      </c>
      <c r="BM419" s="61">
        <v>5.3650000000000002</v>
      </c>
      <c r="BN419" s="61" t="s">
        <v>121</v>
      </c>
      <c r="BO419" s="61" t="s">
        <v>121</v>
      </c>
      <c r="BP419" s="61">
        <v>51.104999999999997</v>
      </c>
      <c r="BQ419" s="61">
        <v>144.958</v>
      </c>
      <c r="BR419" s="61">
        <v>12.036</v>
      </c>
      <c r="BS419" s="61">
        <v>0.67400000000000004</v>
      </c>
      <c r="BT419" s="61">
        <v>28.335000000000001</v>
      </c>
      <c r="BU419" s="61">
        <v>15.311999999999999</v>
      </c>
      <c r="BV419" s="61">
        <v>19.893999999999998</v>
      </c>
      <c r="BW419" s="61">
        <v>35.206000000000003</v>
      </c>
      <c r="BX419" s="67">
        <v>221.208</v>
      </c>
      <c r="BY419" s="68">
        <v>124744</v>
      </c>
      <c r="BZ419" s="68">
        <v>124818</v>
      </c>
      <c r="CA419" s="69">
        <v>8086</v>
      </c>
      <c r="CB419" s="68">
        <v>134236</v>
      </c>
      <c r="CC419" s="68">
        <v>8345</v>
      </c>
      <c r="CD419" s="68">
        <v>87567</v>
      </c>
      <c r="CE419" s="64"/>
      <c r="CF419" s="64"/>
      <c r="CG419" s="70">
        <f t="shared" si="32"/>
        <v>5637.9120000000003</v>
      </c>
      <c r="CH419" s="70">
        <f t="shared" si="33"/>
        <v>339.61200000000002</v>
      </c>
      <c r="CI419" s="70">
        <f t="shared" si="34"/>
        <v>350.49</v>
      </c>
      <c r="CJ419" s="70">
        <f t="shared" si="35"/>
        <v>5239.2479999999996</v>
      </c>
      <c r="CK419" s="70">
        <f t="shared" si="35"/>
        <v>5242.3559999999998</v>
      </c>
      <c r="CL419" s="70">
        <f t="shared" si="31"/>
        <v>3677.8139999999999</v>
      </c>
      <c r="CM419" s="61"/>
      <c r="CN419" s="61"/>
      <c r="CO419" s="61"/>
      <c r="CP419" s="61"/>
      <c r="CQ419" s="61"/>
      <c r="CR419" s="61"/>
      <c r="CS419" s="61"/>
      <c r="CT419" s="61"/>
      <c r="CU419" s="61"/>
      <c r="CV419" s="61"/>
      <c r="CW419" s="61"/>
      <c r="CX419" s="61"/>
      <c r="CY419" s="61"/>
      <c r="CZ419" s="61"/>
      <c r="DA419" s="61"/>
      <c r="DB419" s="61"/>
      <c r="DC419" s="61"/>
      <c r="DD419" s="61"/>
      <c r="DE419" s="61"/>
      <c r="DF419" s="61"/>
      <c r="DG419" s="61"/>
      <c r="DH419" s="61"/>
      <c r="DI419" s="61"/>
      <c r="DJ419" s="61"/>
      <c r="DK419" s="61"/>
      <c r="DL419" s="61"/>
      <c r="DM419" s="61"/>
      <c r="DN419" s="61"/>
      <c r="DO419" s="61"/>
      <c r="DP419" s="61"/>
      <c r="DQ419" s="61"/>
      <c r="DR419" s="61"/>
      <c r="DS419" s="61"/>
      <c r="DT419" s="61"/>
      <c r="DU419" s="61"/>
      <c r="DV419" s="61"/>
      <c r="DW419" s="61"/>
      <c r="DX419" s="61"/>
      <c r="DY419" s="61"/>
      <c r="DZ419" s="61"/>
      <c r="EA419" s="61"/>
      <c r="EB419" s="61"/>
      <c r="EC419" s="61"/>
      <c r="ED419" s="61"/>
      <c r="EE419" s="61"/>
      <c r="EF419" s="61"/>
      <c r="EG419" s="61"/>
      <c r="EH419" s="61"/>
      <c r="EI419" s="61"/>
      <c r="EJ419" s="61"/>
      <c r="EK419" s="61"/>
      <c r="EL419" s="61"/>
      <c r="EM419" s="61"/>
      <c r="EN419" s="61"/>
      <c r="EO419" s="61"/>
      <c r="EP419" s="61"/>
      <c r="EQ419" s="61"/>
      <c r="ER419" s="61"/>
      <c r="ES419" s="61"/>
      <c r="ET419" s="61"/>
      <c r="EU419" s="61"/>
      <c r="EV419" s="61"/>
      <c r="EW419" s="61"/>
    </row>
    <row r="420" spans="1:153">
      <c r="A420" s="56">
        <v>39356</v>
      </c>
      <c r="B420" s="57">
        <v>2007</v>
      </c>
      <c r="C420" s="71">
        <v>6.4530000000000003</v>
      </c>
      <c r="D420" s="61">
        <v>8.7999999999999995E-2</v>
      </c>
      <c r="E420" s="61">
        <v>1187.8</v>
      </c>
      <c r="F420" s="61">
        <v>49.887999999999998</v>
      </c>
      <c r="G420" s="61">
        <v>6.3650000000000002</v>
      </c>
      <c r="H420" s="61">
        <v>442.459</v>
      </c>
      <c r="I420" s="61">
        <v>602.47299999999996</v>
      </c>
      <c r="J420" s="61">
        <v>-160.01400000000001</v>
      </c>
      <c r="K420" s="61"/>
      <c r="L420" s="61"/>
      <c r="M420" s="61">
        <v>1027.7860000000001</v>
      </c>
      <c r="N420" s="61">
        <v>43.167000000000002</v>
      </c>
      <c r="O420" s="71">
        <v>5.508</v>
      </c>
      <c r="P420" s="60">
        <v>174.97</v>
      </c>
      <c r="Q420" s="61">
        <v>89.501000000000005</v>
      </c>
      <c r="R420" s="61">
        <v>299.416</v>
      </c>
      <c r="S420" s="61">
        <v>500.56200000000001</v>
      </c>
      <c r="T420" s="61">
        <v>146.24799999999999</v>
      </c>
      <c r="U420" s="61">
        <v>15.989000000000001</v>
      </c>
      <c r="V420" s="61">
        <v>5.5350000000000001</v>
      </c>
      <c r="W420" s="61">
        <v>33.374000000000002</v>
      </c>
      <c r="X420" s="61">
        <v>174.97</v>
      </c>
      <c r="Y420" s="61">
        <v>34.945</v>
      </c>
      <c r="Z420" s="61">
        <v>92.472999999999999</v>
      </c>
      <c r="AA420" s="61">
        <v>302.38799999999998</v>
      </c>
      <c r="AB420" s="60">
        <v>503.53399999999999</v>
      </c>
      <c r="AC420" s="62"/>
      <c r="AD420" s="61"/>
      <c r="AE420" s="61"/>
      <c r="AF420" s="61"/>
      <c r="AG420" s="61"/>
      <c r="AH420" s="61"/>
      <c r="AI420" s="61"/>
      <c r="AJ420" s="61"/>
      <c r="AK420" s="62"/>
      <c r="AL420" s="63"/>
      <c r="AM420" s="64"/>
      <c r="AN420" s="65" t="e">
        <v>#N/A</v>
      </c>
      <c r="AO420" s="61" t="e">
        <v>#N/A</v>
      </c>
      <c r="AP420" s="61" t="e">
        <v>#N/A</v>
      </c>
      <c r="AQ420" s="61" t="e">
        <v>#N/A</v>
      </c>
      <c r="AR420" s="61" t="e">
        <v>#N/A</v>
      </c>
      <c r="AS420" s="61" t="e">
        <v>#N/A</v>
      </c>
      <c r="AT420" s="61" t="e">
        <v>#N/A</v>
      </c>
      <c r="AU420" s="61" t="e">
        <v>#N/A</v>
      </c>
      <c r="AV420" s="61" t="e">
        <v>#N/A</v>
      </c>
      <c r="AW420" s="61" t="e">
        <v>#N/A</v>
      </c>
      <c r="AX420" s="65" t="e">
        <v>#N/A</v>
      </c>
      <c r="AY420" s="66">
        <v>1.8680000000000001</v>
      </c>
      <c r="AZ420" s="61">
        <v>4.6959999999999997</v>
      </c>
      <c r="BA420" s="61">
        <v>35.670999999999999</v>
      </c>
      <c r="BB420" s="61">
        <v>42.234999999999999</v>
      </c>
      <c r="BC420" s="61">
        <v>3.6999999999999998E-2</v>
      </c>
      <c r="BD420" s="61">
        <v>1.2230000000000001</v>
      </c>
      <c r="BE420" s="61">
        <v>0.28899999999999998</v>
      </c>
      <c r="BF420" s="61" t="s">
        <v>122</v>
      </c>
      <c r="BG420" s="61">
        <v>5.9139999999999997</v>
      </c>
      <c r="BH420" s="61">
        <v>2.64</v>
      </c>
      <c r="BI420" s="61">
        <v>0.184</v>
      </c>
      <c r="BJ420" s="61">
        <v>8.7379999999999995</v>
      </c>
      <c r="BK420" s="66">
        <v>10.286</v>
      </c>
      <c r="BL420" s="67">
        <v>52.046999999999997</v>
      </c>
      <c r="BM420" s="61">
        <v>5.508</v>
      </c>
      <c r="BN420" s="61" t="s">
        <v>121</v>
      </c>
      <c r="BO420" s="61" t="s">
        <v>121</v>
      </c>
      <c r="BP420" s="61">
        <v>57.555</v>
      </c>
      <c r="BQ420" s="61">
        <v>145.256</v>
      </c>
      <c r="BR420" s="61">
        <v>12.499000000000001</v>
      </c>
      <c r="BS420" s="61">
        <v>0.48699999999999999</v>
      </c>
      <c r="BT420" s="61">
        <v>33.374000000000002</v>
      </c>
      <c r="BU420" s="61">
        <v>14.786</v>
      </c>
      <c r="BV420" s="61">
        <v>20.335999999999999</v>
      </c>
      <c r="BW420" s="61">
        <v>35.122</v>
      </c>
      <c r="BX420" s="67">
        <v>226.73699999999999</v>
      </c>
      <c r="BY420" s="68">
        <v>130449</v>
      </c>
      <c r="BZ420" s="68">
        <v>130601</v>
      </c>
      <c r="CA420" s="69">
        <v>8940</v>
      </c>
      <c r="CB420" s="68">
        <v>134431</v>
      </c>
      <c r="CC420" s="68">
        <v>8593</v>
      </c>
      <c r="CD420" s="68">
        <v>93566</v>
      </c>
      <c r="CE420" s="64"/>
      <c r="CF420" s="64"/>
      <c r="CG420" s="70">
        <f t="shared" si="32"/>
        <v>5646.1019999999999</v>
      </c>
      <c r="CH420" s="70">
        <f t="shared" si="33"/>
        <v>375.48</v>
      </c>
      <c r="CI420" s="70">
        <f t="shared" si="34"/>
        <v>360.90600000000001</v>
      </c>
      <c r="CJ420" s="70">
        <f t="shared" si="35"/>
        <v>5478.8580000000002</v>
      </c>
      <c r="CK420" s="70">
        <f t="shared" si="35"/>
        <v>5485.2420000000002</v>
      </c>
      <c r="CL420" s="70">
        <f t="shared" si="31"/>
        <v>3929.7719999999999</v>
      </c>
      <c r="CM420" s="61"/>
      <c r="CN420" s="61"/>
      <c r="CO420" s="61"/>
      <c r="CP420" s="61"/>
      <c r="CQ420" s="61"/>
      <c r="CR420" s="61"/>
      <c r="CS420" s="61"/>
      <c r="CT420" s="61"/>
      <c r="CU420" s="61"/>
      <c r="CV420" s="61"/>
      <c r="CW420" s="61"/>
      <c r="CX420" s="61"/>
      <c r="CY420" s="61"/>
      <c r="CZ420" s="61"/>
      <c r="DA420" s="61"/>
      <c r="DB420" s="61"/>
      <c r="DC420" s="61"/>
      <c r="DD420" s="61"/>
      <c r="DE420" s="61"/>
      <c r="DF420" s="61"/>
      <c r="DG420" s="61"/>
      <c r="DH420" s="61"/>
      <c r="DI420" s="61"/>
      <c r="DJ420" s="61"/>
      <c r="DK420" s="61"/>
      <c r="DL420" s="61"/>
      <c r="DM420" s="61"/>
      <c r="DN420" s="61"/>
      <c r="DO420" s="61"/>
      <c r="DP420" s="61"/>
      <c r="DQ420" s="61"/>
      <c r="DR420" s="61"/>
      <c r="DS420" s="61"/>
      <c r="DT420" s="61"/>
      <c r="DU420" s="61"/>
      <c r="DV420" s="61"/>
      <c r="DW420" s="61"/>
      <c r="DX420" s="61"/>
      <c r="DY420" s="61"/>
      <c r="DZ420" s="61"/>
      <c r="EA420" s="61"/>
      <c r="EB420" s="61"/>
      <c r="EC420" s="61"/>
      <c r="ED420" s="61"/>
      <c r="EE420" s="61"/>
      <c r="EF420" s="61"/>
      <c r="EG420" s="61"/>
      <c r="EH420" s="61"/>
      <c r="EI420" s="61"/>
      <c r="EJ420" s="61"/>
      <c r="EK420" s="61"/>
      <c r="EL420" s="61"/>
      <c r="EM420" s="61"/>
      <c r="EN420" s="61"/>
      <c r="EO420" s="61"/>
      <c r="EP420" s="61"/>
      <c r="EQ420" s="61"/>
      <c r="ER420" s="61"/>
      <c r="ES420" s="61"/>
      <c r="ET420" s="61"/>
      <c r="EU420" s="61"/>
      <c r="EV420" s="61"/>
      <c r="EW420" s="61"/>
    </row>
    <row r="421" spans="1:153">
      <c r="A421" s="56">
        <v>39387</v>
      </c>
      <c r="B421" s="57">
        <v>2007</v>
      </c>
      <c r="C421" s="71">
        <v>5.3940000000000001</v>
      </c>
      <c r="D421" s="61">
        <v>7.2999999999999995E-2</v>
      </c>
      <c r="E421" s="61">
        <v>992.88199999999995</v>
      </c>
      <c r="F421" s="61">
        <v>41.701000000000001</v>
      </c>
      <c r="G421" s="61">
        <v>5.3209999999999997</v>
      </c>
      <c r="H421" s="61">
        <v>253.36199999999999</v>
      </c>
      <c r="I421" s="61">
        <v>997.21799999999996</v>
      </c>
      <c r="J421" s="61">
        <v>-743.85599999999999</v>
      </c>
      <c r="K421" s="61"/>
      <c r="L421" s="61"/>
      <c r="M421" s="61">
        <v>249.02600000000001</v>
      </c>
      <c r="N421" s="61">
        <v>10.459</v>
      </c>
      <c r="O421" s="71">
        <v>1.335</v>
      </c>
      <c r="P421" s="60">
        <v>172.53200000000001</v>
      </c>
      <c r="Q421" s="61">
        <v>90.468999999999994</v>
      </c>
      <c r="R421" s="61">
        <v>297.82799999999997</v>
      </c>
      <c r="S421" s="61">
        <v>503.15</v>
      </c>
      <c r="T421" s="61">
        <v>155.001</v>
      </c>
      <c r="U421" s="61">
        <v>15.347</v>
      </c>
      <c r="V421" s="61">
        <v>4.3810000000000002</v>
      </c>
      <c r="W421" s="61">
        <v>30.591000000000001</v>
      </c>
      <c r="X421" s="61">
        <v>172.53200000000001</v>
      </c>
      <c r="Y421" s="61">
        <v>34.826999999999998</v>
      </c>
      <c r="Z421" s="61">
        <v>88.647000000000006</v>
      </c>
      <c r="AA421" s="61">
        <v>296.00599999999997</v>
      </c>
      <c r="AB421" s="60">
        <v>501.327</v>
      </c>
      <c r="AC421" s="62"/>
      <c r="AD421" s="61"/>
      <c r="AE421" s="61"/>
      <c r="AF421" s="61"/>
      <c r="AG421" s="61"/>
      <c r="AH421" s="61"/>
      <c r="AI421" s="61"/>
      <c r="AJ421" s="61"/>
      <c r="AK421" s="62"/>
      <c r="AL421" s="63"/>
      <c r="AM421" s="64"/>
      <c r="AN421" s="65" t="e">
        <v>#N/A</v>
      </c>
      <c r="AO421" s="61" t="e">
        <v>#N/A</v>
      </c>
      <c r="AP421" s="61" t="e">
        <v>#N/A</v>
      </c>
      <c r="AQ421" s="61" t="e">
        <v>#N/A</v>
      </c>
      <c r="AR421" s="61" t="e">
        <v>#N/A</v>
      </c>
      <c r="AS421" s="61" t="e">
        <v>#N/A</v>
      </c>
      <c r="AT421" s="61" t="e">
        <v>#N/A</v>
      </c>
      <c r="AU421" s="61" t="e">
        <v>#N/A</v>
      </c>
      <c r="AV421" s="61" t="e">
        <v>#N/A</v>
      </c>
      <c r="AW421" s="61" t="e">
        <v>#N/A</v>
      </c>
      <c r="AX421" s="65" t="e">
        <v>#N/A</v>
      </c>
      <c r="AY421" s="66">
        <v>1.8080000000000001</v>
      </c>
      <c r="AZ421" s="61">
        <v>3.8519999999999999</v>
      </c>
      <c r="BA421" s="61">
        <v>34.521000000000001</v>
      </c>
      <c r="BB421" s="61">
        <v>40.180999999999997</v>
      </c>
      <c r="BC421" s="61">
        <v>5.0999999999999997E-2</v>
      </c>
      <c r="BD421" s="61">
        <v>1.1839999999999999</v>
      </c>
      <c r="BE421" s="61">
        <v>0.23699999999999999</v>
      </c>
      <c r="BF421" s="61" t="s">
        <v>122</v>
      </c>
      <c r="BG421" s="61">
        <v>5.7919999999999998</v>
      </c>
      <c r="BH421" s="61">
        <v>2.6219999999999999</v>
      </c>
      <c r="BI421" s="61">
        <v>0.182</v>
      </c>
      <c r="BJ421" s="61">
        <v>8.5960000000000001</v>
      </c>
      <c r="BK421" s="66">
        <v>10.067</v>
      </c>
      <c r="BL421" s="67">
        <v>51.594999999999999</v>
      </c>
      <c r="BM421" s="61">
        <v>1.335</v>
      </c>
      <c r="BN421" s="61" t="s">
        <v>121</v>
      </c>
      <c r="BO421" s="61" t="s">
        <v>121</v>
      </c>
      <c r="BP421" s="61">
        <v>52.93</v>
      </c>
      <c r="BQ421" s="61">
        <v>153.738</v>
      </c>
      <c r="BR421" s="61">
        <v>11.968999999999999</v>
      </c>
      <c r="BS421" s="61">
        <v>0.24</v>
      </c>
      <c r="BT421" s="61">
        <v>30.591000000000001</v>
      </c>
      <c r="BU421" s="61">
        <v>15.172000000000001</v>
      </c>
      <c r="BV421" s="61">
        <v>20.545999999999999</v>
      </c>
      <c r="BW421" s="61">
        <v>35.718000000000004</v>
      </c>
      <c r="BX421" s="67">
        <v>232.25700000000001</v>
      </c>
      <c r="BY421" s="68">
        <v>128347</v>
      </c>
      <c r="BZ421" s="68">
        <v>122230</v>
      </c>
      <c r="CA421" s="69">
        <v>7357</v>
      </c>
      <c r="CB421" s="68">
        <v>134800</v>
      </c>
      <c r="CC421" s="68">
        <v>13105</v>
      </c>
      <c r="CD421" s="68">
        <v>93719</v>
      </c>
      <c r="CE421" s="64"/>
      <c r="CF421" s="64"/>
      <c r="CG421" s="70">
        <f t="shared" si="32"/>
        <v>5661.6</v>
      </c>
      <c r="CH421" s="70">
        <f t="shared" si="33"/>
        <v>308.99400000000003</v>
      </c>
      <c r="CI421" s="70">
        <f t="shared" si="34"/>
        <v>550.41</v>
      </c>
      <c r="CJ421" s="70">
        <f t="shared" si="35"/>
        <v>5390.5739999999996</v>
      </c>
      <c r="CK421" s="70">
        <f t="shared" si="35"/>
        <v>5133.66</v>
      </c>
      <c r="CL421" s="70">
        <f t="shared" si="31"/>
        <v>3936.1979999999999</v>
      </c>
      <c r="CM421" s="61"/>
      <c r="CN421" s="61"/>
      <c r="CO421" s="61"/>
      <c r="CP421" s="61"/>
      <c r="CQ421" s="61"/>
      <c r="CR421" s="61"/>
      <c r="CS421" s="61"/>
      <c r="CT421" s="61"/>
      <c r="CU421" s="61"/>
      <c r="CV421" s="61"/>
      <c r="CW421" s="61"/>
      <c r="CX421" s="61"/>
      <c r="CY421" s="61"/>
      <c r="CZ421" s="61"/>
      <c r="DA421" s="61"/>
      <c r="DB421" s="61"/>
      <c r="DC421" s="61"/>
      <c r="DD421" s="61"/>
      <c r="DE421" s="61"/>
      <c r="DF421" s="61"/>
      <c r="DG421" s="61"/>
      <c r="DH421" s="61"/>
      <c r="DI421" s="61"/>
      <c r="DJ421" s="61"/>
      <c r="DK421" s="61"/>
      <c r="DL421" s="61"/>
      <c r="DM421" s="61"/>
      <c r="DN421" s="61"/>
      <c r="DO421" s="61"/>
      <c r="DP421" s="61"/>
      <c r="DQ421" s="61"/>
      <c r="DR421" s="61"/>
      <c r="DS421" s="61"/>
      <c r="DT421" s="61"/>
      <c r="DU421" s="61"/>
      <c r="DV421" s="61"/>
      <c r="DW421" s="61"/>
      <c r="DX421" s="61"/>
      <c r="DY421" s="61"/>
      <c r="DZ421" s="61"/>
      <c r="EA421" s="61"/>
      <c r="EB421" s="61"/>
      <c r="EC421" s="61"/>
      <c r="ED421" s="61"/>
      <c r="EE421" s="61"/>
      <c r="EF421" s="61"/>
      <c r="EG421" s="61"/>
      <c r="EH421" s="61"/>
      <c r="EI421" s="61"/>
      <c r="EJ421" s="61"/>
      <c r="EK421" s="61"/>
      <c r="EL421" s="61"/>
      <c r="EM421" s="61"/>
      <c r="EN421" s="61"/>
      <c r="EO421" s="61"/>
      <c r="EP421" s="61"/>
      <c r="EQ421" s="61"/>
      <c r="ER421" s="61"/>
      <c r="ES421" s="61"/>
      <c r="ET421" s="61"/>
      <c r="EU421" s="61"/>
      <c r="EV421" s="61"/>
      <c r="EW421" s="61"/>
    </row>
    <row r="422" spans="1:153">
      <c r="A422" s="56">
        <v>39417</v>
      </c>
      <c r="B422" s="57">
        <v>2007</v>
      </c>
      <c r="C422" s="71">
        <v>5.5730000000000004</v>
      </c>
      <c r="D422" s="61">
        <v>7.5999999999999998E-2</v>
      </c>
      <c r="E422" s="61">
        <v>1025.817</v>
      </c>
      <c r="F422" s="61">
        <v>43.084000000000003</v>
      </c>
      <c r="G422" s="61">
        <v>5.4969999999999999</v>
      </c>
      <c r="H422" s="61">
        <v>557.44500000000005</v>
      </c>
      <c r="I422" s="61">
        <v>765.81500000000005</v>
      </c>
      <c r="J422" s="61">
        <v>-208.37100000000001</v>
      </c>
      <c r="K422" s="61"/>
      <c r="L422" s="61"/>
      <c r="M422" s="61">
        <v>817.44600000000003</v>
      </c>
      <c r="N422" s="61">
        <v>34.332999999999998</v>
      </c>
      <c r="O422" s="71">
        <v>4.3810000000000002</v>
      </c>
      <c r="P422" s="60">
        <v>181.63200000000001</v>
      </c>
      <c r="Q422" s="61">
        <v>94.677000000000007</v>
      </c>
      <c r="R422" s="61">
        <v>312.00700000000001</v>
      </c>
      <c r="S422" s="61">
        <v>547.78099999999995</v>
      </c>
      <c r="T422" s="61">
        <v>181.28899999999999</v>
      </c>
      <c r="U422" s="61">
        <v>16.003</v>
      </c>
      <c r="V422" s="61">
        <v>3.984</v>
      </c>
      <c r="W422" s="61">
        <v>34.497</v>
      </c>
      <c r="X422" s="61">
        <v>181.63200000000001</v>
      </c>
      <c r="Y422" s="61">
        <v>35.698</v>
      </c>
      <c r="Z422" s="61">
        <v>96.665000000000006</v>
      </c>
      <c r="AA422" s="61">
        <v>313.995</v>
      </c>
      <c r="AB422" s="60">
        <v>549.76800000000003</v>
      </c>
      <c r="AC422" s="62"/>
      <c r="AD422" s="61"/>
      <c r="AE422" s="61"/>
      <c r="AF422" s="61"/>
      <c r="AG422" s="61"/>
      <c r="AH422" s="61"/>
      <c r="AI422" s="61"/>
      <c r="AJ422" s="61"/>
      <c r="AK422" s="62"/>
      <c r="AL422" s="63"/>
      <c r="AM422" s="64"/>
      <c r="AN422" s="65" t="e">
        <v>#N/A</v>
      </c>
      <c r="AO422" s="61" t="e">
        <v>#N/A</v>
      </c>
      <c r="AP422" s="61" t="e">
        <v>#N/A</v>
      </c>
      <c r="AQ422" s="61" t="e">
        <v>#N/A</v>
      </c>
      <c r="AR422" s="61" t="e">
        <v>#N/A</v>
      </c>
      <c r="AS422" s="61" t="e">
        <v>#N/A</v>
      </c>
      <c r="AT422" s="61" t="e">
        <v>#N/A</v>
      </c>
      <c r="AU422" s="61" t="e">
        <v>#N/A</v>
      </c>
      <c r="AV422" s="61" t="e">
        <v>#N/A</v>
      </c>
      <c r="AW422" s="61" t="e">
        <v>#N/A</v>
      </c>
      <c r="AX422" s="65" t="e">
        <v>#N/A</v>
      </c>
      <c r="AY422" s="66">
        <v>1.8680000000000001</v>
      </c>
      <c r="AZ422" s="61">
        <v>3.6560000000000001</v>
      </c>
      <c r="BA422" s="61">
        <v>35.670999999999999</v>
      </c>
      <c r="BB422" s="61">
        <v>41.195999999999998</v>
      </c>
      <c r="BC422" s="61">
        <v>7.3999999999999996E-2</v>
      </c>
      <c r="BD422" s="61">
        <v>1.2230000000000001</v>
      </c>
      <c r="BE422" s="61">
        <v>0.22500000000000001</v>
      </c>
      <c r="BF422" s="61" t="s">
        <v>122</v>
      </c>
      <c r="BG422" s="61">
        <v>5.9850000000000003</v>
      </c>
      <c r="BH422" s="61">
        <v>2.61</v>
      </c>
      <c r="BI422" s="61">
        <v>0.19400000000000001</v>
      </c>
      <c r="BJ422" s="61">
        <v>8.7880000000000003</v>
      </c>
      <c r="BK422" s="66">
        <v>10.311</v>
      </c>
      <c r="BL422" s="67">
        <v>54.859000000000002</v>
      </c>
      <c r="BM422" s="61">
        <v>4.3810000000000002</v>
      </c>
      <c r="BN422" s="61" t="s">
        <v>121</v>
      </c>
      <c r="BO422" s="61" t="s">
        <v>121</v>
      </c>
      <c r="BP422" s="61">
        <v>59.24</v>
      </c>
      <c r="BQ422" s="61">
        <v>179.69</v>
      </c>
      <c r="BR422" s="61">
        <v>12.512</v>
      </c>
      <c r="BS422" s="61">
        <v>5.2999999999999999E-2</v>
      </c>
      <c r="BT422" s="61">
        <v>34.497</v>
      </c>
      <c r="BU422" s="61">
        <v>15.914999999999999</v>
      </c>
      <c r="BV422" s="61">
        <v>20.946999999999999</v>
      </c>
      <c r="BW422" s="61">
        <v>36.862000000000002</v>
      </c>
      <c r="BX422" s="67">
        <v>263.61399999999998</v>
      </c>
      <c r="BY422" s="68">
        <v>134120</v>
      </c>
      <c r="BZ422" s="68">
        <v>129986</v>
      </c>
      <c r="CA422" s="69">
        <v>7473</v>
      </c>
      <c r="CB422" s="68">
        <v>133944</v>
      </c>
      <c r="CC422" s="68">
        <v>12463</v>
      </c>
      <c r="CD422" s="68">
        <v>99540</v>
      </c>
      <c r="CE422" s="64"/>
      <c r="CF422" s="64"/>
      <c r="CG422" s="70">
        <f t="shared" si="32"/>
        <v>5625.6480000000001</v>
      </c>
      <c r="CH422" s="70">
        <f t="shared" si="33"/>
        <v>313.86599999999999</v>
      </c>
      <c r="CI422" s="70">
        <f t="shared" si="34"/>
        <v>523.44600000000003</v>
      </c>
      <c r="CJ422" s="70">
        <f t="shared" si="35"/>
        <v>5633.04</v>
      </c>
      <c r="CK422" s="70">
        <f t="shared" si="35"/>
        <v>5459.4120000000003</v>
      </c>
      <c r="CL422" s="70">
        <f t="shared" si="31"/>
        <v>4180.68</v>
      </c>
      <c r="CM422" s="61"/>
      <c r="CN422" s="61"/>
      <c r="CO422" s="61"/>
      <c r="CP422" s="61"/>
      <c r="CQ422" s="61"/>
      <c r="CR422" s="61"/>
      <c r="CS422" s="61"/>
      <c r="CT422" s="61"/>
      <c r="CU422" s="61"/>
      <c r="CV422" s="61"/>
      <c r="CW422" s="61"/>
      <c r="CX422" s="61"/>
      <c r="CY422" s="61"/>
      <c r="CZ422" s="61"/>
      <c r="DA422" s="61"/>
      <c r="DB422" s="61"/>
      <c r="DC422" s="61"/>
      <c r="DD422" s="61"/>
      <c r="DE422" s="61"/>
      <c r="DF422" s="61"/>
      <c r="DG422" s="61"/>
      <c r="DH422" s="61"/>
      <c r="DI422" s="61"/>
      <c r="DJ422" s="61"/>
      <c r="DK422" s="61"/>
      <c r="DL422" s="61"/>
      <c r="DM422" s="61"/>
      <c r="DN422" s="61"/>
      <c r="DO422" s="61"/>
      <c r="DP422" s="61"/>
      <c r="DQ422" s="61"/>
      <c r="DR422" s="61"/>
      <c r="DS422" s="61"/>
      <c r="DT422" s="61"/>
      <c r="DU422" s="61"/>
      <c r="DV422" s="61"/>
      <c r="DW422" s="61"/>
      <c r="DX422" s="61"/>
      <c r="DY422" s="61"/>
      <c r="DZ422" s="61"/>
      <c r="EA422" s="61"/>
      <c r="EB422" s="61"/>
      <c r="EC422" s="61"/>
      <c r="ED422" s="61"/>
      <c r="EE422" s="61"/>
      <c r="EF422" s="61"/>
      <c r="EG422" s="61"/>
      <c r="EH422" s="61"/>
      <c r="EI422" s="61"/>
      <c r="EJ422" s="61"/>
      <c r="EK422" s="61"/>
      <c r="EL422" s="61"/>
      <c r="EM422" s="61"/>
      <c r="EN422" s="61"/>
      <c r="EO422" s="61"/>
      <c r="EP422" s="61"/>
      <c r="EQ422" s="61"/>
      <c r="ER422" s="61"/>
      <c r="ES422" s="61"/>
      <c r="ET422" s="61"/>
      <c r="EU422" s="61"/>
      <c r="EV422" s="61"/>
      <c r="EW422" s="61"/>
    </row>
    <row r="423" spans="1:153">
      <c r="A423" s="56">
        <v>39448</v>
      </c>
      <c r="B423" s="57">
        <v>2008</v>
      </c>
      <c r="C423" s="71">
        <v>6.5030000000000001</v>
      </c>
      <c r="D423" s="61">
        <v>8.8999999999999996E-2</v>
      </c>
      <c r="E423" s="61">
        <v>1196.912</v>
      </c>
      <c r="F423" s="61">
        <v>50.27</v>
      </c>
      <c r="G423" s="61">
        <v>6.4139999999999997</v>
      </c>
      <c r="H423" s="61">
        <v>618.70100000000002</v>
      </c>
      <c r="I423" s="61">
        <v>1137.1420000000001</v>
      </c>
      <c r="J423" s="61">
        <v>-518.44100000000003</v>
      </c>
      <c r="K423" s="61"/>
      <c r="L423" s="61"/>
      <c r="M423" s="61">
        <v>678.47</v>
      </c>
      <c r="N423" s="61">
        <v>28.495999999999999</v>
      </c>
      <c r="O423" s="71">
        <v>3.6360000000000001</v>
      </c>
      <c r="P423" s="60">
        <v>195.33600000000001</v>
      </c>
      <c r="Q423" s="61">
        <v>99.695999999999998</v>
      </c>
      <c r="R423" s="61">
        <v>331.13799999999998</v>
      </c>
      <c r="S423" s="61">
        <v>597.51400000000001</v>
      </c>
      <c r="T423" s="61">
        <v>204.75800000000001</v>
      </c>
      <c r="U423" s="61">
        <v>15.824999999999999</v>
      </c>
      <c r="V423" s="61">
        <v>3.6850000000000001</v>
      </c>
      <c r="W423" s="61">
        <v>42.107999999999997</v>
      </c>
      <c r="X423" s="61">
        <v>195.33600000000001</v>
      </c>
      <c r="Y423" s="61">
        <v>36.106000000000002</v>
      </c>
      <c r="Z423" s="61">
        <v>95.745999999999995</v>
      </c>
      <c r="AA423" s="61">
        <v>327.18799999999999</v>
      </c>
      <c r="AB423" s="60">
        <v>593.56299999999999</v>
      </c>
      <c r="AC423" s="62"/>
      <c r="AD423" s="61"/>
      <c r="AE423" s="61"/>
      <c r="AF423" s="61"/>
      <c r="AG423" s="61"/>
      <c r="AH423" s="61"/>
      <c r="AI423" s="61"/>
      <c r="AJ423" s="61"/>
      <c r="AK423" s="62"/>
      <c r="AL423" s="63"/>
      <c r="AM423" s="64"/>
      <c r="AN423" s="65" t="e">
        <v>#N/A</v>
      </c>
      <c r="AO423" s="61" t="e">
        <v>#N/A</v>
      </c>
      <c r="AP423" s="61" t="e">
        <v>#N/A</v>
      </c>
      <c r="AQ423" s="61" t="e">
        <v>#N/A</v>
      </c>
      <c r="AR423" s="61" t="e">
        <v>#N/A</v>
      </c>
      <c r="AS423" s="61" t="e">
        <v>#N/A</v>
      </c>
      <c r="AT423" s="61" t="e">
        <v>#N/A</v>
      </c>
      <c r="AU423" s="61" t="e">
        <v>#N/A</v>
      </c>
      <c r="AV423" s="61" t="e">
        <v>#N/A</v>
      </c>
      <c r="AW423" s="61" t="e">
        <v>#N/A</v>
      </c>
      <c r="AX423" s="65" t="e">
        <v>#N/A</v>
      </c>
      <c r="AY423" s="66">
        <v>2.2360000000000002</v>
      </c>
      <c r="AZ423" s="61">
        <v>3.1659999999999999</v>
      </c>
      <c r="BA423" s="61">
        <v>39.808999999999997</v>
      </c>
      <c r="BB423" s="61">
        <v>45.21</v>
      </c>
      <c r="BC423" s="61">
        <v>0.05</v>
      </c>
      <c r="BD423" s="61">
        <v>1.254</v>
      </c>
      <c r="BE423" s="61">
        <v>0.29399999999999998</v>
      </c>
      <c r="BF423" s="61" t="s">
        <v>122</v>
      </c>
      <c r="BG423" s="61">
        <v>6.1849999999999996</v>
      </c>
      <c r="BH423" s="61">
        <v>2.81</v>
      </c>
      <c r="BI423" s="61">
        <v>0.14499999999999999</v>
      </c>
      <c r="BJ423" s="61">
        <v>9.14</v>
      </c>
      <c r="BK423" s="66">
        <v>10.737</v>
      </c>
      <c r="BL423" s="67">
        <v>53.581000000000003</v>
      </c>
      <c r="BM423" s="61">
        <v>3.6360000000000001</v>
      </c>
      <c r="BN423" s="61" t="s">
        <v>121</v>
      </c>
      <c r="BO423" s="61" t="s">
        <v>121</v>
      </c>
      <c r="BP423" s="61">
        <v>57.216999999999999</v>
      </c>
      <c r="BQ423" s="61">
        <v>203.101</v>
      </c>
      <c r="BR423" s="61">
        <v>11.912000000000001</v>
      </c>
      <c r="BS423" s="61">
        <v>0.16</v>
      </c>
      <c r="BT423" s="61">
        <v>42.107999999999997</v>
      </c>
      <c r="BU423" s="61">
        <v>16.123999999999999</v>
      </c>
      <c r="BV423" s="61">
        <v>20.864000000000001</v>
      </c>
      <c r="BW423" s="61">
        <v>36.988</v>
      </c>
      <c r="BX423" s="67">
        <v>294.27</v>
      </c>
      <c r="BY423" s="68">
        <v>128024</v>
      </c>
      <c r="BZ423" s="68">
        <v>129958</v>
      </c>
      <c r="CA423" s="69">
        <v>9585</v>
      </c>
      <c r="CB423" s="68">
        <v>130963</v>
      </c>
      <c r="CC423" s="68">
        <v>10632</v>
      </c>
      <c r="CD423" s="68">
        <v>92100</v>
      </c>
      <c r="CE423" s="64"/>
      <c r="CF423" s="64"/>
      <c r="CG423" s="70">
        <f t="shared" si="32"/>
        <v>5500.4459999999999</v>
      </c>
      <c r="CH423" s="70">
        <f t="shared" si="33"/>
        <v>402.57</v>
      </c>
      <c r="CI423" s="70">
        <f t="shared" si="34"/>
        <v>446.54399999999998</v>
      </c>
      <c r="CJ423" s="70">
        <f t="shared" si="35"/>
        <v>5377.0079999999998</v>
      </c>
      <c r="CK423" s="70">
        <f t="shared" si="35"/>
        <v>5458.2359999999999</v>
      </c>
      <c r="CL423" s="70">
        <f t="shared" si="31"/>
        <v>3868.2</v>
      </c>
      <c r="CM423" s="61"/>
      <c r="CN423" s="61"/>
      <c r="CO423" s="61"/>
      <c r="CP423" s="61"/>
      <c r="CQ423" s="61"/>
      <c r="CR423" s="61"/>
      <c r="CS423" s="61"/>
      <c r="CT423" s="61"/>
      <c r="CU423" s="61"/>
      <c r="CV423" s="61"/>
      <c r="CW423" s="61"/>
      <c r="CX423" s="61"/>
      <c r="CY423" s="61"/>
      <c r="CZ423" s="61"/>
      <c r="DA423" s="61"/>
      <c r="DB423" s="61"/>
      <c r="DC423" s="61"/>
      <c r="DD423" s="61"/>
      <c r="DE423" s="61"/>
      <c r="DF423" s="61"/>
      <c r="DG423" s="61"/>
      <c r="DH423" s="61"/>
      <c r="DI423" s="61"/>
      <c r="DJ423" s="61"/>
      <c r="DK423" s="61"/>
      <c r="DL423" s="61"/>
      <c r="DM423" s="61"/>
      <c r="DN423" s="61"/>
      <c r="DO423" s="61"/>
      <c r="DP423" s="61"/>
      <c r="DQ423" s="61"/>
      <c r="DR423" s="61"/>
      <c r="DS423" s="61"/>
      <c r="DT423" s="61"/>
      <c r="DU423" s="61"/>
      <c r="DV423" s="61"/>
      <c r="DW423" s="61"/>
      <c r="DX423" s="61"/>
      <c r="DY423" s="61"/>
      <c r="DZ423" s="61"/>
      <c r="EA423" s="61"/>
      <c r="EB423" s="61"/>
      <c r="EC423" s="61"/>
      <c r="ED423" s="61"/>
      <c r="EE423" s="61"/>
      <c r="EF423" s="61"/>
      <c r="EG423" s="61"/>
      <c r="EH423" s="61"/>
      <c r="EI423" s="61"/>
      <c r="EJ423" s="61"/>
      <c r="EK423" s="61"/>
      <c r="EL423" s="61"/>
      <c r="EM423" s="61"/>
      <c r="EN423" s="61"/>
      <c r="EO423" s="61"/>
      <c r="EP423" s="61"/>
      <c r="EQ423" s="61"/>
      <c r="ER423" s="61"/>
      <c r="ES423" s="61"/>
      <c r="ET423" s="61"/>
      <c r="EU423" s="61"/>
      <c r="EV423" s="61"/>
      <c r="EW423" s="61"/>
    </row>
    <row r="424" spans="1:153">
      <c r="A424" s="56">
        <v>39479</v>
      </c>
      <c r="B424" s="57">
        <v>2008</v>
      </c>
      <c r="C424" s="71">
        <v>5.835</v>
      </c>
      <c r="D424" s="61">
        <v>7.9000000000000001E-2</v>
      </c>
      <c r="E424" s="61">
        <v>1073.9280000000001</v>
      </c>
      <c r="F424" s="61">
        <v>45.104999999999997</v>
      </c>
      <c r="G424" s="61">
        <v>5.7549999999999999</v>
      </c>
      <c r="H424" s="61">
        <v>866.45399999999995</v>
      </c>
      <c r="I424" s="61">
        <v>1430.58</v>
      </c>
      <c r="J424" s="61">
        <v>-564.12599999999998</v>
      </c>
      <c r="K424" s="61"/>
      <c r="L424" s="61"/>
      <c r="M424" s="61">
        <v>509.80200000000002</v>
      </c>
      <c r="N424" s="61">
        <v>21.411999999999999</v>
      </c>
      <c r="O424" s="71">
        <v>2.7320000000000002</v>
      </c>
      <c r="P424" s="60">
        <v>169.28100000000001</v>
      </c>
      <c r="Q424" s="61">
        <v>95.947000000000003</v>
      </c>
      <c r="R424" s="61">
        <v>300.53500000000003</v>
      </c>
      <c r="S424" s="61">
        <v>542.15700000000004</v>
      </c>
      <c r="T424" s="61">
        <v>185.14599999999999</v>
      </c>
      <c r="U424" s="61">
        <v>14.369</v>
      </c>
      <c r="V424" s="61">
        <v>4.1529999999999996</v>
      </c>
      <c r="W424" s="61">
        <v>37.954999999999998</v>
      </c>
      <c r="X424" s="61">
        <v>169.28100000000001</v>
      </c>
      <c r="Y424" s="61">
        <v>35.307000000000002</v>
      </c>
      <c r="Z424" s="61">
        <v>95.403000000000006</v>
      </c>
      <c r="AA424" s="61">
        <v>299.99099999999999</v>
      </c>
      <c r="AB424" s="60">
        <v>541.61400000000003</v>
      </c>
      <c r="AC424" s="62"/>
      <c r="AD424" s="61"/>
      <c r="AE424" s="61"/>
      <c r="AF424" s="61"/>
      <c r="AG424" s="61"/>
      <c r="AH424" s="61"/>
      <c r="AI424" s="61"/>
      <c r="AJ424" s="61"/>
      <c r="AK424" s="62"/>
      <c r="AL424" s="63"/>
      <c r="AM424" s="64"/>
      <c r="AN424" s="65" t="e">
        <v>#N/A</v>
      </c>
      <c r="AO424" s="61" t="e">
        <v>#N/A</v>
      </c>
      <c r="AP424" s="61" t="e">
        <v>#N/A</v>
      </c>
      <c r="AQ424" s="61" t="e">
        <v>#N/A</v>
      </c>
      <c r="AR424" s="61" t="e">
        <v>#N/A</v>
      </c>
      <c r="AS424" s="61" t="e">
        <v>#N/A</v>
      </c>
      <c r="AT424" s="61" t="e">
        <v>#N/A</v>
      </c>
      <c r="AU424" s="61" t="e">
        <v>#N/A</v>
      </c>
      <c r="AV424" s="61" t="e">
        <v>#N/A</v>
      </c>
      <c r="AW424" s="61" t="e">
        <v>#N/A</v>
      </c>
      <c r="AX424" s="65" t="e">
        <v>#N/A</v>
      </c>
      <c r="AY424" s="66">
        <v>2.0920000000000001</v>
      </c>
      <c r="AZ424" s="61">
        <v>3.4119999999999999</v>
      </c>
      <c r="BA424" s="61">
        <v>37.24</v>
      </c>
      <c r="BB424" s="61">
        <v>42.744999999999997</v>
      </c>
      <c r="BC424" s="61">
        <v>4.5999999999999999E-2</v>
      </c>
      <c r="BD424" s="61">
        <v>1.173</v>
      </c>
      <c r="BE424" s="61">
        <v>0.317</v>
      </c>
      <c r="BF424" s="61" t="s">
        <v>122</v>
      </c>
      <c r="BG424" s="61">
        <v>5.774</v>
      </c>
      <c r="BH424" s="61">
        <v>2.5950000000000002</v>
      </c>
      <c r="BI424" s="61">
        <v>0.15</v>
      </c>
      <c r="BJ424" s="61">
        <v>8.5190000000000001</v>
      </c>
      <c r="BK424" s="66">
        <v>10.055</v>
      </c>
      <c r="BL424" s="67">
        <v>55.36</v>
      </c>
      <c r="BM424" s="61">
        <v>2.7320000000000002</v>
      </c>
      <c r="BN424" s="61" t="s">
        <v>121</v>
      </c>
      <c r="BO424" s="61" t="s">
        <v>121</v>
      </c>
      <c r="BP424" s="61">
        <v>58.091999999999999</v>
      </c>
      <c r="BQ424" s="61">
        <v>183.548</v>
      </c>
      <c r="BR424" s="61">
        <v>10.708</v>
      </c>
      <c r="BS424" s="61">
        <v>0.35299999999999998</v>
      </c>
      <c r="BT424" s="61">
        <v>37.954999999999998</v>
      </c>
      <c r="BU424" s="61">
        <v>14.555</v>
      </c>
      <c r="BV424" s="61">
        <v>19.972000000000001</v>
      </c>
      <c r="BW424" s="61">
        <v>34.527999999999999</v>
      </c>
      <c r="BX424" s="67">
        <v>267.09199999999998</v>
      </c>
      <c r="BY424" s="68">
        <v>115412</v>
      </c>
      <c r="BZ424" s="68">
        <v>124158</v>
      </c>
      <c r="CA424" s="69">
        <v>7227</v>
      </c>
      <c r="CB424" s="68">
        <v>117636</v>
      </c>
      <c r="CC424" s="68">
        <v>11808</v>
      </c>
      <c r="CD424" s="68">
        <v>84378</v>
      </c>
      <c r="CE424" s="64"/>
      <c r="CF424" s="64"/>
      <c r="CG424" s="70">
        <f t="shared" si="32"/>
        <v>4940.7120000000004</v>
      </c>
      <c r="CH424" s="70">
        <f t="shared" si="33"/>
        <v>303.53399999999999</v>
      </c>
      <c r="CI424" s="70">
        <f t="shared" si="34"/>
        <v>495.93599999999998</v>
      </c>
      <c r="CJ424" s="70">
        <f t="shared" si="35"/>
        <v>4847.3040000000001</v>
      </c>
      <c r="CK424" s="70">
        <f t="shared" si="35"/>
        <v>5214.6360000000004</v>
      </c>
      <c r="CL424" s="70">
        <f t="shared" si="31"/>
        <v>3543.8760000000002</v>
      </c>
      <c r="CM424" s="61"/>
      <c r="CN424" s="61"/>
      <c r="CO424" s="61"/>
      <c r="CP424" s="61"/>
      <c r="CQ424" s="61"/>
      <c r="CR424" s="61"/>
      <c r="CS424" s="61"/>
      <c r="CT424" s="61"/>
      <c r="CU424" s="61"/>
      <c r="CV424" s="61"/>
      <c r="CW424" s="61"/>
      <c r="CX424" s="61"/>
      <c r="CY424" s="61"/>
      <c r="CZ424" s="61"/>
      <c r="DA424" s="61"/>
      <c r="DB424" s="61"/>
      <c r="DC424" s="61"/>
      <c r="DD424" s="61"/>
      <c r="DE424" s="61"/>
      <c r="DF424" s="61"/>
      <c r="DG424" s="61"/>
      <c r="DH424" s="61"/>
      <c r="DI424" s="61"/>
      <c r="DJ424" s="61"/>
      <c r="DK424" s="61"/>
      <c r="DL424" s="61"/>
      <c r="DM424" s="61"/>
      <c r="DN424" s="61"/>
      <c r="DO424" s="61"/>
      <c r="DP424" s="61"/>
      <c r="DQ424" s="61"/>
      <c r="DR424" s="61"/>
      <c r="DS424" s="61"/>
      <c r="DT424" s="61"/>
      <c r="DU424" s="61"/>
      <c r="DV424" s="61"/>
      <c r="DW424" s="61"/>
      <c r="DX424" s="61"/>
      <c r="DY424" s="61"/>
      <c r="DZ424" s="61"/>
      <c r="EA424" s="61"/>
      <c r="EB424" s="61"/>
      <c r="EC424" s="61"/>
      <c r="ED424" s="61"/>
      <c r="EE424" s="61"/>
      <c r="EF424" s="61"/>
      <c r="EG424" s="61"/>
      <c r="EH424" s="61"/>
      <c r="EI424" s="61"/>
      <c r="EJ424" s="61"/>
      <c r="EK424" s="61"/>
      <c r="EL424" s="61"/>
      <c r="EM424" s="61"/>
      <c r="EN424" s="61"/>
      <c r="EO424" s="61"/>
      <c r="EP424" s="61"/>
      <c r="EQ424" s="61"/>
      <c r="ER424" s="61"/>
      <c r="ES424" s="61"/>
      <c r="ET424" s="61"/>
      <c r="EU424" s="61"/>
      <c r="EV424" s="61"/>
      <c r="EW424" s="61"/>
    </row>
    <row r="425" spans="1:153">
      <c r="A425" s="56">
        <v>39508</v>
      </c>
      <c r="B425" s="57">
        <v>2008</v>
      </c>
      <c r="C425" s="71">
        <v>6.4530000000000003</v>
      </c>
      <c r="D425" s="61">
        <v>8.7999999999999995E-2</v>
      </c>
      <c r="E425" s="61">
        <v>1187.6610000000001</v>
      </c>
      <c r="F425" s="61">
        <v>49.881999999999998</v>
      </c>
      <c r="G425" s="61">
        <v>6.3650000000000002</v>
      </c>
      <c r="H425" s="61">
        <v>282.99200000000002</v>
      </c>
      <c r="I425" s="61">
        <v>1211.1279999999999</v>
      </c>
      <c r="J425" s="61">
        <v>-928.13599999999997</v>
      </c>
      <c r="K425" s="61"/>
      <c r="L425" s="61"/>
      <c r="M425" s="61">
        <v>259.52499999999998</v>
      </c>
      <c r="N425" s="61">
        <v>10.9</v>
      </c>
      <c r="O425" s="71">
        <v>1.391</v>
      </c>
      <c r="P425" s="60">
        <v>175.22800000000001</v>
      </c>
      <c r="Q425" s="61">
        <v>108.172</v>
      </c>
      <c r="R425" s="61">
        <v>321.48700000000002</v>
      </c>
      <c r="S425" s="61">
        <v>604.34299999999996</v>
      </c>
      <c r="T425" s="61">
        <v>213.52600000000001</v>
      </c>
      <c r="U425" s="61">
        <v>16.239000000000001</v>
      </c>
      <c r="V425" s="61">
        <v>5.97</v>
      </c>
      <c r="W425" s="61">
        <v>47.122</v>
      </c>
      <c r="X425" s="61">
        <v>175.22800000000001</v>
      </c>
      <c r="Y425" s="61">
        <v>38.088000000000001</v>
      </c>
      <c r="Z425" s="61">
        <v>100.607</v>
      </c>
      <c r="AA425" s="61">
        <v>313.92200000000003</v>
      </c>
      <c r="AB425" s="60">
        <v>596.779</v>
      </c>
      <c r="AC425" s="62"/>
      <c r="AD425" s="61"/>
      <c r="AE425" s="61"/>
      <c r="AF425" s="61"/>
      <c r="AG425" s="61"/>
      <c r="AH425" s="61"/>
      <c r="AI425" s="61"/>
      <c r="AJ425" s="61"/>
      <c r="AK425" s="62"/>
      <c r="AL425" s="63"/>
      <c r="AM425" s="64"/>
      <c r="AN425" s="65" t="e">
        <v>#N/A</v>
      </c>
      <c r="AO425" s="61" t="e">
        <v>#N/A</v>
      </c>
      <c r="AP425" s="61" t="e">
        <v>#N/A</v>
      </c>
      <c r="AQ425" s="61" t="e">
        <v>#N/A</v>
      </c>
      <c r="AR425" s="61" t="e">
        <v>#N/A</v>
      </c>
      <c r="AS425" s="61" t="e">
        <v>#N/A</v>
      </c>
      <c r="AT425" s="61" t="e">
        <v>#N/A</v>
      </c>
      <c r="AU425" s="61" t="e">
        <v>#N/A</v>
      </c>
      <c r="AV425" s="61" t="e">
        <v>#N/A</v>
      </c>
      <c r="AW425" s="61" t="e">
        <v>#N/A</v>
      </c>
      <c r="AX425" s="65" t="e">
        <v>#N/A</v>
      </c>
      <c r="AY425" s="66">
        <v>2.2360000000000002</v>
      </c>
      <c r="AZ425" s="61">
        <v>4.702</v>
      </c>
      <c r="BA425" s="61">
        <v>39.808999999999997</v>
      </c>
      <c r="BB425" s="61">
        <v>46.747</v>
      </c>
      <c r="BC425" s="61">
        <v>9.8000000000000004E-2</v>
      </c>
      <c r="BD425" s="61">
        <v>1.254</v>
      </c>
      <c r="BE425" s="61">
        <v>0.437</v>
      </c>
      <c r="BF425" s="61" t="s">
        <v>122</v>
      </c>
      <c r="BG425" s="61">
        <v>6.1710000000000003</v>
      </c>
      <c r="BH425" s="61">
        <v>2.718</v>
      </c>
      <c r="BI425" s="61">
        <v>0.155</v>
      </c>
      <c r="BJ425" s="61">
        <v>9.0440000000000005</v>
      </c>
      <c r="BK425" s="66">
        <v>10.831</v>
      </c>
      <c r="BL425" s="67">
        <v>57.194000000000003</v>
      </c>
      <c r="BM425" s="61">
        <v>1.391</v>
      </c>
      <c r="BN425" s="61" t="s">
        <v>121</v>
      </c>
      <c r="BO425" s="61" t="s">
        <v>121</v>
      </c>
      <c r="BP425" s="61">
        <v>58.585000000000001</v>
      </c>
      <c r="BQ425" s="61">
        <v>211.71</v>
      </c>
      <c r="BR425" s="61">
        <v>12.324999999999999</v>
      </c>
      <c r="BS425" s="61">
        <v>0.73499999999999999</v>
      </c>
      <c r="BT425" s="61">
        <v>47.122</v>
      </c>
      <c r="BU425" s="61">
        <v>15.212</v>
      </c>
      <c r="BV425" s="61">
        <v>22.667000000000002</v>
      </c>
      <c r="BW425" s="61">
        <v>37.878999999999998</v>
      </c>
      <c r="BX425" s="67">
        <v>309.77100000000002</v>
      </c>
      <c r="BY425" s="68">
        <v>122532</v>
      </c>
      <c r="BZ425" s="68">
        <v>128987</v>
      </c>
      <c r="CA425" s="69">
        <v>7713</v>
      </c>
      <c r="CB425" s="68">
        <v>107784</v>
      </c>
      <c r="CC425" s="68">
        <v>11110</v>
      </c>
      <c r="CD425" s="68">
        <v>91890</v>
      </c>
      <c r="CE425" s="64"/>
      <c r="CF425" s="64"/>
      <c r="CG425" s="70">
        <f t="shared" si="32"/>
        <v>4526.9279999999999</v>
      </c>
      <c r="CH425" s="70">
        <f t="shared" si="33"/>
        <v>323.94600000000003</v>
      </c>
      <c r="CI425" s="70">
        <f t="shared" si="34"/>
        <v>466.62</v>
      </c>
      <c r="CJ425" s="70">
        <f t="shared" si="35"/>
        <v>5146.3440000000001</v>
      </c>
      <c r="CK425" s="70">
        <f t="shared" si="35"/>
        <v>5417.4539999999997</v>
      </c>
      <c r="CL425" s="70">
        <f t="shared" si="31"/>
        <v>3859.38</v>
      </c>
      <c r="CM425" s="61"/>
      <c r="CN425" s="61"/>
      <c r="CO425" s="61"/>
      <c r="CP425" s="61"/>
      <c r="CQ425" s="61"/>
      <c r="CR425" s="61"/>
      <c r="CS425" s="61"/>
      <c r="CT425" s="61"/>
      <c r="CU425" s="61"/>
      <c r="CV425" s="61"/>
      <c r="CW425" s="61"/>
      <c r="CX425" s="61"/>
      <c r="CY425" s="61"/>
      <c r="CZ425" s="61"/>
      <c r="DA425" s="61"/>
      <c r="DB425" s="61"/>
      <c r="DC425" s="61"/>
      <c r="DD425" s="61"/>
      <c r="DE425" s="61"/>
      <c r="DF425" s="61"/>
      <c r="DG425" s="61"/>
      <c r="DH425" s="61"/>
      <c r="DI425" s="61"/>
      <c r="DJ425" s="61"/>
      <c r="DK425" s="61"/>
      <c r="DL425" s="61"/>
      <c r="DM425" s="61"/>
      <c r="DN425" s="61"/>
      <c r="DO425" s="61"/>
      <c r="DP425" s="61"/>
      <c r="DQ425" s="61"/>
      <c r="DR425" s="61"/>
      <c r="DS425" s="61"/>
      <c r="DT425" s="61"/>
      <c r="DU425" s="61"/>
      <c r="DV425" s="61"/>
      <c r="DW425" s="61"/>
      <c r="DX425" s="61"/>
      <c r="DY425" s="61"/>
      <c r="DZ425" s="61"/>
      <c r="EA425" s="61"/>
      <c r="EB425" s="61"/>
      <c r="EC425" s="61"/>
      <c r="ED425" s="61"/>
      <c r="EE425" s="61"/>
      <c r="EF425" s="61"/>
      <c r="EG425" s="61"/>
      <c r="EH425" s="61"/>
      <c r="EI425" s="61"/>
      <c r="EJ425" s="61"/>
      <c r="EK425" s="61"/>
      <c r="EL425" s="61"/>
      <c r="EM425" s="61"/>
      <c r="EN425" s="61"/>
      <c r="EO425" s="61"/>
      <c r="EP425" s="61"/>
      <c r="EQ425" s="61"/>
      <c r="ER425" s="61"/>
      <c r="ES425" s="61"/>
      <c r="ET425" s="61"/>
      <c r="EU425" s="61"/>
      <c r="EV425" s="61"/>
      <c r="EW425" s="61"/>
    </row>
    <row r="426" spans="1:153">
      <c r="A426" s="56">
        <v>39539</v>
      </c>
      <c r="B426" s="57">
        <v>2008</v>
      </c>
      <c r="C426" s="71">
        <v>6.8920000000000003</v>
      </c>
      <c r="D426" s="61">
        <v>9.4E-2</v>
      </c>
      <c r="E426" s="61">
        <v>1268.471</v>
      </c>
      <c r="F426" s="61">
        <v>53.276000000000003</v>
      </c>
      <c r="G426" s="61">
        <v>6.798</v>
      </c>
      <c r="H426" s="61">
        <v>711.01700000000005</v>
      </c>
      <c r="I426" s="61">
        <v>1645.693</v>
      </c>
      <c r="J426" s="61">
        <v>-934.67700000000002</v>
      </c>
      <c r="K426" s="61"/>
      <c r="L426" s="61"/>
      <c r="M426" s="61">
        <v>333.79399999999998</v>
      </c>
      <c r="N426" s="61">
        <v>14.019</v>
      </c>
      <c r="O426" s="71">
        <v>1.7889999999999999</v>
      </c>
      <c r="P426" s="60">
        <v>171.48500000000001</v>
      </c>
      <c r="Q426" s="61">
        <v>106.434</v>
      </c>
      <c r="R426" s="61">
        <v>314.07299999999998</v>
      </c>
      <c r="S426" s="61">
        <v>607.14300000000003</v>
      </c>
      <c r="T426" s="61">
        <v>219.09299999999999</v>
      </c>
      <c r="U426" s="61">
        <v>15.79</v>
      </c>
      <c r="V426" s="61">
        <v>6.6970000000000001</v>
      </c>
      <c r="W426" s="61">
        <v>51.49</v>
      </c>
      <c r="X426" s="61">
        <v>171.48500000000001</v>
      </c>
      <c r="Y426" s="61">
        <v>36.154000000000003</v>
      </c>
      <c r="Z426" s="61">
        <v>105.611</v>
      </c>
      <c r="AA426" s="61">
        <v>313.25</v>
      </c>
      <c r="AB426" s="60">
        <v>606.32000000000005</v>
      </c>
      <c r="AC426" s="62"/>
      <c r="AD426" s="61"/>
      <c r="AE426" s="61"/>
      <c r="AF426" s="61"/>
      <c r="AG426" s="61"/>
      <c r="AH426" s="61"/>
      <c r="AI426" s="61"/>
      <c r="AJ426" s="61"/>
      <c r="AK426" s="62"/>
      <c r="AL426" s="63"/>
      <c r="AM426" s="64"/>
      <c r="AN426" s="65" t="e">
        <v>#N/A</v>
      </c>
      <c r="AO426" s="61" t="e">
        <v>#N/A</v>
      </c>
      <c r="AP426" s="61" t="e">
        <v>#N/A</v>
      </c>
      <c r="AQ426" s="61" t="e">
        <v>#N/A</v>
      </c>
      <c r="AR426" s="61" t="e">
        <v>#N/A</v>
      </c>
      <c r="AS426" s="61" t="e">
        <v>#N/A</v>
      </c>
      <c r="AT426" s="61" t="e">
        <v>#N/A</v>
      </c>
      <c r="AU426" s="61" t="e">
        <v>#N/A</v>
      </c>
      <c r="AV426" s="61" t="e">
        <v>#N/A</v>
      </c>
      <c r="AW426" s="61" t="e">
        <v>#N/A</v>
      </c>
      <c r="AX426" s="65" t="e">
        <v>#N/A</v>
      </c>
      <c r="AY426" s="66">
        <v>2.1640000000000001</v>
      </c>
      <c r="AZ426" s="61">
        <v>5.1820000000000004</v>
      </c>
      <c r="BA426" s="61">
        <v>38.524999999999999</v>
      </c>
      <c r="BB426" s="61">
        <v>45.871000000000002</v>
      </c>
      <c r="BC426" s="61">
        <v>9.7000000000000003E-2</v>
      </c>
      <c r="BD426" s="61">
        <v>1.2130000000000001</v>
      </c>
      <c r="BE426" s="61">
        <v>0.48099999999999998</v>
      </c>
      <c r="BF426" s="61" t="s">
        <v>122</v>
      </c>
      <c r="BG426" s="61">
        <v>5.9820000000000002</v>
      </c>
      <c r="BH426" s="61">
        <v>2.976</v>
      </c>
      <c r="BI426" s="61">
        <v>0.17</v>
      </c>
      <c r="BJ426" s="61">
        <v>9.1280000000000001</v>
      </c>
      <c r="BK426" s="66">
        <v>10.919</v>
      </c>
      <c r="BL426" s="67">
        <v>62.576000000000001</v>
      </c>
      <c r="BM426" s="61">
        <v>1.7889999999999999</v>
      </c>
      <c r="BN426" s="61" t="s">
        <v>121</v>
      </c>
      <c r="BO426" s="61" t="s">
        <v>121</v>
      </c>
      <c r="BP426" s="61">
        <v>64.364999999999995</v>
      </c>
      <c r="BQ426" s="61">
        <v>217.28399999999999</v>
      </c>
      <c r="BR426" s="61">
        <v>12.003</v>
      </c>
      <c r="BS426" s="61">
        <v>0.92800000000000005</v>
      </c>
      <c r="BT426" s="61">
        <v>51.49</v>
      </c>
      <c r="BU426" s="61">
        <v>13.000999999999999</v>
      </c>
      <c r="BV426" s="61">
        <v>21.309000000000001</v>
      </c>
      <c r="BW426" s="61">
        <v>34.31</v>
      </c>
      <c r="BX426" s="67">
        <v>316.01499999999999</v>
      </c>
      <c r="BY426" s="68">
        <v>128623</v>
      </c>
      <c r="BZ426" s="68">
        <v>123168</v>
      </c>
      <c r="CA426" s="69">
        <v>7981</v>
      </c>
      <c r="CB426" s="68">
        <v>107051</v>
      </c>
      <c r="CC426" s="68">
        <v>14169</v>
      </c>
      <c r="CD426" s="68">
        <v>95894</v>
      </c>
      <c r="CE426" s="64"/>
      <c r="CF426" s="64"/>
      <c r="CG426" s="70">
        <f t="shared" si="32"/>
        <v>4496.1419999999998</v>
      </c>
      <c r="CH426" s="70">
        <f t="shared" si="33"/>
        <v>335.202</v>
      </c>
      <c r="CI426" s="70">
        <f t="shared" si="34"/>
        <v>595.09799999999996</v>
      </c>
      <c r="CJ426" s="70">
        <f t="shared" si="35"/>
        <v>5402.1660000000002</v>
      </c>
      <c r="CK426" s="70">
        <f t="shared" si="35"/>
        <v>5173.0559999999996</v>
      </c>
      <c r="CL426" s="70">
        <f t="shared" si="31"/>
        <v>4027.5479999999998</v>
      </c>
      <c r="CM426" s="61"/>
      <c r="CN426" s="61"/>
      <c r="CO426" s="61"/>
      <c r="CP426" s="61"/>
      <c r="CQ426" s="61"/>
      <c r="CR426" s="61"/>
      <c r="CS426" s="61"/>
      <c r="CT426" s="61"/>
      <c r="CU426" s="61"/>
      <c r="CV426" s="61"/>
      <c r="CW426" s="61"/>
      <c r="CX426" s="61"/>
      <c r="CY426" s="61"/>
      <c r="CZ426" s="61"/>
      <c r="DA426" s="61"/>
      <c r="DB426" s="61"/>
      <c r="DC426" s="61"/>
      <c r="DD426" s="61"/>
      <c r="DE426" s="61"/>
      <c r="DF426" s="61"/>
      <c r="DG426" s="61"/>
      <c r="DH426" s="61"/>
      <c r="DI426" s="61"/>
      <c r="DJ426" s="61"/>
      <c r="DK426" s="61"/>
      <c r="DL426" s="61"/>
      <c r="DM426" s="61"/>
      <c r="DN426" s="61"/>
      <c r="DO426" s="61"/>
      <c r="DP426" s="61"/>
      <c r="DQ426" s="61"/>
      <c r="DR426" s="61"/>
      <c r="DS426" s="61"/>
      <c r="DT426" s="61"/>
      <c r="DU426" s="61"/>
      <c r="DV426" s="61"/>
      <c r="DW426" s="61"/>
      <c r="DX426" s="61"/>
      <c r="DY426" s="61"/>
      <c r="DZ426" s="61"/>
      <c r="EA426" s="61"/>
      <c r="EB426" s="61"/>
      <c r="EC426" s="61"/>
      <c r="ED426" s="61"/>
      <c r="EE426" s="61"/>
      <c r="EF426" s="61"/>
      <c r="EG426" s="61"/>
      <c r="EH426" s="61"/>
      <c r="EI426" s="61"/>
      <c r="EJ426" s="61"/>
      <c r="EK426" s="61"/>
      <c r="EL426" s="61"/>
      <c r="EM426" s="61"/>
      <c r="EN426" s="61"/>
      <c r="EO426" s="61"/>
      <c r="EP426" s="61"/>
      <c r="EQ426" s="61"/>
      <c r="ER426" s="61"/>
      <c r="ES426" s="61"/>
      <c r="ET426" s="61"/>
      <c r="EU426" s="61"/>
      <c r="EV426" s="61"/>
      <c r="EW426" s="61"/>
    </row>
    <row r="427" spans="1:153">
      <c r="A427" s="56">
        <v>39569</v>
      </c>
      <c r="B427" s="57">
        <v>2008</v>
      </c>
      <c r="C427" s="71">
        <v>7.02</v>
      </c>
      <c r="D427" s="61">
        <v>9.6000000000000002E-2</v>
      </c>
      <c r="E427" s="61">
        <v>1292.1420000000001</v>
      </c>
      <c r="F427" s="61">
        <v>54.27</v>
      </c>
      <c r="G427" s="61">
        <v>6.9249999999999998</v>
      </c>
      <c r="H427" s="61">
        <v>530.75</v>
      </c>
      <c r="I427" s="61">
        <v>1409.72</v>
      </c>
      <c r="J427" s="61">
        <v>-878.971</v>
      </c>
      <c r="K427" s="61"/>
      <c r="L427" s="61"/>
      <c r="M427" s="61">
        <v>413.17099999999999</v>
      </c>
      <c r="N427" s="61">
        <v>17.353000000000002</v>
      </c>
      <c r="O427" s="71">
        <v>2.214</v>
      </c>
      <c r="P427" s="60">
        <v>172.47</v>
      </c>
      <c r="Q427" s="61">
        <v>115.872</v>
      </c>
      <c r="R427" s="61">
        <v>324.185</v>
      </c>
      <c r="S427" s="61">
        <v>668.70600000000002</v>
      </c>
      <c r="T427" s="61">
        <v>268.23700000000002</v>
      </c>
      <c r="U427" s="61">
        <v>16.318000000000001</v>
      </c>
      <c r="V427" s="61">
        <v>7.3419999999999996</v>
      </c>
      <c r="W427" s="61">
        <v>52.622999999999998</v>
      </c>
      <c r="X427" s="61">
        <v>172.47</v>
      </c>
      <c r="Y427" s="61">
        <v>35.843000000000004</v>
      </c>
      <c r="Z427" s="61">
        <v>111.983</v>
      </c>
      <c r="AA427" s="61">
        <v>320.29599999999999</v>
      </c>
      <c r="AB427" s="60">
        <v>664.81799999999998</v>
      </c>
      <c r="AC427" s="62"/>
      <c r="AD427" s="61"/>
      <c r="AE427" s="61"/>
      <c r="AF427" s="61"/>
      <c r="AG427" s="61"/>
      <c r="AH427" s="61"/>
      <c r="AI427" s="61"/>
      <c r="AJ427" s="61"/>
      <c r="AK427" s="62"/>
      <c r="AL427" s="63"/>
      <c r="AM427" s="64"/>
      <c r="AN427" s="65" t="e">
        <v>#N/A</v>
      </c>
      <c r="AO427" s="61" t="e">
        <v>#N/A</v>
      </c>
      <c r="AP427" s="61" t="e">
        <v>#N/A</v>
      </c>
      <c r="AQ427" s="61" t="e">
        <v>#N/A</v>
      </c>
      <c r="AR427" s="61" t="e">
        <v>#N/A</v>
      </c>
      <c r="AS427" s="61" t="e">
        <v>#N/A</v>
      </c>
      <c r="AT427" s="61" t="e">
        <v>#N/A</v>
      </c>
      <c r="AU427" s="61" t="e">
        <v>#N/A</v>
      </c>
      <c r="AV427" s="61" t="e">
        <v>#N/A</v>
      </c>
      <c r="AW427" s="61" t="e">
        <v>#N/A</v>
      </c>
      <c r="AX427" s="65" t="e">
        <v>#N/A</v>
      </c>
      <c r="AY427" s="66">
        <v>2.2360000000000002</v>
      </c>
      <c r="AZ427" s="61">
        <v>5.7210000000000001</v>
      </c>
      <c r="BA427" s="61">
        <v>39.808999999999997</v>
      </c>
      <c r="BB427" s="61">
        <v>47.765999999999998</v>
      </c>
      <c r="BC427" s="61">
        <v>5.6000000000000001E-2</v>
      </c>
      <c r="BD427" s="61">
        <v>1.254</v>
      </c>
      <c r="BE427" s="61">
        <v>0.53100000000000003</v>
      </c>
      <c r="BF427" s="61" t="s">
        <v>122</v>
      </c>
      <c r="BG427" s="61">
        <v>6.1420000000000003</v>
      </c>
      <c r="BH427" s="61">
        <v>2.9889999999999999</v>
      </c>
      <c r="BI427" s="61">
        <v>0.17499999999999999</v>
      </c>
      <c r="BJ427" s="61">
        <v>9.3070000000000004</v>
      </c>
      <c r="BK427" s="66">
        <v>11.148</v>
      </c>
      <c r="BL427" s="67">
        <v>64.736999999999995</v>
      </c>
      <c r="BM427" s="61">
        <v>2.214</v>
      </c>
      <c r="BN427" s="61" t="s">
        <v>121</v>
      </c>
      <c r="BO427" s="61" t="s">
        <v>121</v>
      </c>
      <c r="BP427" s="61">
        <v>66.950999999999993</v>
      </c>
      <c r="BQ427" s="61">
        <v>266.50900000000001</v>
      </c>
      <c r="BR427" s="61">
        <v>12.404999999999999</v>
      </c>
      <c r="BS427" s="61">
        <v>0.97299999999999998</v>
      </c>
      <c r="BT427" s="61">
        <v>52.622999999999998</v>
      </c>
      <c r="BU427" s="61">
        <v>12.554</v>
      </c>
      <c r="BV427" s="61">
        <v>21.248000000000001</v>
      </c>
      <c r="BW427" s="61">
        <v>33.802</v>
      </c>
      <c r="BX427" s="67">
        <v>366.31299999999999</v>
      </c>
      <c r="BY427" s="68">
        <v>138232</v>
      </c>
      <c r="BZ427" s="68">
        <v>121854</v>
      </c>
      <c r="CA427" s="69">
        <v>5838</v>
      </c>
      <c r="CB427" s="68">
        <v>113941</v>
      </c>
      <c r="CC427" s="68">
        <v>15326</v>
      </c>
      <c r="CD427" s="68">
        <v>104724</v>
      </c>
      <c r="CE427" s="64"/>
      <c r="CF427" s="64"/>
      <c r="CG427" s="70">
        <f t="shared" si="32"/>
        <v>4785.5219999999999</v>
      </c>
      <c r="CH427" s="70">
        <f t="shared" si="33"/>
        <v>245.196</v>
      </c>
      <c r="CI427" s="70">
        <f t="shared" si="34"/>
        <v>643.69200000000001</v>
      </c>
      <c r="CJ427" s="70">
        <f t="shared" si="35"/>
        <v>5805.7439999999997</v>
      </c>
      <c r="CK427" s="70">
        <f t="shared" si="35"/>
        <v>5117.8680000000004</v>
      </c>
      <c r="CL427" s="70">
        <f t="shared" si="31"/>
        <v>4398.4080000000004</v>
      </c>
      <c r="CM427" s="61"/>
      <c r="CN427" s="61"/>
      <c r="CO427" s="61"/>
      <c r="CP427" s="61"/>
      <c r="CQ427" s="61"/>
      <c r="CR427" s="61"/>
      <c r="CS427" s="61"/>
      <c r="CT427" s="61"/>
      <c r="CU427" s="61"/>
      <c r="CV427" s="61"/>
      <c r="CW427" s="61"/>
      <c r="CX427" s="61"/>
      <c r="CY427" s="61"/>
      <c r="CZ427" s="61"/>
      <c r="DA427" s="61"/>
      <c r="DB427" s="61"/>
      <c r="DC427" s="61"/>
      <c r="DD427" s="61"/>
      <c r="DE427" s="61"/>
      <c r="DF427" s="61"/>
      <c r="DG427" s="61"/>
      <c r="DH427" s="61"/>
      <c r="DI427" s="61"/>
      <c r="DJ427" s="61"/>
      <c r="DK427" s="61"/>
      <c r="DL427" s="61"/>
      <c r="DM427" s="61"/>
      <c r="DN427" s="61"/>
      <c r="DO427" s="61"/>
      <c r="DP427" s="61"/>
      <c r="DQ427" s="61"/>
      <c r="DR427" s="61"/>
      <c r="DS427" s="61"/>
      <c r="DT427" s="61"/>
      <c r="DU427" s="61"/>
      <c r="DV427" s="61"/>
      <c r="DW427" s="61"/>
      <c r="DX427" s="61"/>
      <c r="DY427" s="61"/>
      <c r="DZ427" s="61"/>
      <c r="EA427" s="61"/>
      <c r="EB427" s="61"/>
      <c r="EC427" s="61"/>
      <c r="ED427" s="61"/>
      <c r="EE427" s="61"/>
      <c r="EF427" s="61"/>
      <c r="EG427" s="61"/>
      <c r="EH427" s="61"/>
      <c r="EI427" s="61"/>
      <c r="EJ427" s="61"/>
      <c r="EK427" s="61"/>
      <c r="EL427" s="61"/>
      <c r="EM427" s="61"/>
      <c r="EN427" s="61"/>
      <c r="EO427" s="61"/>
      <c r="EP427" s="61"/>
      <c r="EQ427" s="61"/>
      <c r="ER427" s="61"/>
      <c r="ES427" s="61"/>
      <c r="ET427" s="61"/>
      <c r="EU427" s="61"/>
      <c r="EV427" s="61"/>
      <c r="EW427" s="61"/>
    </row>
    <row r="428" spans="1:153">
      <c r="A428" s="56">
        <v>39600</v>
      </c>
      <c r="B428" s="57">
        <v>2008</v>
      </c>
      <c r="C428" s="71">
        <v>7.85</v>
      </c>
      <c r="D428" s="61">
        <v>0.107</v>
      </c>
      <c r="E428" s="61">
        <v>1444.7829999999999</v>
      </c>
      <c r="F428" s="61">
        <v>60.680999999999997</v>
      </c>
      <c r="G428" s="61">
        <v>7.7430000000000003</v>
      </c>
      <c r="H428" s="61">
        <v>529.01900000000001</v>
      </c>
      <c r="I428" s="61">
        <v>1817.54</v>
      </c>
      <c r="J428" s="61">
        <v>-1288.521</v>
      </c>
      <c r="K428" s="61"/>
      <c r="L428" s="61"/>
      <c r="M428" s="61">
        <v>156.262</v>
      </c>
      <c r="N428" s="61">
        <v>6.5629999999999997</v>
      </c>
      <c r="O428" s="71">
        <v>0.83699999999999997</v>
      </c>
      <c r="P428" s="60">
        <v>167.71299999999999</v>
      </c>
      <c r="Q428" s="61">
        <v>110.288</v>
      </c>
      <c r="R428" s="61">
        <v>313.33499999999998</v>
      </c>
      <c r="S428" s="61">
        <v>675.39800000000002</v>
      </c>
      <c r="T428" s="61">
        <v>287.51400000000001</v>
      </c>
      <c r="U428" s="61">
        <v>16.206</v>
      </c>
      <c r="V428" s="61">
        <v>7.69</v>
      </c>
      <c r="W428" s="61">
        <v>50.652999999999999</v>
      </c>
      <c r="X428" s="61">
        <v>167.71299999999999</v>
      </c>
      <c r="Y428" s="61">
        <v>35.334000000000003</v>
      </c>
      <c r="Z428" s="61">
        <v>108.741</v>
      </c>
      <c r="AA428" s="61">
        <v>311.78800000000001</v>
      </c>
      <c r="AB428" s="60">
        <v>673.851</v>
      </c>
      <c r="AC428" s="62"/>
      <c r="AD428" s="61"/>
      <c r="AE428" s="61"/>
      <c r="AF428" s="61"/>
      <c r="AG428" s="61"/>
      <c r="AH428" s="61"/>
      <c r="AI428" s="61"/>
      <c r="AJ428" s="61"/>
      <c r="AK428" s="62"/>
      <c r="AL428" s="63"/>
      <c r="AM428" s="64"/>
      <c r="AN428" s="65" t="e">
        <v>#N/A</v>
      </c>
      <c r="AO428" s="61" t="e">
        <v>#N/A</v>
      </c>
      <c r="AP428" s="61" t="e">
        <v>#N/A</v>
      </c>
      <c r="AQ428" s="61" t="e">
        <v>#N/A</v>
      </c>
      <c r="AR428" s="61" t="e">
        <v>#N/A</v>
      </c>
      <c r="AS428" s="61" t="e">
        <v>#N/A</v>
      </c>
      <c r="AT428" s="61" t="e">
        <v>#N/A</v>
      </c>
      <c r="AU428" s="61" t="e">
        <v>#N/A</v>
      </c>
      <c r="AV428" s="61" t="e">
        <v>#N/A</v>
      </c>
      <c r="AW428" s="61" t="e">
        <v>#N/A</v>
      </c>
      <c r="AX428" s="65" t="e">
        <v>#N/A</v>
      </c>
      <c r="AY428" s="66">
        <v>2.1640000000000001</v>
      </c>
      <c r="AZ428" s="61">
        <v>5.7720000000000002</v>
      </c>
      <c r="BA428" s="61">
        <v>38.524999999999999</v>
      </c>
      <c r="BB428" s="61">
        <v>46.460999999999999</v>
      </c>
      <c r="BC428" s="61">
        <v>5.5E-2</v>
      </c>
      <c r="BD428" s="61">
        <v>1.2130000000000001</v>
      </c>
      <c r="BE428" s="61">
        <v>0.53600000000000003</v>
      </c>
      <c r="BF428" s="61" t="s">
        <v>122</v>
      </c>
      <c r="BG428" s="61">
        <v>5.9829999999999997</v>
      </c>
      <c r="BH428" s="61">
        <v>3.0019999999999998</v>
      </c>
      <c r="BI428" s="61">
        <v>0.17699999999999999</v>
      </c>
      <c r="BJ428" s="61">
        <v>9.1630000000000003</v>
      </c>
      <c r="BK428" s="66">
        <v>10.968</v>
      </c>
      <c r="BL428" s="67">
        <v>65.429000000000002</v>
      </c>
      <c r="BM428" s="61">
        <v>0.83699999999999997</v>
      </c>
      <c r="BN428" s="61" t="s">
        <v>121</v>
      </c>
      <c r="BO428" s="61" t="s">
        <v>121</v>
      </c>
      <c r="BP428" s="61">
        <v>66.266000000000005</v>
      </c>
      <c r="BQ428" s="61">
        <v>286.19299999999998</v>
      </c>
      <c r="BR428" s="61">
        <v>12.419</v>
      </c>
      <c r="BS428" s="61">
        <v>1.2629999999999999</v>
      </c>
      <c r="BT428" s="61">
        <v>50.652999999999999</v>
      </c>
      <c r="BU428" s="61">
        <v>14.196</v>
      </c>
      <c r="BV428" s="61">
        <v>21.67</v>
      </c>
      <c r="BW428" s="61">
        <v>35.866</v>
      </c>
      <c r="BX428" s="67">
        <v>386.39499999999998</v>
      </c>
      <c r="BY428" s="68">
        <v>137624</v>
      </c>
      <c r="BZ428" s="68">
        <v>112881</v>
      </c>
      <c r="CA428" s="69">
        <v>5390</v>
      </c>
      <c r="CB428" s="68">
        <v>121710</v>
      </c>
      <c r="CC428" s="68">
        <v>22364</v>
      </c>
      <c r="CD428" s="68">
        <v>102381</v>
      </c>
      <c r="CE428" s="64"/>
      <c r="CF428" s="64"/>
      <c r="CG428" s="70">
        <f t="shared" si="32"/>
        <v>5111.82</v>
      </c>
      <c r="CH428" s="70">
        <f t="shared" si="33"/>
        <v>226.38</v>
      </c>
      <c r="CI428" s="70">
        <f t="shared" si="34"/>
        <v>939.28800000000001</v>
      </c>
      <c r="CJ428" s="70">
        <f t="shared" si="35"/>
        <v>5780.2079999999996</v>
      </c>
      <c r="CK428" s="70">
        <f t="shared" si="35"/>
        <v>4741.0020000000004</v>
      </c>
      <c r="CL428" s="70">
        <f t="shared" si="31"/>
        <v>4300.0020000000004</v>
      </c>
      <c r="CM428" s="61"/>
      <c r="CN428" s="61"/>
      <c r="CO428" s="61"/>
      <c r="CP428" s="61"/>
      <c r="CQ428" s="61"/>
      <c r="CR428" s="61"/>
      <c r="CS428" s="61"/>
      <c r="CT428" s="61"/>
      <c r="CU428" s="61"/>
      <c r="CV428" s="61"/>
      <c r="CW428" s="61"/>
      <c r="CX428" s="61"/>
      <c r="CY428" s="61"/>
      <c r="CZ428" s="61"/>
      <c r="DA428" s="61"/>
      <c r="DB428" s="61"/>
      <c r="DC428" s="61"/>
      <c r="DD428" s="61"/>
      <c r="DE428" s="61"/>
      <c r="DF428" s="61"/>
      <c r="DG428" s="61"/>
      <c r="DH428" s="61"/>
      <c r="DI428" s="61"/>
      <c r="DJ428" s="61"/>
      <c r="DK428" s="61"/>
      <c r="DL428" s="61"/>
      <c r="DM428" s="61"/>
      <c r="DN428" s="61"/>
      <c r="DO428" s="61"/>
      <c r="DP428" s="61"/>
      <c r="DQ428" s="61"/>
      <c r="DR428" s="61"/>
      <c r="DS428" s="61"/>
      <c r="DT428" s="61"/>
      <c r="DU428" s="61"/>
      <c r="DV428" s="61"/>
      <c r="DW428" s="61"/>
      <c r="DX428" s="61"/>
      <c r="DY428" s="61"/>
      <c r="DZ428" s="61"/>
      <c r="EA428" s="61"/>
      <c r="EB428" s="61"/>
      <c r="EC428" s="61"/>
      <c r="ED428" s="61"/>
      <c r="EE428" s="61"/>
      <c r="EF428" s="61"/>
      <c r="EG428" s="61"/>
      <c r="EH428" s="61"/>
      <c r="EI428" s="61"/>
      <c r="EJ428" s="61"/>
      <c r="EK428" s="61"/>
      <c r="EL428" s="61"/>
      <c r="EM428" s="61"/>
      <c r="EN428" s="61"/>
      <c r="EO428" s="61"/>
      <c r="EP428" s="61"/>
      <c r="EQ428" s="61"/>
      <c r="ER428" s="61"/>
      <c r="ES428" s="61"/>
      <c r="ET428" s="61"/>
      <c r="EU428" s="61"/>
      <c r="EV428" s="61"/>
      <c r="EW428" s="61"/>
    </row>
    <row r="429" spans="1:153">
      <c r="A429" s="56">
        <v>39630</v>
      </c>
      <c r="B429" s="57">
        <v>2008</v>
      </c>
      <c r="C429" s="71">
        <v>8.7140000000000004</v>
      </c>
      <c r="D429" s="61">
        <v>0.11899999999999999</v>
      </c>
      <c r="E429" s="61">
        <v>1603.954</v>
      </c>
      <c r="F429" s="61">
        <v>67.366</v>
      </c>
      <c r="G429" s="61">
        <v>8.5960000000000001</v>
      </c>
      <c r="H429" s="61">
        <v>544.22500000000002</v>
      </c>
      <c r="I429" s="61">
        <v>1468.575</v>
      </c>
      <c r="J429" s="61">
        <v>-924.35</v>
      </c>
      <c r="K429" s="61"/>
      <c r="L429" s="61"/>
      <c r="M429" s="61">
        <v>679.60400000000004</v>
      </c>
      <c r="N429" s="61">
        <v>28.542999999999999</v>
      </c>
      <c r="O429" s="71">
        <v>3.6419999999999999</v>
      </c>
      <c r="P429" s="60">
        <v>173.96299999999999</v>
      </c>
      <c r="Q429" s="61">
        <v>119.214</v>
      </c>
      <c r="R429" s="61">
        <v>330.50700000000001</v>
      </c>
      <c r="S429" s="61">
        <v>646.17899999999997</v>
      </c>
      <c r="T429" s="61">
        <v>251.82</v>
      </c>
      <c r="U429" s="61">
        <v>16.513999999999999</v>
      </c>
      <c r="V429" s="61">
        <v>7.8390000000000004</v>
      </c>
      <c r="W429" s="61">
        <v>39.499000000000002</v>
      </c>
      <c r="X429" s="61">
        <v>173.96299999999999</v>
      </c>
      <c r="Y429" s="61">
        <v>37.33</v>
      </c>
      <c r="Z429" s="61">
        <v>118.887</v>
      </c>
      <c r="AA429" s="61">
        <v>330.18</v>
      </c>
      <c r="AB429" s="60">
        <v>645.85199999999998</v>
      </c>
      <c r="AC429" s="62"/>
      <c r="AD429" s="61"/>
      <c r="AE429" s="61"/>
      <c r="AF429" s="61"/>
      <c r="AG429" s="61"/>
      <c r="AH429" s="61"/>
      <c r="AI429" s="61"/>
      <c r="AJ429" s="61"/>
      <c r="AK429" s="62"/>
      <c r="AL429" s="63"/>
      <c r="AM429" s="64"/>
      <c r="AN429" s="65" t="e">
        <v>#N/A</v>
      </c>
      <c r="AO429" s="61" t="e">
        <v>#N/A</v>
      </c>
      <c r="AP429" s="61" t="e">
        <v>#N/A</v>
      </c>
      <c r="AQ429" s="61" t="e">
        <v>#N/A</v>
      </c>
      <c r="AR429" s="61" t="e">
        <v>#N/A</v>
      </c>
      <c r="AS429" s="61" t="e">
        <v>#N/A</v>
      </c>
      <c r="AT429" s="61" t="e">
        <v>#N/A</v>
      </c>
      <c r="AU429" s="61" t="e">
        <v>#N/A</v>
      </c>
      <c r="AV429" s="61" t="e">
        <v>#N/A</v>
      </c>
      <c r="AW429" s="61" t="e">
        <v>#N/A</v>
      </c>
      <c r="AX429" s="65" t="e">
        <v>#N/A</v>
      </c>
      <c r="AY429" s="66">
        <v>2.2360000000000002</v>
      </c>
      <c r="AZ429" s="61">
        <v>6.06</v>
      </c>
      <c r="BA429" s="61">
        <v>39.808999999999997</v>
      </c>
      <c r="BB429" s="61">
        <v>48.103999999999999</v>
      </c>
      <c r="BC429" s="61">
        <v>4.9000000000000002E-2</v>
      </c>
      <c r="BD429" s="61">
        <v>1.254</v>
      </c>
      <c r="BE429" s="61">
        <v>0.56299999999999994</v>
      </c>
      <c r="BF429" s="61" t="s">
        <v>122</v>
      </c>
      <c r="BG429" s="61">
        <v>6.1820000000000004</v>
      </c>
      <c r="BH429" s="61">
        <v>2.8969999999999998</v>
      </c>
      <c r="BI429" s="61">
        <v>0.188</v>
      </c>
      <c r="BJ429" s="61">
        <v>9.2669999999999995</v>
      </c>
      <c r="BK429" s="66">
        <v>11.132</v>
      </c>
      <c r="BL429" s="67">
        <v>69.444000000000003</v>
      </c>
      <c r="BM429" s="61">
        <v>3.6419999999999999</v>
      </c>
      <c r="BN429" s="61" t="s">
        <v>121</v>
      </c>
      <c r="BO429" s="61" t="s">
        <v>121</v>
      </c>
      <c r="BP429" s="61">
        <v>73.085999999999999</v>
      </c>
      <c r="BQ429" s="61">
        <v>250.57300000000001</v>
      </c>
      <c r="BR429" s="61">
        <v>12.601000000000001</v>
      </c>
      <c r="BS429" s="61">
        <v>1.0920000000000001</v>
      </c>
      <c r="BT429" s="61">
        <v>39.499000000000002</v>
      </c>
      <c r="BU429" s="61">
        <v>16.225999999999999</v>
      </c>
      <c r="BV429" s="61">
        <v>22.856000000000002</v>
      </c>
      <c r="BW429" s="61">
        <v>39.082000000000001</v>
      </c>
      <c r="BX429" s="67">
        <v>342.84699999999998</v>
      </c>
      <c r="BY429" s="68">
        <v>140218</v>
      </c>
      <c r="BZ429" s="68">
        <v>114332</v>
      </c>
      <c r="CA429" s="69">
        <v>5612</v>
      </c>
      <c r="CB429" s="68">
        <v>130906</v>
      </c>
      <c r="CC429" s="68">
        <v>22302</v>
      </c>
      <c r="CD429" s="68">
        <v>101384</v>
      </c>
      <c r="CE429" s="64"/>
      <c r="CF429" s="64"/>
      <c r="CG429" s="70">
        <f t="shared" si="32"/>
        <v>5498.0519999999997</v>
      </c>
      <c r="CH429" s="70">
        <f t="shared" si="33"/>
        <v>235.70400000000001</v>
      </c>
      <c r="CI429" s="70">
        <f t="shared" si="34"/>
        <v>936.68399999999997</v>
      </c>
      <c r="CJ429" s="70">
        <f t="shared" si="35"/>
        <v>5889.1559999999999</v>
      </c>
      <c r="CK429" s="70">
        <f t="shared" si="35"/>
        <v>4801.9440000000004</v>
      </c>
      <c r="CL429" s="70">
        <f t="shared" si="31"/>
        <v>4258.1279999999997</v>
      </c>
      <c r="CM429" s="61"/>
      <c r="CN429" s="61"/>
      <c r="CO429" s="61"/>
      <c r="CP429" s="61"/>
      <c r="CQ429" s="61"/>
      <c r="CR429" s="61"/>
      <c r="CS429" s="61"/>
      <c r="CT429" s="61"/>
      <c r="CU429" s="61"/>
      <c r="CV429" s="61"/>
      <c r="CW429" s="61"/>
      <c r="CX429" s="61"/>
      <c r="CY429" s="61"/>
      <c r="CZ429" s="61"/>
      <c r="DA429" s="61"/>
      <c r="DB429" s="61"/>
      <c r="DC429" s="61"/>
      <c r="DD429" s="61"/>
      <c r="DE429" s="61"/>
      <c r="DF429" s="61"/>
      <c r="DG429" s="61"/>
      <c r="DH429" s="61"/>
      <c r="DI429" s="61"/>
      <c r="DJ429" s="61"/>
      <c r="DK429" s="61"/>
      <c r="DL429" s="61"/>
      <c r="DM429" s="61"/>
      <c r="DN429" s="61"/>
      <c r="DO429" s="61"/>
      <c r="DP429" s="61"/>
      <c r="DQ429" s="61"/>
      <c r="DR429" s="61"/>
      <c r="DS429" s="61"/>
      <c r="DT429" s="61"/>
      <c r="DU429" s="61"/>
      <c r="DV429" s="61"/>
      <c r="DW429" s="61"/>
      <c r="DX429" s="61"/>
      <c r="DY429" s="61"/>
      <c r="DZ429" s="61"/>
      <c r="EA429" s="61"/>
      <c r="EB429" s="61"/>
      <c r="EC429" s="61"/>
      <c r="ED429" s="61"/>
      <c r="EE429" s="61"/>
      <c r="EF429" s="61"/>
      <c r="EG429" s="61"/>
      <c r="EH429" s="61"/>
      <c r="EI429" s="61"/>
      <c r="EJ429" s="61"/>
      <c r="EK429" s="61"/>
      <c r="EL429" s="61"/>
      <c r="EM429" s="61"/>
      <c r="EN429" s="61"/>
      <c r="EO429" s="61"/>
      <c r="EP429" s="61"/>
      <c r="EQ429" s="61"/>
      <c r="ER429" s="61"/>
      <c r="ES429" s="61"/>
      <c r="ET429" s="61"/>
      <c r="EU429" s="61"/>
      <c r="EV429" s="61"/>
      <c r="EW429" s="61"/>
    </row>
    <row r="430" spans="1:153">
      <c r="A430" s="56">
        <v>39661</v>
      </c>
      <c r="B430" s="57">
        <v>2008</v>
      </c>
      <c r="C430" s="71">
        <v>8.8160000000000007</v>
      </c>
      <c r="D430" s="61">
        <v>0.12</v>
      </c>
      <c r="E430" s="61">
        <v>1622.7280000000001</v>
      </c>
      <c r="F430" s="61">
        <v>68.155000000000001</v>
      </c>
      <c r="G430" s="61">
        <v>8.6959999999999997</v>
      </c>
      <c r="H430" s="61">
        <v>937.41</v>
      </c>
      <c r="I430" s="61">
        <v>1660.539</v>
      </c>
      <c r="J430" s="61">
        <v>-723.12900000000002</v>
      </c>
      <c r="K430" s="61"/>
      <c r="L430" s="61"/>
      <c r="M430" s="61">
        <v>899.59900000000005</v>
      </c>
      <c r="N430" s="61">
        <v>37.783000000000001</v>
      </c>
      <c r="O430" s="71">
        <v>4.8209999999999997</v>
      </c>
      <c r="P430" s="60">
        <v>171.95400000000001</v>
      </c>
      <c r="Q430" s="61">
        <v>125.23</v>
      </c>
      <c r="R430" s="61">
        <v>333.60700000000003</v>
      </c>
      <c r="S430" s="61">
        <v>599.13599999999997</v>
      </c>
      <c r="T430" s="61">
        <v>209.19300000000001</v>
      </c>
      <c r="U430" s="61">
        <v>16.454000000000001</v>
      </c>
      <c r="V430" s="61">
        <v>7.7140000000000004</v>
      </c>
      <c r="W430" s="61">
        <v>32.167000000000002</v>
      </c>
      <c r="X430" s="61">
        <v>171.95400000000001</v>
      </c>
      <c r="Y430" s="61">
        <v>36.423000000000002</v>
      </c>
      <c r="Z430" s="61">
        <v>123.46299999999999</v>
      </c>
      <c r="AA430" s="61">
        <v>331.84</v>
      </c>
      <c r="AB430" s="60">
        <v>597.37</v>
      </c>
      <c r="AC430" s="62"/>
      <c r="AD430" s="61"/>
      <c r="AE430" s="61"/>
      <c r="AF430" s="61"/>
      <c r="AG430" s="61"/>
      <c r="AH430" s="61"/>
      <c r="AI430" s="61"/>
      <c r="AJ430" s="61"/>
      <c r="AK430" s="62"/>
      <c r="AL430" s="63"/>
      <c r="AM430" s="64"/>
      <c r="AN430" s="65" t="e">
        <v>#N/A</v>
      </c>
      <c r="AO430" s="61" t="e">
        <v>#N/A</v>
      </c>
      <c r="AP430" s="61" t="e">
        <v>#N/A</v>
      </c>
      <c r="AQ430" s="61" t="e">
        <v>#N/A</v>
      </c>
      <c r="AR430" s="61" t="e">
        <v>#N/A</v>
      </c>
      <c r="AS430" s="61" t="e">
        <v>#N/A</v>
      </c>
      <c r="AT430" s="61" t="e">
        <v>#N/A</v>
      </c>
      <c r="AU430" s="61" t="e">
        <v>#N/A</v>
      </c>
      <c r="AV430" s="61" t="e">
        <v>#N/A</v>
      </c>
      <c r="AW430" s="61" t="e">
        <v>#N/A</v>
      </c>
      <c r="AX430" s="65" t="e">
        <v>#N/A</v>
      </c>
      <c r="AY430" s="66">
        <v>2.2360000000000002</v>
      </c>
      <c r="AZ430" s="61">
        <v>5.9969999999999999</v>
      </c>
      <c r="BA430" s="61">
        <v>39.808999999999997</v>
      </c>
      <c r="BB430" s="61">
        <v>48.040999999999997</v>
      </c>
      <c r="BC430" s="61">
        <v>7.0000000000000001E-3</v>
      </c>
      <c r="BD430" s="61">
        <v>1.254</v>
      </c>
      <c r="BE430" s="61">
        <v>0.55700000000000005</v>
      </c>
      <c r="BF430" s="61" t="s">
        <v>122</v>
      </c>
      <c r="BG430" s="61">
        <v>6.1840000000000002</v>
      </c>
      <c r="BH430" s="61">
        <v>2.93</v>
      </c>
      <c r="BI430" s="61">
        <v>0.191</v>
      </c>
      <c r="BJ430" s="61">
        <v>9.3049999999999997</v>
      </c>
      <c r="BK430" s="66">
        <v>11.122</v>
      </c>
      <c r="BL430" s="67">
        <v>70.442999999999998</v>
      </c>
      <c r="BM430" s="61">
        <v>4.8209999999999997</v>
      </c>
      <c r="BN430" s="61" t="s">
        <v>121</v>
      </c>
      <c r="BO430" s="61" t="s">
        <v>121</v>
      </c>
      <c r="BP430" s="61">
        <v>75.263999999999996</v>
      </c>
      <c r="BQ430" s="61">
        <v>208.029</v>
      </c>
      <c r="BR430" s="61">
        <v>12.541</v>
      </c>
      <c r="BS430" s="61">
        <v>1.0369999999999999</v>
      </c>
      <c r="BT430" s="61">
        <v>32.167000000000002</v>
      </c>
      <c r="BU430" s="61">
        <v>16.137</v>
      </c>
      <c r="BV430" s="61">
        <v>22.29</v>
      </c>
      <c r="BW430" s="61">
        <v>38.427</v>
      </c>
      <c r="BX430" s="67">
        <v>292.20299999999997</v>
      </c>
      <c r="BY430" s="68">
        <v>138433</v>
      </c>
      <c r="BZ430" s="68">
        <v>113431</v>
      </c>
      <c r="CA430" s="69">
        <v>3394</v>
      </c>
      <c r="CB430" s="68">
        <v>132973</v>
      </c>
      <c r="CC430" s="68">
        <v>26329</v>
      </c>
      <c r="CD430" s="68">
        <v>101757</v>
      </c>
      <c r="CE430" s="64"/>
      <c r="CF430" s="64"/>
      <c r="CG430" s="70">
        <f t="shared" si="32"/>
        <v>5584.866</v>
      </c>
      <c r="CH430" s="70">
        <f t="shared" si="33"/>
        <v>142.548</v>
      </c>
      <c r="CI430" s="70">
        <f t="shared" si="34"/>
        <v>1105.818</v>
      </c>
      <c r="CJ430" s="70">
        <f t="shared" si="35"/>
        <v>5814.1859999999997</v>
      </c>
      <c r="CK430" s="70">
        <f t="shared" si="35"/>
        <v>4764.1019999999999</v>
      </c>
      <c r="CL430" s="70">
        <f t="shared" si="31"/>
        <v>4273.7939999999999</v>
      </c>
      <c r="CM430" s="61"/>
      <c r="CN430" s="61"/>
      <c r="CO430" s="61"/>
      <c r="CP430" s="61"/>
      <c r="CQ430" s="61"/>
      <c r="CR430" s="61"/>
      <c r="CS430" s="61"/>
      <c r="CT430" s="61"/>
      <c r="CU430" s="61"/>
      <c r="CV430" s="61"/>
      <c r="CW430" s="61"/>
      <c r="CX430" s="61"/>
      <c r="CY430" s="61"/>
      <c r="CZ430" s="61"/>
      <c r="DA430" s="61"/>
      <c r="DB430" s="61"/>
      <c r="DC430" s="61"/>
      <c r="DD430" s="61"/>
      <c r="DE430" s="61"/>
      <c r="DF430" s="61"/>
      <c r="DG430" s="61"/>
      <c r="DH430" s="61"/>
      <c r="DI430" s="61"/>
      <c r="DJ430" s="61"/>
      <c r="DK430" s="61"/>
      <c r="DL430" s="61"/>
      <c r="DM430" s="61"/>
      <c r="DN430" s="61"/>
      <c r="DO430" s="61"/>
      <c r="DP430" s="61"/>
      <c r="DQ430" s="61"/>
      <c r="DR430" s="61"/>
      <c r="DS430" s="61"/>
      <c r="DT430" s="61"/>
      <c r="DU430" s="61"/>
      <c r="DV430" s="61"/>
      <c r="DW430" s="61"/>
      <c r="DX430" s="61"/>
      <c r="DY430" s="61"/>
      <c r="DZ430" s="61"/>
      <c r="EA430" s="61"/>
      <c r="EB430" s="61"/>
      <c r="EC430" s="61"/>
      <c r="ED430" s="61"/>
      <c r="EE430" s="61"/>
      <c r="EF430" s="61"/>
      <c r="EG430" s="61"/>
      <c r="EH430" s="61"/>
      <c r="EI430" s="61"/>
      <c r="EJ430" s="61"/>
      <c r="EK430" s="61"/>
      <c r="EL430" s="61"/>
      <c r="EM430" s="61"/>
      <c r="EN430" s="61"/>
      <c r="EO430" s="61"/>
      <c r="EP430" s="61"/>
      <c r="EQ430" s="61"/>
      <c r="ER430" s="61"/>
      <c r="ES430" s="61"/>
      <c r="ET430" s="61"/>
      <c r="EU430" s="61"/>
      <c r="EV430" s="61"/>
      <c r="EW430" s="61"/>
    </row>
    <row r="431" spans="1:153">
      <c r="A431" s="56">
        <v>39692</v>
      </c>
      <c r="B431" s="57">
        <v>2008</v>
      </c>
      <c r="C431" s="71">
        <v>8.1530000000000005</v>
      </c>
      <c r="D431" s="61">
        <v>0.111</v>
      </c>
      <c r="E431" s="61">
        <v>1500.5609999999999</v>
      </c>
      <c r="F431" s="61">
        <v>63.024000000000001</v>
      </c>
      <c r="G431" s="61">
        <v>8.0419999999999998</v>
      </c>
      <c r="H431" s="61">
        <v>939.17700000000002</v>
      </c>
      <c r="I431" s="61">
        <v>1501.46</v>
      </c>
      <c r="J431" s="61">
        <v>-562.28300000000002</v>
      </c>
      <c r="K431" s="61"/>
      <c r="L431" s="61"/>
      <c r="M431" s="61">
        <v>938.27800000000002</v>
      </c>
      <c r="N431" s="61">
        <v>39.408000000000001</v>
      </c>
      <c r="O431" s="71">
        <v>5.0279999999999996</v>
      </c>
      <c r="P431" s="60">
        <v>164.05799999999999</v>
      </c>
      <c r="Q431" s="61">
        <v>120.38200000000001</v>
      </c>
      <c r="R431" s="61">
        <v>318.83999999999997</v>
      </c>
      <c r="S431" s="61">
        <v>531.86599999999999</v>
      </c>
      <c r="T431" s="61">
        <v>159.41999999999999</v>
      </c>
      <c r="U431" s="61">
        <v>15.944000000000001</v>
      </c>
      <c r="V431" s="61">
        <v>7.0019999999999998</v>
      </c>
      <c r="W431" s="61">
        <v>30.66</v>
      </c>
      <c r="X431" s="61">
        <v>164.05799999999999</v>
      </c>
      <c r="Y431" s="61">
        <v>34.4</v>
      </c>
      <c r="Z431" s="61">
        <v>121.277</v>
      </c>
      <c r="AA431" s="61">
        <v>319.73599999999999</v>
      </c>
      <c r="AB431" s="60">
        <v>532.76099999999997</v>
      </c>
      <c r="AC431" s="62"/>
      <c r="AD431" s="61"/>
      <c r="AE431" s="61"/>
      <c r="AF431" s="61"/>
      <c r="AG431" s="61"/>
      <c r="AH431" s="61"/>
      <c r="AI431" s="61"/>
      <c r="AJ431" s="61"/>
      <c r="AK431" s="62"/>
      <c r="AL431" s="63"/>
      <c r="AM431" s="64"/>
      <c r="AN431" s="65" t="e">
        <v>#N/A</v>
      </c>
      <c r="AO431" s="61" t="e">
        <v>#N/A</v>
      </c>
      <c r="AP431" s="61" t="e">
        <v>#N/A</v>
      </c>
      <c r="AQ431" s="61" t="e">
        <v>#N/A</v>
      </c>
      <c r="AR431" s="61" t="e">
        <v>#N/A</v>
      </c>
      <c r="AS431" s="61" t="e">
        <v>#N/A</v>
      </c>
      <c r="AT431" s="61" t="e">
        <v>#N/A</v>
      </c>
      <c r="AU431" s="61" t="e">
        <v>#N/A</v>
      </c>
      <c r="AV431" s="61" t="e">
        <v>#N/A</v>
      </c>
      <c r="AW431" s="61" t="e">
        <v>#N/A</v>
      </c>
      <c r="AX431" s="65" t="e">
        <v>#N/A</v>
      </c>
      <c r="AY431" s="66">
        <v>2.1640000000000001</v>
      </c>
      <c r="AZ431" s="61">
        <v>5.4690000000000003</v>
      </c>
      <c r="BA431" s="61">
        <v>38.524999999999999</v>
      </c>
      <c r="BB431" s="61">
        <v>46.158000000000001</v>
      </c>
      <c r="BC431" s="61">
        <v>1.7999999999999999E-2</v>
      </c>
      <c r="BD431" s="61">
        <v>1.2130000000000001</v>
      </c>
      <c r="BE431" s="61">
        <v>0.50800000000000001</v>
      </c>
      <c r="BF431" s="61" t="s">
        <v>122</v>
      </c>
      <c r="BG431" s="61">
        <v>5.98</v>
      </c>
      <c r="BH431" s="61">
        <v>2.8839999999999999</v>
      </c>
      <c r="BI431" s="61">
        <v>0.189</v>
      </c>
      <c r="BJ431" s="61">
        <v>9.0530000000000008</v>
      </c>
      <c r="BK431" s="66">
        <v>10.792</v>
      </c>
      <c r="BL431" s="67">
        <v>69.754000000000005</v>
      </c>
      <c r="BM431" s="61">
        <v>5.0279999999999996</v>
      </c>
      <c r="BN431" s="61" t="s">
        <v>121</v>
      </c>
      <c r="BO431" s="61" t="s">
        <v>121</v>
      </c>
      <c r="BP431" s="61">
        <v>74.783000000000001</v>
      </c>
      <c r="BQ431" s="61">
        <v>158.458</v>
      </c>
      <c r="BR431" s="61">
        <v>12.157</v>
      </c>
      <c r="BS431" s="61">
        <v>0.91200000000000003</v>
      </c>
      <c r="BT431" s="61">
        <v>30.66</v>
      </c>
      <c r="BU431" s="61">
        <v>14.923</v>
      </c>
      <c r="BV431" s="61">
        <v>20.763999999999999</v>
      </c>
      <c r="BW431" s="61">
        <v>35.686999999999998</v>
      </c>
      <c r="BX431" s="67">
        <v>237.874</v>
      </c>
      <c r="BY431" s="68">
        <v>110444</v>
      </c>
      <c r="BZ431" s="68">
        <v>112197</v>
      </c>
      <c r="CA431" s="69">
        <v>5839</v>
      </c>
      <c r="CB431" s="68">
        <v>127679</v>
      </c>
      <c r="CC431" s="68">
        <v>9380</v>
      </c>
      <c r="CD431" s="68">
        <v>82792</v>
      </c>
      <c r="CE431" s="64"/>
      <c r="CF431" s="64"/>
      <c r="CG431" s="70">
        <f t="shared" si="32"/>
        <v>5362.518</v>
      </c>
      <c r="CH431" s="70">
        <f t="shared" si="33"/>
        <v>245.238</v>
      </c>
      <c r="CI431" s="70">
        <f t="shared" si="34"/>
        <v>393.96</v>
      </c>
      <c r="CJ431" s="70">
        <f t="shared" si="35"/>
        <v>4638.6480000000001</v>
      </c>
      <c r="CK431" s="70">
        <f t="shared" si="35"/>
        <v>4712.2740000000003</v>
      </c>
      <c r="CL431" s="70">
        <f t="shared" si="31"/>
        <v>3477.2640000000001</v>
      </c>
      <c r="CM431" s="61"/>
      <c r="CN431" s="61"/>
      <c r="CO431" s="61"/>
      <c r="CP431" s="61"/>
      <c r="CQ431" s="61"/>
      <c r="CR431" s="61"/>
      <c r="CS431" s="61"/>
      <c r="CT431" s="61"/>
      <c r="CU431" s="61"/>
      <c r="CV431" s="61"/>
      <c r="CW431" s="61"/>
      <c r="CX431" s="61"/>
      <c r="CY431" s="61"/>
      <c r="CZ431" s="61"/>
      <c r="DA431" s="61"/>
      <c r="DB431" s="61"/>
      <c r="DC431" s="61"/>
      <c r="DD431" s="61"/>
      <c r="DE431" s="61"/>
      <c r="DF431" s="61"/>
      <c r="DG431" s="61"/>
      <c r="DH431" s="61"/>
      <c r="DI431" s="61"/>
      <c r="DJ431" s="61"/>
      <c r="DK431" s="61"/>
      <c r="DL431" s="61"/>
      <c r="DM431" s="61"/>
      <c r="DN431" s="61"/>
      <c r="DO431" s="61"/>
      <c r="DP431" s="61"/>
      <c r="DQ431" s="61"/>
      <c r="DR431" s="61"/>
      <c r="DS431" s="61"/>
      <c r="DT431" s="61"/>
      <c r="DU431" s="61"/>
      <c r="DV431" s="61"/>
      <c r="DW431" s="61"/>
      <c r="DX431" s="61"/>
      <c r="DY431" s="61"/>
      <c r="DZ431" s="61"/>
      <c r="EA431" s="61"/>
      <c r="EB431" s="61"/>
      <c r="EC431" s="61"/>
      <c r="ED431" s="61"/>
      <c r="EE431" s="61"/>
      <c r="EF431" s="61"/>
      <c r="EG431" s="61"/>
      <c r="EH431" s="61"/>
      <c r="EI431" s="61"/>
      <c r="EJ431" s="61"/>
      <c r="EK431" s="61"/>
      <c r="EL431" s="61"/>
      <c r="EM431" s="61"/>
      <c r="EN431" s="61"/>
      <c r="EO431" s="61"/>
      <c r="EP431" s="61"/>
      <c r="EQ431" s="61"/>
      <c r="ER431" s="61"/>
      <c r="ES431" s="61"/>
      <c r="ET431" s="61"/>
      <c r="EU431" s="61"/>
      <c r="EV431" s="61"/>
      <c r="EW431" s="61"/>
    </row>
    <row r="432" spans="1:153">
      <c r="A432" s="56">
        <v>39722</v>
      </c>
      <c r="B432" s="57">
        <v>2008</v>
      </c>
      <c r="C432" s="71">
        <v>7.9569999999999999</v>
      </c>
      <c r="D432" s="61">
        <v>0.108</v>
      </c>
      <c r="E432" s="61">
        <v>1464.645</v>
      </c>
      <c r="F432" s="61">
        <v>61.515000000000001</v>
      </c>
      <c r="G432" s="61">
        <v>7.8490000000000002</v>
      </c>
      <c r="H432" s="61">
        <v>745.53099999999995</v>
      </c>
      <c r="I432" s="61">
        <v>1377.877</v>
      </c>
      <c r="J432" s="61">
        <v>-632.346</v>
      </c>
      <c r="K432" s="61"/>
      <c r="L432" s="61"/>
      <c r="M432" s="61">
        <v>832.29899999999998</v>
      </c>
      <c r="N432" s="61">
        <v>34.957000000000001</v>
      </c>
      <c r="O432" s="71">
        <v>4.46</v>
      </c>
      <c r="P432" s="60">
        <v>169.452</v>
      </c>
      <c r="Q432" s="61">
        <v>124.307</v>
      </c>
      <c r="R432" s="61">
        <v>330.125</v>
      </c>
      <c r="S432" s="61">
        <v>552.07399999999996</v>
      </c>
      <c r="T432" s="61">
        <v>152.441</v>
      </c>
      <c r="U432" s="61">
        <v>16.495000000000001</v>
      </c>
      <c r="V432" s="61">
        <v>6.1440000000000001</v>
      </c>
      <c r="W432" s="61">
        <v>46.87</v>
      </c>
      <c r="X432" s="61">
        <v>169.452</v>
      </c>
      <c r="Y432" s="61">
        <v>36.366</v>
      </c>
      <c r="Z432" s="61">
        <v>126.128</v>
      </c>
      <c r="AA432" s="61">
        <v>331.94600000000003</v>
      </c>
      <c r="AB432" s="60">
        <v>553.89499999999998</v>
      </c>
      <c r="AC432" s="62"/>
      <c r="AD432" s="61"/>
      <c r="AE432" s="61"/>
      <c r="AF432" s="61"/>
      <c r="AG432" s="61"/>
      <c r="AH432" s="61"/>
      <c r="AI432" s="61"/>
      <c r="AJ432" s="61"/>
      <c r="AK432" s="62"/>
      <c r="AL432" s="63"/>
      <c r="AM432" s="64"/>
      <c r="AN432" s="65" t="e">
        <v>#N/A</v>
      </c>
      <c r="AO432" s="61" t="e">
        <v>#N/A</v>
      </c>
      <c r="AP432" s="61" t="e">
        <v>#N/A</v>
      </c>
      <c r="AQ432" s="61" t="e">
        <v>#N/A</v>
      </c>
      <c r="AR432" s="61" t="e">
        <v>#N/A</v>
      </c>
      <c r="AS432" s="61" t="e">
        <v>#N/A</v>
      </c>
      <c r="AT432" s="61" t="e">
        <v>#N/A</v>
      </c>
      <c r="AU432" s="61" t="e">
        <v>#N/A</v>
      </c>
      <c r="AV432" s="61" t="e">
        <v>#N/A</v>
      </c>
      <c r="AW432" s="61" t="e">
        <v>#N/A</v>
      </c>
      <c r="AX432" s="65" t="e">
        <v>#N/A</v>
      </c>
      <c r="AY432" s="66">
        <v>2.2360000000000002</v>
      </c>
      <c r="AZ432" s="61">
        <v>4.9850000000000003</v>
      </c>
      <c r="BA432" s="61">
        <v>39.808999999999997</v>
      </c>
      <c r="BB432" s="61">
        <v>47.03</v>
      </c>
      <c r="BC432" s="61">
        <v>2.9000000000000001E-2</v>
      </c>
      <c r="BD432" s="61">
        <v>1.254</v>
      </c>
      <c r="BE432" s="61">
        <v>0.46300000000000002</v>
      </c>
      <c r="BF432" s="61" t="s">
        <v>122</v>
      </c>
      <c r="BG432" s="61">
        <v>6.1639999999999997</v>
      </c>
      <c r="BH432" s="61">
        <v>2.7690000000000001</v>
      </c>
      <c r="BI432" s="61">
        <v>0.19900000000000001</v>
      </c>
      <c r="BJ432" s="61">
        <v>9.1319999999999997</v>
      </c>
      <c r="BK432" s="66">
        <v>10.878</v>
      </c>
      <c r="BL432" s="67">
        <v>73.453000000000003</v>
      </c>
      <c r="BM432" s="61">
        <v>4.46</v>
      </c>
      <c r="BN432" s="61" t="s">
        <v>121</v>
      </c>
      <c r="BO432" s="61" t="s">
        <v>121</v>
      </c>
      <c r="BP432" s="61">
        <v>77.912999999999997</v>
      </c>
      <c r="BQ432" s="61">
        <v>151.47300000000001</v>
      </c>
      <c r="BR432" s="61">
        <v>12.582000000000001</v>
      </c>
      <c r="BS432" s="61">
        <v>0.59399999999999997</v>
      </c>
      <c r="BT432" s="61">
        <v>46.87</v>
      </c>
      <c r="BU432" s="61">
        <v>13.504</v>
      </c>
      <c r="BV432" s="61">
        <v>21.199000000000002</v>
      </c>
      <c r="BW432" s="61">
        <v>34.703000000000003</v>
      </c>
      <c r="BX432" s="67">
        <v>246.22200000000001</v>
      </c>
      <c r="BY432" s="68">
        <v>137489</v>
      </c>
      <c r="BZ432" s="68">
        <v>129636</v>
      </c>
      <c r="CA432" s="69">
        <v>5141</v>
      </c>
      <c r="CB432" s="68">
        <v>127595</v>
      </c>
      <c r="CC432" s="68">
        <v>13078</v>
      </c>
      <c r="CD432" s="68">
        <v>99185</v>
      </c>
      <c r="CE432" s="64"/>
      <c r="CF432" s="64"/>
      <c r="CG432" s="70">
        <f t="shared" si="32"/>
        <v>5358.99</v>
      </c>
      <c r="CH432" s="70">
        <f t="shared" si="33"/>
        <v>215.922</v>
      </c>
      <c r="CI432" s="70">
        <f t="shared" si="34"/>
        <v>549.27599999999995</v>
      </c>
      <c r="CJ432" s="70">
        <f t="shared" si="35"/>
        <v>5774.5379999999996</v>
      </c>
      <c r="CK432" s="70">
        <f t="shared" si="35"/>
        <v>5444.7120000000004</v>
      </c>
      <c r="CL432" s="70">
        <f t="shared" si="31"/>
        <v>4165.7700000000004</v>
      </c>
      <c r="CM432" s="61"/>
      <c r="CN432" s="61"/>
      <c r="CO432" s="61"/>
      <c r="CP432" s="61"/>
      <c r="CQ432" s="61"/>
      <c r="CR432" s="61"/>
      <c r="CS432" s="61"/>
      <c r="CT432" s="61"/>
      <c r="CU432" s="61"/>
      <c r="CV432" s="61"/>
      <c r="CW432" s="61"/>
      <c r="CX432" s="61"/>
      <c r="CY432" s="61"/>
      <c r="CZ432" s="61"/>
      <c r="DA432" s="61"/>
      <c r="DB432" s="61"/>
      <c r="DC432" s="61"/>
      <c r="DD432" s="61"/>
      <c r="DE432" s="61"/>
      <c r="DF432" s="61"/>
      <c r="DG432" s="61"/>
      <c r="DH432" s="61"/>
      <c r="DI432" s="61"/>
      <c r="DJ432" s="61"/>
      <c r="DK432" s="61"/>
      <c r="DL432" s="61"/>
      <c r="DM432" s="61"/>
      <c r="DN432" s="61"/>
      <c r="DO432" s="61"/>
      <c r="DP432" s="61"/>
      <c r="DQ432" s="61"/>
      <c r="DR432" s="61"/>
      <c r="DS432" s="61"/>
      <c r="DT432" s="61"/>
      <c r="DU432" s="61"/>
      <c r="DV432" s="61"/>
      <c r="DW432" s="61"/>
      <c r="DX432" s="61"/>
      <c r="DY432" s="61"/>
      <c r="DZ432" s="61"/>
      <c r="EA432" s="61"/>
      <c r="EB432" s="61"/>
      <c r="EC432" s="61"/>
      <c r="ED432" s="61"/>
      <c r="EE432" s="61"/>
      <c r="EF432" s="61"/>
      <c r="EG432" s="61"/>
      <c r="EH432" s="61"/>
      <c r="EI432" s="61"/>
      <c r="EJ432" s="61"/>
      <c r="EK432" s="61"/>
      <c r="EL432" s="61"/>
      <c r="EM432" s="61"/>
      <c r="EN432" s="61"/>
      <c r="EO432" s="61"/>
      <c r="EP432" s="61"/>
      <c r="EQ432" s="61"/>
      <c r="ER432" s="61"/>
      <c r="ES432" s="61"/>
      <c r="ET432" s="61"/>
      <c r="EU432" s="61"/>
      <c r="EV432" s="61"/>
      <c r="EW432" s="61"/>
    </row>
    <row r="433" spans="1:153">
      <c r="A433" s="56">
        <v>39753</v>
      </c>
      <c r="B433" s="57">
        <v>2008</v>
      </c>
      <c r="C433" s="71">
        <v>7.8129999999999997</v>
      </c>
      <c r="D433" s="61">
        <v>0.106</v>
      </c>
      <c r="E433" s="61">
        <v>1437.981</v>
      </c>
      <c r="F433" s="61">
        <v>60.395000000000003</v>
      </c>
      <c r="G433" s="61">
        <v>7.7060000000000004</v>
      </c>
      <c r="H433" s="61">
        <v>632.29600000000005</v>
      </c>
      <c r="I433" s="61">
        <v>1220.6379999999999</v>
      </c>
      <c r="J433" s="61">
        <v>-588.34199999999998</v>
      </c>
      <c r="K433" s="61"/>
      <c r="L433" s="61"/>
      <c r="M433" s="61">
        <v>849.63900000000001</v>
      </c>
      <c r="N433" s="61">
        <v>35.685000000000002</v>
      </c>
      <c r="O433" s="71">
        <v>4.5529999999999999</v>
      </c>
      <c r="P433" s="60">
        <v>166.136</v>
      </c>
      <c r="Q433" s="61">
        <v>124.69</v>
      </c>
      <c r="R433" s="61">
        <v>327.31700000000001</v>
      </c>
      <c r="S433" s="61">
        <v>551.69299999999998</v>
      </c>
      <c r="T433" s="61">
        <v>154.392</v>
      </c>
      <c r="U433" s="61">
        <v>15.94</v>
      </c>
      <c r="V433" s="61">
        <v>4.8369999999999997</v>
      </c>
      <c r="W433" s="61">
        <v>49.207000000000001</v>
      </c>
      <c r="X433" s="61">
        <v>166.136</v>
      </c>
      <c r="Y433" s="61">
        <v>36.491</v>
      </c>
      <c r="Z433" s="61">
        <v>122.252</v>
      </c>
      <c r="AA433" s="61">
        <v>324.87799999999999</v>
      </c>
      <c r="AB433" s="60">
        <v>549.25400000000002</v>
      </c>
      <c r="AC433" s="62"/>
      <c r="AD433" s="61"/>
      <c r="AE433" s="61"/>
      <c r="AF433" s="61"/>
      <c r="AG433" s="61"/>
      <c r="AH433" s="61"/>
      <c r="AI433" s="61"/>
      <c r="AJ433" s="61"/>
      <c r="AK433" s="62"/>
      <c r="AL433" s="63"/>
      <c r="AM433" s="64"/>
      <c r="AN433" s="65" t="e">
        <v>#N/A</v>
      </c>
      <c r="AO433" s="61" t="e">
        <v>#N/A</v>
      </c>
      <c r="AP433" s="61" t="e">
        <v>#N/A</v>
      </c>
      <c r="AQ433" s="61" t="e">
        <v>#N/A</v>
      </c>
      <c r="AR433" s="61" t="e">
        <v>#N/A</v>
      </c>
      <c r="AS433" s="61" t="e">
        <v>#N/A</v>
      </c>
      <c r="AT433" s="61" t="e">
        <v>#N/A</v>
      </c>
      <c r="AU433" s="61" t="e">
        <v>#N/A</v>
      </c>
      <c r="AV433" s="61" t="e">
        <v>#N/A</v>
      </c>
      <c r="AW433" s="61" t="e">
        <v>#N/A</v>
      </c>
      <c r="AX433" s="65" t="e">
        <v>#N/A</v>
      </c>
      <c r="AY433" s="66">
        <v>2.1640000000000001</v>
      </c>
      <c r="AZ433" s="61">
        <v>4.0890000000000004</v>
      </c>
      <c r="BA433" s="61">
        <v>38.524999999999999</v>
      </c>
      <c r="BB433" s="61">
        <v>44.777000000000001</v>
      </c>
      <c r="BC433" s="61">
        <v>3.1E-2</v>
      </c>
      <c r="BD433" s="61">
        <v>1.2130000000000001</v>
      </c>
      <c r="BE433" s="61">
        <v>0.38</v>
      </c>
      <c r="BF433" s="61" t="s">
        <v>122</v>
      </c>
      <c r="BG433" s="61">
        <v>5.984</v>
      </c>
      <c r="BH433" s="61">
        <v>2.806</v>
      </c>
      <c r="BI433" s="61">
        <v>0.188</v>
      </c>
      <c r="BJ433" s="61">
        <v>8.9779999999999998</v>
      </c>
      <c r="BK433" s="66">
        <v>10.602</v>
      </c>
      <c r="BL433" s="67">
        <v>69.344999999999999</v>
      </c>
      <c r="BM433" s="61">
        <v>4.5529999999999999</v>
      </c>
      <c r="BN433" s="61" t="s">
        <v>121</v>
      </c>
      <c r="BO433" s="61" t="s">
        <v>121</v>
      </c>
      <c r="BP433" s="61">
        <v>73.899000000000001</v>
      </c>
      <c r="BQ433" s="61">
        <v>153.18899999999999</v>
      </c>
      <c r="BR433" s="61">
        <v>12.153</v>
      </c>
      <c r="BS433" s="61">
        <v>0.28399999999999997</v>
      </c>
      <c r="BT433" s="61">
        <v>49.207000000000001</v>
      </c>
      <c r="BU433" s="61">
        <v>15.039</v>
      </c>
      <c r="BV433" s="61">
        <v>21.283999999999999</v>
      </c>
      <c r="BW433" s="61">
        <v>36.323</v>
      </c>
      <c r="BX433" s="67">
        <v>251.15700000000001</v>
      </c>
      <c r="BY433" s="68">
        <v>134659</v>
      </c>
      <c r="BZ433" s="68">
        <v>116147</v>
      </c>
      <c r="CA433" s="69">
        <v>6087</v>
      </c>
      <c r="CB433" s="68">
        <v>135876</v>
      </c>
      <c r="CC433" s="68">
        <v>16318</v>
      </c>
      <c r="CD433" s="68">
        <v>97978</v>
      </c>
      <c r="CE433" s="64"/>
      <c r="CF433" s="64"/>
      <c r="CG433" s="70">
        <f t="shared" si="32"/>
        <v>5706.7920000000004</v>
      </c>
      <c r="CH433" s="70">
        <f t="shared" si="33"/>
        <v>255.654</v>
      </c>
      <c r="CI433" s="70">
        <f t="shared" si="34"/>
        <v>685.35599999999999</v>
      </c>
      <c r="CJ433" s="70">
        <f t="shared" si="35"/>
        <v>5655.6779999999999</v>
      </c>
      <c r="CK433" s="70">
        <f t="shared" si="35"/>
        <v>4878.174</v>
      </c>
      <c r="CL433" s="70">
        <f t="shared" si="31"/>
        <v>4115.076</v>
      </c>
      <c r="CM433" s="61"/>
      <c r="CN433" s="61"/>
      <c r="CO433" s="61"/>
      <c r="CP433" s="61"/>
      <c r="CQ433" s="61"/>
      <c r="CR433" s="61"/>
      <c r="CS433" s="61"/>
      <c r="CT433" s="61"/>
      <c r="CU433" s="61"/>
      <c r="CV433" s="61"/>
      <c r="CW433" s="61"/>
      <c r="CX433" s="61"/>
      <c r="CY433" s="61"/>
      <c r="CZ433" s="61"/>
      <c r="DA433" s="61"/>
      <c r="DB433" s="61"/>
      <c r="DC433" s="61"/>
      <c r="DD433" s="61"/>
      <c r="DE433" s="61"/>
      <c r="DF433" s="61"/>
      <c r="DG433" s="61"/>
      <c r="DH433" s="61"/>
      <c r="DI433" s="61"/>
      <c r="DJ433" s="61"/>
      <c r="DK433" s="61"/>
      <c r="DL433" s="61"/>
      <c r="DM433" s="61"/>
      <c r="DN433" s="61"/>
      <c r="DO433" s="61"/>
      <c r="DP433" s="61"/>
      <c r="DQ433" s="61"/>
      <c r="DR433" s="61"/>
      <c r="DS433" s="61"/>
      <c r="DT433" s="61"/>
      <c r="DU433" s="61"/>
      <c r="DV433" s="61"/>
      <c r="DW433" s="61"/>
      <c r="DX433" s="61"/>
      <c r="DY433" s="61"/>
      <c r="DZ433" s="61"/>
      <c r="EA433" s="61"/>
      <c r="EB433" s="61"/>
      <c r="EC433" s="61"/>
      <c r="ED433" s="61"/>
      <c r="EE433" s="61"/>
      <c r="EF433" s="61"/>
      <c r="EG433" s="61"/>
      <c r="EH433" s="61"/>
      <c r="EI433" s="61"/>
      <c r="EJ433" s="61"/>
      <c r="EK433" s="61"/>
      <c r="EL433" s="61"/>
      <c r="EM433" s="61"/>
      <c r="EN433" s="61"/>
      <c r="EO433" s="61"/>
      <c r="EP433" s="61"/>
      <c r="EQ433" s="61"/>
      <c r="ER433" s="61"/>
      <c r="ES433" s="61"/>
      <c r="ET433" s="61"/>
      <c r="EU433" s="61"/>
      <c r="EV433" s="61"/>
      <c r="EW433" s="61"/>
    </row>
    <row r="434" spans="1:153">
      <c r="A434" s="56">
        <v>39783</v>
      </c>
      <c r="B434" s="57">
        <v>2008</v>
      </c>
      <c r="C434" s="71">
        <v>5.7130000000000001</v>
      </c>
      <c r="D434" s="61">
        <v>7.8E-2</v>
      </c>
      <c r="E434" s="61">
        <v>1051.617</v>
      </c>
      <c r="F434" s="61">
        <v>44.167999999999999</v>
      </c>
      <c r="G434" s="61">
        <v>5.6360000000000001</v>
      </c>
      <c r="H434" s="61">
        <v>417.459</v>
      </c>
      <c r="I434" s="61">
        <v>792.005</v>
      </c>
      <c r="J434" s="61">
        <v>-374.54700000000003</v>
      </c>
      <c r="K434" s="61"/>
      <c r="L434" s="61"/>
      <c r="M434" s="61">
        <v>677.07100000000003</v>
      </c>
      <c r="N434" s="61">
        <v>28.437000000000001</v>
      </c>
      <c r="O434" s="71">
        <v>3.6280000000000001</v>
      </c>
      <c r="P434" s="60">
        <v>161.91</v>
      </c>
      <c r="Q434" s="61">
        <v>123.76900000000001</v>
      </c>
      <c r="R434" s="61">
        <v>323.10199999999998</v>
      </c>
      <c r="S434" s="61">
        <v>614.70899999999995</v>
      </c>
      <c r="T434" s="61">
        <v>205.56899999999999</v>
      </c>
      <c r="U434" s="61">
        <v>16.338999999999999</v>
      </c>
      <c r="V434" s="61">
        <v>4.5060000000000002</v>
      </c>
      <c r="W434" s="61">
        <v>65.192999999999998</v>
      </c>
      <c r="X434" s="61">
        <v>161.91</v>
      </c>
      <c r="Y434" s="61">
        <v>37.421999999999997</v>
      </c>
      <c r="Z434" s="61">
        <v>127.044</v>
      </c>
      <c r="AA434" s="61">
        <v>326.37700000000001</v>
      </c>
      <c r="AB434" s="60">
        <v>617.98400000000004</v>
      </c>
      <c r="AC434" s="62"/>
      <c r="AD434" s="61"/>
      <c r="AE434" s="61"/>
      <c r="AF434" s="61"/>
      <c r="AG434" s="61"/>
      <c r="AH434" s="61"/>
      <c r="AI434" s="61"/>
      <c r="AJ434" s="61"/>
      <c r="AK434" s="62"/>
      <c r="AL434" s="63"/>
      <c r="AM434" s="64"/>
      <c r="AN434" s="65" t="e">
        <v>#N/A</v>
      </c>
      <c r="AO434" s="61" t="e">
        <v>#N/A</v>
      </c>
      <c r="AP434" s="61" t="e">
        <v>#N/A</v>
      </c>
      <c r="AQ434" s="61" t="e">
        <v>#N/A</v>
      </c>
      <c r="AR434" s="61" t="e">
        <v>#N/A</v>
      </c>
      <c r="AS434" s="61" t="e">
        <v>#N/A</v>
      </c>
      <c r="AT434" s="61" t="e">
        <v>#N/A</v>
      </c>
      <c r="AU434" s="61" t="e">
        <v>#N/A</v>
      </c>
      <c r="AV434" s="61" t="e">
        <v>#N/A</v>
      </c>
      <c r="AW434" s="61" t="e">
        <v>#N/A</v>
      </c>
      <c r="AX434" s="65" t="e">
        <v>#N/A</v>
      </c>
      <c r="AY434" s="66">
        <v>2.2360000000000002</v>
      </c>
      <c r="AZ434" s="61">
        <v>3.8809999999999998</v>
      </c>
      <c r="BA434" s="61">
        <v>39.808999999999997</v>
      </c>
      <c r="BB434" s="61">
        <v>45.926000000000002</v>
      </c>
      <c r="BC434" s="61">
        <v>5.3999999999999999E-2</v>
      </c>
      <c r="BD434" s="61">
        <v>1.254</v>
      </c>
      <c r="BE434" s="61">
        <v>0.36</v>
      </c>
      <c r="BF434" s="61" t="s">
        <v>122</v>
      </c>
      <c r="BG434" s="61">
        <v>6.1719999999999997</v>
      </c>
      <c r="BH434" s="61">
        <v>2.8370000000000002</v>
      </c>
      <c r="BI434" s="61">
        <v>0.20200000000000001</v>
      </c>
      <c r="BJ434" s="61">
        <v>9.2110000000000003</v>
      </c>
      <c r="BK434" s="66">
        <v>10.88</v>
      </c>
      <c r="BL434" s="67">
        <v>74.525999999999996</v>
      </c>
      <c r="BM434" s="61">
        <v>3.6280000000000001</v>
      </c>
      <c r="BN434" s="61" t="s">
        <v>121</v>
      </c>
      <c r="BO434" s="61" t="s">
        <v>121</v>
      </c>
      <c r="BP434" s="61">
        <v>78.155000000000001</v>
      </c>
      <c r="BQ434" s="61">
        <v>203.935</v>
      </c>
      <c r="BR434" s="61">
        <v>12.426</v>
      </c>
      <c r="BS434" s="61">
        <v>0.184</v>
      </c>
      <c r="BT434" s="61">
        <v>65.192999999999998</v>
      </c>
      <c r="BU434" s="61">
        <v>15.875</v>
      </c>
      <c r="BV434" s="61">
        <v>21.803999999999998</v>
      </c>
      <c r="BW434" s="61">
        <v>37.679000000000002</v>
      </c>
      <c r="BX434" s="67">
        <v>319.41699999999997</v>
      </c>
      <c r="BY434" s="68">
        <v>139849</v>
      </c>
      <c r="BZ434" s="68">
        <v>117275</v>
      </c>
      <c r="CA434" s="69">
        <v>8123</v>
      </c>
      <c r="CB434" s="68">
        <v>146013</v>
      </c>
      <c r="CC434" s="68">
        <v>20560</v>
      </c>
      <c r="CD434" s="68">
        <v>100483</v>
      </c>
      <c r="CE434" s="64"/>
      <c r="CF434" s="64"/>
      <c r="CG434" s="70">
        <f t="shared" si="32"/>
        <v>6132.5460000000003</v>
      </c>
      <c r="CH434" s="70">
        <f t="shared" si="33"/>
        <v>341.166</v>
      </c>
      <c r="CI434" s="70">
        <f t="shared" si="34"/>
        <v>863.52</v>
      </c>
      <c r="CJ434" s="70">
        <f t="shared" si="35"/>
        <v>5873.6580000000004</v>
      </c>
      <c r="CK434" s="70">
        <f t="shared" si="35"/>
        <v>4925.55</v>
      </c>
      <c r="CL434" s="70">
        <f t="shared" si="31"/>
        <v>4220.2860000000001</v>
      </c>
      <c r="CM434" s="61"/>
      <c r="CN434" s="61"/>
      <c r="CO434" s="61"/>
      <c r="CP434" s="61"/>
      <c r="CQ434" s="61"/>
      <c r="CR434" s="61"/>
      <c r="CS434" s="61"/>
      <c r="CT434" s="61"/>
      <c r="CU434" s="61"/>
      <c r="CV434" s="61"/>
      <c r="CW434" s="61"/>
      <c r="CX434" s="61"/>
      <c r="CY434" s="61"/>
      <c r="CZ434" s="61"/>
      <c r="DA434" s="61"/>
      <c r="DB434" s="61"/>
      <c r="DC434" s="61"/>
      <c r="DD434" s="61"/>
      <c r="DE434" s="61"/>
      <c r="DF434" s="61"/>
      <c r="DG434" s="61"/>
      <c r="DH434" s="61"/>
      <c r="DI434" s="61"/>
      <c r="DJ434" s="61"/>
      <c r="DK434" s="61"/>
      <c r="DL434" s="61"/>
      <c r="DM434" s="61"/>
      <c r="DN434" s="61"/>
      <c r="DO434" s="61"/>
      <c r="DP434" s="61"/>
      <c r="DQ434" s="61"/>
      <c r="DR434" s="61"/>
      <c r="DS434" s="61"/>
      <c r="DT434" s="61"/>
      <c r="DU434" s="61"/>
      <c r="DV434" s="61"/>
      <c r="DW434" s="61"/>
      <c r="DX434" s="61"/>
      <c r="DY434" s="61"/>
      <c r="DZ434" s="61"/>
      <c r="EA434" s="61"/>
      <c r="EB434" s="61"/>
      <c r="EC434" s="61"/>
      <c r="ED434" s="61"/>
      <c r="EE434" s="61"/>
      <c r="EF434" s="61"/>
      <c r="EG434" s="61"/>
      <c r="EH434" s="61"/>
      <c r="EI434" s="61"/>
      <c r="EJ434" s="61"/>
      <c r="EK434" s="61"/>
      <c r="EL434" s="61"/>
      <c r="EM434" s="61"/>
      <c r="EN434" s="61"/>
      <c r="EO434" s="61"/>
      <c r="EP434" s="61"/>
      <c r="EQ434" s="61"/>
      <c r="ER434" s="61"/>
      <c r="ES434" s="61"/>
      <c r="ET434" s="61"/>
      <c r="EU434" s="61"/>
      <c r="EV434" s="61"/>
      <c r="EW434" s="61"/>
    </row>
    <row r="435" spans="1:153">
      <c r="A435" s="56">
        <v>39814</v>
      </c>
      <c r="B435" s="57">
        <v>2009</v>
      </c>
      <c r="C435" s="71">
        <v>5.4829999999999997</v>
      </c>
      <c r="D435" s="61">
        <v>7.4999999999999997E-2</v>
      </c>
      <c r="E435" s="61">
        <v>1009.1130000000001</v>
      </c>
      <c r="F435" s="61">
        <v>42.383000000000003</v>
      </c>
      <c r="G435" s="61">
        <v>5.4080000000000004</v>
      </c>
      <c r="H435" s="61">
        <v>269.62099999999998</v>
      </c>
      <c r="I435" s="61">
        <v>1188.915</v>
      </c>
      <c r="J435" s="61">
        <v>-919.29399999999998</v>
      </c>
      <c r="K435" s="61">
        <v>664</v>
      </c>
      <c r="L435" s="61">
        <v>664</v>
      </c>
      <c r="M435" s="61">
        <v>79</v>
      </c>
      <c r="N435" s="61">
        <v>3.3180000000000001</v>
      </c>
      <c r="O435" s="71">
        <v>0.42299999999999999</v>
      </c>
      <c r="P435" s="60">
        <v>162.35599999999999</v>
      </c>
      <c r="Q435" s="61">
        <v>118.53400000000001</v>
      </c>
      <c r="R435" s="61">
        <v>318.35300000000001</v>
      </c>
      <c r="S435" s="61">
        <v>626.62599999999998</v>
      </c>
      <c r="T435" s="61">
        <v>229.26499999999999</v>
      </c>
      <c r="U435" s="61">
        <v>17.14</v>
      </c>
      <c r="V435" s="61">
        <v>3.7890000000000001</v>
      </c>
      <c r="W435" s="61">
        <v>58.08</v>
      </c>
      <c r="X435" s="61">
        <v>162.35599999999999</v>
      </c>
      <c r="Y435" s="61">
        <v>37.463000000000001</v>
      </c>
      <c r="Z435" s="61">
        <v>113.896</v>
      </c>
      <c r="AA435" s="61">
        <v>313.71499999999997</v>
      </c>
      <c r="AB435" s="60">
        <v>621.98900000000003</v>
      </c>
      <c r="AC435" s="62"/>
      <c r="AD435" s="61"/>
      <c r="AE435" s="61"/>
      <c r="AF435" s="61"/>
      <c r="AG435" s="61"/>
      <c r="AH435" s="61"/>
      <c r="AI435" s="61"/>
      <c r="AJ435" s="61"/>
      <c r="AK435" s="62"/>
      <c r="AL435" s="63"/>
      <c r="AM435" s="64"/>
      <c r="AN435" s="65" t="e">
        <v>#N/A</v>
      </c>
      <c r="AO435" s="61" t="e">
        <v>#N/A</v>
      </c>
      <c r="AP435" s="61" t="e">
        <v>#N/A</v>
      </c>
      <c r="AQ435" s="61" t="e">
        <v>#N/A</v>
      </c>
      <c r="AR435" s="61" t="e">
        <v>#N/A</v>
      </c>
      <c r="AS435" s="61" t="e">
        <v>#N/A</v>
      </c>
      <c r="AT435" s="61" t="e">
        <v>#N/A</v>
      </c>
      <c r="AU435" s="61" t="e">
        <v>#N/A</v>
      </c>
      <c r="AV435" s="61" t="e">
        <v>#N/A</v>
      </c>
      <c r="AW435" s="61" t="e">
        <v>#N/A</v>
      </c>
      <c r="AX435" s="65" t="e">
        <v>#N/A</v>
      </c>
      <c r="AY435" s="66">
        <v>2.786</v>
      </c>
      <c r="AZ435" s="61">
        <v>3.2410000000000001</v>
      </c>
      <c r="BA435" s="61">
        <v>42.805</v>
      </c>
      <c r="BB435" s="61">
        <v>48.832000000000001</v>
      </c>
      <c r="BC435" s="61">
        <v>8.4000000000000005E-2</v>
      </c>
      <c r="BD435" s="61">
        <v>1.4179999999999999</v>
      </c>
      <c r="BE435" s="61">
        <v>0.39100000000000001</v>
      </c>
      <c r="BF435" s="61">
        <v>0</v>
      </c>
      <c r="BG435" s="61">
        <v>6.1550000000000002</v>
      </c>
      <c r="BH435" s="61">
        <v>2.927</v>
      </c>
      <c r="BI435" s="61">
        <v>0.21099999999999999</v>
      </c>
      <c r="BJ435" s="61">
        <v>9.2929999999999993</v>
      </c>
      <c r="BK435" s="66">
        <v>11.188000000000001</v>
      </c>
      <c r="BL435" s="67">
        <v>66.966999999999999</v>
      </c>
      <c r="BM435" s="61">
        <v>0.42299999999999999</v>
      </c>
      <c r="BN435" s="61" t="s">
        <v>121</v>
      </c>
      <c r="BO435" s="61" t="s">
        <v>121</v>
      </c>
      <c r="BP435" s="61">
        <v>67.39</v>
      </c>
      <c r="BQ435" s="61">
        <v>227.56899999999999</v>
      </c>
      <c r="BR435" s="61">
        <v>12.579000000000001</v>
      </c>
      <c r="BS435" s="61">
        <v>7.0000000000000007E-2</v>
      </c>
      <c r="BT435" s="61">
        <v>58.08</v>
      </c>
      <c r="BU435" s="61">
        <v>16.882000000000001</v>
      </c>
      <c r="BV435" s="61">
        <v>20.611999999999998</v>
      </c>
      <c r="BW435" s="61">
        <v>37.494</v>
      </c>
      <c r="BX435" s="67">
        <v>335.79199999999997</v>
      </c>
      <c r="BY435" s="68">
        <v>132789</v>
      </c>
      <c r="BZ435" s="68">
        <v>126436</v>
      </c>
      <c r="CA435" s="69">
        <v>11410</v>
      </c>
      <c r="CB435" s="68">
        <v>143730</v>
      </c>
      <c r="CC435" s="68">
        <v>20046</v>
      </c>
      <c r="CD435" s="68">
        <v>96778</v>
      </c>
      <c r="CE435" s="64"/>
      <c r="CF435" s="64"/>
      <c r="CG435" s="70">
        <f t="shared" si="32"/>
        <v>6036.66</v>
      </c>
      <c r="CH435" s="70">
        <f t="shared" si="33"/>
        <v>479.22</v>
      </c>
      <c r="CI435" s="70">
        <f t="shared" si="34"/>
        <v>841.93200000000002</v>
      </c>
      <c r="CJ435" s="70">
        <f t="shared" si="35"/>
        <v>5577.1379999999999</v>
      </c>
      <c r="CK435" s="70">
        <f t="shared" si="35"/>
        <v>5310.3119999999999</v>
      </c>
      <c r="CL435" s="70">
        <f t="shared" si="31"/>
        <v>4064.6759999999999</v>
      </c>
      <c r="CM435" s="61"/>
      <c r="CN435" s="61"/>
      <c r="CO435" s="61"/>
      <c r="CP435" s="61"/>
      <c r="CQ435" s="61"/>
      <c r="CR435" s="61"/>
      <c r="CS435" s="61"/>
      <c r="CT435" s="61"/>
      <c r="CU435" s="61"/>
      <c r="CV435" s="61"/>
      <c r="CW435" s="61"/>
      <c r="CX435" s="61"/>
      <c r="CY435" s="61"/>
      <c r="CZ435" s="61"/>
      <c r="DA435" s="61"/>
      <c r="DB435" s="61"/>
      <c r="DC435" s="61"/>
      <c r="DD435" s="61"/>
      <c r="DE435" s="61"/>
      <c r="DF435" s="61"/>
      <c r="DG435" s="61"/>
      <c r="DH435" s="61"/>
      <c r="DI435" s="61"/>
      <c r="DJ435" s="61"/>
      <c r="DK435" s="61"/>
      <c r="DL435" s="61"/>
      <c r="DM435" s="61"/>
      <c r="DN435" s="61"/>
      <c r="DO435" s="61"/>
      <c r="DP435" s="61"/>
      <c r="DQ435" s="61"/>
      <c r="DR435" s="61"/>
      <c r="DS435" s="61"/>
      <c r="DT435" s="61"/>
      <c r="DU435" s="61"/>
      <c r="DV435" s="61"/>
      <c r="DW435" s="61"/>
      <c r="DX435" s="61"/>
      <c r="DY435" s="61"/>
      <c r="DZ435" s="61"/>
      <c r="EA435" s="61"/>
      <c r="EB435" s="61"/>
      <c r="EC435" s="61"/>
      <c r="ED435" s="61"/>
      <c r="EE435" s="61"/>
      <c r="EF435" s="61"/>
      <c r="EG435" s="61"/>
      <c r="EH435" s="61"/>
      <c r="EI435" s="61"/>
      <c r="EJ435" s="61"/>
      <c r="EK435" s="61"/>
      <c r="EL435" s="61"/>
      <c r="EM435" s="61"/>
      <c r="EN435" s="61"/>
      <c r="EO435" s="61"/>
      <c r="EP435" s="61"/>
      <c r="EQ435" s="61"/>
      <c r="ER435" s="61"/>
      <c r="ES435" s="61"/>
      <c r="ET435" s="61"/>
      <c r="EU435" s="61"/>
      <c r="EV435" s="61"/>
      <c r="EW435" s="61"/>
    </row>
    <row r="436" spans="1:153">
      <c r="A436" s="56">
        <v>39845</v>
      </c>
      <c r="B436" s="57">
        <v>2009</v>
      </c>
      <c r="C436" s="71">
        <v>4.3250000000000002</v>
      </c>
      <c r="D436" s="61">
        <v>5.8999999999999997E-2</v>
      </c>
      <c r="E436" s="61">
        <v>795.995</v>
      </c>
      <c r="F436" s="61">
        <v>33.432000000000002</v>
      </c>
      <c r="G436" s="61">
        <v>4.266</v>
      </c>
      <c r="H436" s="61">
        <v>162.82499999999999</v>
      </c>
      <c r="I436" s="61">
        <v>1205.4469999999999</v>
      </c>
      <c r="J436" s="61">
        <v>-1042.6220000000001</v>
      </c>
      <c r="K436" s="61">
        <v>424</v>
      </c>
      <c r="L436" s="61">
        <v>-240</v>
      </c>
      <c r="M436" s="61">
        <v>73</v>
      </c>
      <c r="N436" s="61">
        <v>3.0659999999999998</v>
      </c>
      <c r="O436" s="71">
        <v>0.39100000000000001</v>
      </c>
      <c r="P436" s="60">
        <v>150.55199999999999</v>
      </c>
      <c r="Q436" s="61">
        <v>109.634</v>
      </c>
      <c r="R436" s="61">
        <v>294.38900000000001</v>
      </c>
      <c r="S436" s="61">
        <v>545.17399999999998</v>
      </c>
      <c r="T436" s="61">
        <v>173.845</v>
      </c>
      <c r="U436" s="61">
        <v>15.516999999999999</v>
      </c>
      <c r="V436" s="61">
        <v>4.306</v>
      </c>
      <c r="W436" s="61">
        <v>57.116999999999997</v>
      </c>
      <c r="X436" s="61">
        <v>150.55199999999999</v>
      </c>
      <c r="Y436" s="61">
        <v>34.203000000000003</v>
      </c>
      <c r="Z436" s="61">
        <v>101.386</v>
      </c>
      <c r="AA436" s="61">
        <v>286.14100000000002</v>
      </c>
      <c r="AB436" s="60">
        <v>536.92600000000004</v>
      </c>
      <c r="AC436" s="62"/>
      <c r="AD436" s="61"/>
      <c r="AE436" s="61"/>
      <c r="AF436" s="61"/>
      <c r="AG436" s="61"/>
      <c r="AH436" s="61"/>
      <c r="AI436" s="61"/>
      <c r="AJ436" s="61"/>
      <c r="AK436" s="62"/>
      <c r="AL436" s="63"/>
      <c r="AM436" s="64"/>
      <c r="AN436" s="65" t="e">
        <v>#N/A</v>
      </c>
      <c r="AO436" s="61" t="e">
        <v>#N/A</v>
      </c>
      <c r="AP436" s="61" t="e">
        <v>#N/A</v>
      </c>
      <c r="AQ436" s="61" t="e">
        <v>#N/A</v>
      </c>
      <c r="AR436" s="61" t="e">
        <v>#N/A</v>
      </c>
      <c r="AS436" s="61" t="e">
        <v>#N/A</v>
      </c>
      <c r="AT436" s="61" t="e">
        <v>#N/A</v>
      </c>
      <c r="AU436" s="61" t="e">
        <v>#N/A</v>
      </c>
      <c r="AV436" s="61" t="e">
        <v>#N/A</v>
      </c>
      <c r="AW436" s="61" t="e">
        <v>#N/A</v>
      </c>
      <c r="AX436" s="65" t="e">
        <v>#N/A</v>
      </c>
      <c r="AY436" s="66">
        <v>2.516</v>
      </c>
      <c r="AZ436" s="61">
        <v>3.4929999999999999</v>
      </c>
      <c r="BA436" s="61">
        <v>38.662999999999997</v>
      </c>
      <c r="BB436" s="61">
        <v>44.673000000000002</v>
      </c>
      <c r="BC436" s="61">
        <v>6.2E-2</v>
      </c>
      <c r="BD436" s="61">
        <v>1.2809999999999999</v>
      </c>
      <c r="BE436" s="61">
        <v>0.42199999999999999</v>
      </c>
      <c r="BF436" s="61">
        <v>0</v>
      </c>
      <c r="BG436" s="61">
        <v>5.577</v>
      </c>
      <c r="BH436" s="61">
        <v>2.5840000000000001</v>
      </c>
      <c r="BI436" s="61">
        <v>0.182</v>
      </c>
      <c r="BJ436" s="61">
        <v>8.3439999999999994</v>
      </c>
      <c r="BK436" s="66">
        <v>10.108000000000001</v>
      </c>
      <c r="BL436" s="67">
        <v>57.765999999999998</v>
      </c>
      <c r="BM436" s="61">
        <v>0.39100000000000001</v>
      </c>
      <c r="BN436" s="61" t="s">
        <v>121</v>
      </c>
      <c r="BO436" s="61" t="s">
        <v>121</v>
      </c>
      <c r="BP436" s="61">
        <v>58.156999999999996</v>
      </c>
      <c r="BQ436" s="61">
        <v>172.38200000000001</v>
      </c>
      <c r="BR436" s="61">
        <v>11.398</v>
      </c>
      <c r="BS436" s="61">
        <v>0.29699999999999999</v>
      </c>
      <c r="BT436" s="61">
        <v>57.116999999999997</v>
      </c>
      <c r="BU436" s="61">
        <v>15.081</v>
      </c>
      <c r="BV436" s="61">
        <v>19.326000000000001</v>
      </c>
      <c r="BW436" s="61">
        <v>34.406999999999996</v>
      </c>
      <c r="BX436" s="67">
        <v>275.601</v>
      </c>
      <c r="BY436" s="68">
        <v>118477</v>
      </c>
      <c r="BZ436" s="68">
        <v>108181</v>
      </c>
      <c r="CA436" s="69">
        <v>9160</v>
      </c>
      <c r="CB436" s="68">
        <v>148105</v>
      </c>
      <c r="CC436" s="68">
        <v>15081</v>
      </c>
      <c r="CD436" s="68">
        <v>85883</v>
      </c>
      <c r="CE436" s="64"/>
      <c r="CF436" s="64"/>
      <c r="CG436" s="70">
        <f t="shared" si="32"/>
        <v>6220.41</v>
      </c>
      <c r="CH436" s="70">
        <f t="shared" si="33"/>
        <v>384.72</v>
      </c>
      <c r="CI436" s="70">
        <f t="shared" si="34"/>
        <v>633.40200000000004</v>
      </c>
      <c r="CJ436" s="70">
        <f t="shared" si="35"/>
        <v>4976.0339999999997</v>
      </c>
      <c r="CK436" s="70">
        <f t="shared" si="35"/>
        <v>4543.6019999999999</v>
      </c>
      <c r="CL436" s="70">
        <f t="shared" si="31"/>
        <v>3607.0859999999998</v>
      </c>
      <c r="CM436" s="61"/>
      <c r="CN436" s="61"/>
      <c r="CO436" s="61"/>
      <c r="CP436" s="61"/>
      <c r="CQ436" s="61"/>
      <c r="CR436" s="61"/>
      <c r="CS436" s="61"/>
      <c r="CT436" s="61"/>
      <c r="CU436" s="61"/>
      <c r="CV436" s="61"/>
      <c r="CW436" s="61"/>
      <c r="CX436" s="61"/>
      <c r="CY436" s="61"/>
      <c r="CZ436" s="61"/>
      <c r="DA436" s="61"/>
      <c r="DB436" s="61"/>
      <c r="DC436" s="61"/>
      <c r="DD436" s="61"/>
      <c r="DE436" s="61"/>
      <c r="DF436" s="61"/>
      <c r="DG436" s="61"/>
      <c r="DH436" s="61"/>
      <c r="DI436" s="61"/>
      <c r="DJ436" s="61"/>
      <c r="DK436" s="61"/>
      <c r="DL436" s="61"/>
      <c r="DM436" s="61"/>
      <c r="DN436" s="61"/>
      <c r="DO436" s="61"/>
      <c r="DP436" s="61"/>
      <c r="DQ436" s="61"/>
      <c r="DR436" s="61"/>
      <c r="DS436" s="61"/>
      <c r="DT436" s="61"/>
      <c r="DU436" s="61"/>
      <c r="DV436" s="61"/>
      <c r="DW436" s="61"/>
      <c r="DX436" s="61"/>
      <c r="DY436" s="61"/>
      <c r="DZ436" s="61"/>
      <c r="EA436" s="61"/>
      <c r="EB436" s="61"/>
      <c r="EC436" s="61"/>
      <c r="ED436" s="61"/>
      <c r="EE436" s="61"/>
      <c r="EF436" s="61"/>
      <c r="EG436" s="61"/>
      <c r="EH436" s="61"/>
      <c r="EI436" s="61"/>
      <c r="EJ436" s="61"/>
      <c r="EK436" s="61"/>
      <c r="EL436" s="61"/>
      <c r="EM436" s="61"/>
      <c r="EN436" s="61"/>
      <c r="EO436" s="61"/>
      <c r="EP436" s="61"/>
      <c r="EQ436" s="61"/>
      <c r="ER436" s="61"/>
      <c r="ES436" s="61"/>
      <c r="ET436" s="61"/>
      <c r="EU436" s="61"/>
      <c r="EV436" s="61"/>
      <c r="EW436" s="61"/>
    </row>
    <row r="437" spans="1:153">
      <c r="A437" s="56">
        <v>39873</v>
      </c>
      <c r="B437" s="57">
        <v>2009</v>
      </c>
      <c r="C437" s="71">
        <v>3.44</v>
      </c>
      <c r="D437" s="61">
        <v>4.7E-2</v>
      </c>
      <c r="E437" s="61">
        <v>633.19299999999998</v>
      </c>
      <c r="F437" s="61">
        <v>26.594000000000001</v>
      </c>
      <c r="G437" s="61">
        <v>3.3929999999999998</v>
      </c>
      <c r="H437" s="61">
        <v>396.41300000000001</v>
      </c>
      <c r="I437" s="61">
        <v>210.315</v>
      </c>
      <c r="J437" s="61">
        <v>186.09800000000001</v>
      </c>
      <c r="K437" s="61">
        <v>665</v>
      </c>
      <c r="L437" s="61">
        <v>241</v>
      </c>
      <c r="M437" s="61">
        <v>578.29100000000005</v>
      </c>
      <c r="N437" s="61">
        <v>24.288</v>
      </c>
      <c r="O437" s="71">
        <v>3.0990000000000002</v>
      </c>
      <c r="P437" s="60">
        <v>159.501</v>
      </c>
      <c r="Q437" s="61">
        <v>119.50700000000001</v>
      </c>
      <c r="R437" s="61">
        <v>319.35599999999999</v>
      </c>
      <c r="S437" s="61">
        <v>625.21600000000001</v>
      </c>
      <c r="T437" s="61">
        <v>213.036</v>
      </c>
      <c r="U437" s="61">
        <v>17.251999999999999</v>
      </c>
      <c r="V437" s="61">
        <v>6.2850000000000001</v>
      </c>
      <c r="W437" s="61">
        <v>69.287000000000006</v>
      </c>
      <c r="X437" s="61">
        <v>159.501</v>
      </c>
      <c r="Y437" s="61">
        <v>40.347999999999999</v>
      </c>
      <c r="Z437" s="61">
        <v>117.49</v>
      </c>
      <c r="AA437" s="61">
        <v>317.339</v>
      </c>
      <c r="AB437" s="60">
        <v>623.19899999999996</v>
      </c>
      <c r="AC437" s="62"/>
      <c r="AD437" s="61"/>
      <c r="AE437" s="61"/>
      <c r="AF437" s="61"/>
      <c r="AG437" s="61"/>
      <c r="AH437" s="61"/>
      <c r="AI437" s="61"/>
      <c r="AJ437" s="61"/>
      <c r="AK437" s="62"/>
      <c r="AL437" s="63"/>
      <c r="AM437" s="64"/>
      <c r="AN437" s="65" t="e">
        <v>#N/A</v>
      </c>
      <c r="AO437" s="61" t="e">
        <v>#N/A</v>
      </c>
      <c r="AP437" s="61" t="e">
        <v>#N/A</v>
      </c>
      <c r="AQ437" s="61" t="e">
        <v>#N/A</v>
      </c>
      <c r="AR437" s="61" t="e">
        <v>#N/A</v>
      </c>
      <c r="AS437" s="61" t="e">
        <v>#N/A</v>
      </c>
      <c r="AT437" s="61" t="e">
        <v>#N/A</v>
      </c>
      <c r="AU437" s="61" t="e">
        <v>#N/A</v>
      </c>
      <c r="AV437" s="61" t="e">
        <v>#N/A</v>
      </c>
      <c r="AW437" s="61" t="e">
        <v>#N/A</v>
      </c>
      <c r="AX437" s="65" t="e">
        <v>#N/A</v>
      </c>
      <c r="AY437" s="66">
        <v>2.786</v>
      </c>
      <c r="AZ437" s="61">
        <v>4.8129999999999997</v>
      </c>
      <c r="BA437" s="61">
        <v>42.805</v>
      </c>
      <c r="BB437" s="61">
        <v>50.405000000000001</v>
      </c>
      <c r="BC437" s="61">
        <v>0.1</v>
      </c>
      <c r="BD437" s="61">
        <v>1.4179999999999999</v>
      </c>
      <c r="BE437" s="61">
        <v>0.58099999999999996</v>
      </c>
      <c r="BF437" s="61">
        <v>0</v>
      </c>
      <c r="BG437" s="61">
        <v>6.19</v>
      </c>
      <c r="BH437" s="61">
        <v>3.0939999999999999</v>
      </c>
      <c r="BI437" s="61">
        <v>0.21099999999999999</v>
      </c>
      <c r="BJ437" s="61">
        <v>9.4939999999999998</v>
      </c>
      <c r="BK437" s="66">
        <v>11.593999999999999</v>
      </c>
      <c r="BL437" s="67">
        <v>66.709999999999994</v>
      </c>
      <c r="BM437" s="61">
        <v>3.0990000000000002</v>
      </c>
      <c r="BN437" s="61" t="s">
        <v>121</v>
      </c>
      <c r="BO437" s="61" t="s">
        <v>121</v>
      </c>
      <c r="BP437" s="61">
        <v>69.808999999999997</v>
      </c>
      <c r="BQ437" s="61">
        <v>211.05</v>
      </c>
      <c r="BR437" s="61">
        <v>12.691000000000001</v>
      </c>
      <c r="BS437" s="61">
        <v>0.76200000000000001</v>
      </c>
      <c r="BT437" s="61">
        <v>69.287000000000006</v>
      </c>
      <c r="BU437" s="61">
        <v>14.478999999999999</v>
      </c>
      <c r="BV437" s="61">
        <v>23.538</v>
      </c>
      <c r="BW437" s="61">
        <v>38.015999999999998</v>
      </c>
      <c r="BX437" s="67">
        <v>331.80599999999998</v>
      </c>
      <c r="BY437" s="68">
        <v>122100</v>
      </c>
      <c r="BZ437" s="68">
        <v>116051</v>
      </c>
      <c r="CA437" s="69">
        <v>8337</v>
      </c>
      <c r="CB437" s="68">
        <v>145301</v>
      </c>
      <c r="CC437" s="68">
        <v>17190</v>
      </c>
      <c r="CD437" s="68">
        <v>88767</v>
      </c>
      <c r="CE437" s="64"/>
      <c r="CF437" s="64"/>
      <c r="CG437" s="70">
        <f t="shared" si="32"/>
        <v>6102.6419999999998</v>
      </c>
      <c r="CH437" s="70">
        <f t="shared" si="33"/>
        <v>350.154</v>
      </c>
      <c r="CI437" s="70">
        <f t="shared" si="34"/>
        <v>721.98</v>
      </c>
      <c r="CJ437" s="70">
        <f t="shared" si="35"/>
        <v>5128.2</v>
      </c>
      <c r="CK437" s="70">
        <f t="shared" si="35"/>
        <v>4874.1419999999998</v>
      </c>
      <c r="CL437" s="70">
        <f t="shared" si="31"/>
        <v>3728.2139999999999</v>
      </c>
      <c r="CM437" s="61"/>
      <c r="CN437" s="61"/>
      <c r="CO437" s="61"/>
      <c r="CP437" s="61"/>
      <c r="CQ437" s="61"/>
      <c r="CR437" s="61"/>
      <c r="CS437" s="61"/>
      <c r="CT437" s="61"/>
      <c r="CU437" s="61"/>
      <c r="CV437" s="61"/>
      <c r="CW437" s="61"/>
      <c r="CX437" s="61"/>
      <c r="CY437" s="61"/>
      <c r="CZ437" s="61"/>
      <c r="DA437" s="61"/>
      <c r="DB437" s="61"/>
      <c r="DC437" s="61"/>
      <c r="DD437" s="61"/>
      <c r="DE437" s="61"/>
      <c r="DF437" s="61"/>
      <c r="DG437" s="61"/>
      <c r="DH437" s="61"/>
      <c r="DI437" s="61"/>
      <c r="DJ437" s="61"/>
      <c r="DK437" s="61"/>
      <c r="DL437" s="61"/>
      <c r="DM437" s="61"/>
      <c r="DN437" s="61"/>
      <c r="DO437" s="61"/>
      <c r="DP437" s="61"/>
      <c r="DQ437" s="61"/>
      <c r="DR437" s="61"/>
      <c r="DS437" s="61"/>
      <c r="DT437" s="61"/>
      <c r="DU437" s="61"/>
      <c r="DV437" s="61"/>
      <c r="DW437" s="61"/>
      <c r="DX437" s="61"/>
      <c r="DY437" s="61"/>
      <c r="DZ437" s="61"/>
      <c r="EA437" s="61"/>
      <c r="EB437" s="61"/>
      <c r="EC437" s="61"/>
      <c r="ED437" s="61"/>
      <c r="EE437" s="61"/>
      <c r="EF437" s="61"/>
      <c r="EG437" s="61"/>
      <c r="EH437" s="61"/>
      <c r="EI437" s="61"/>
      <c r="EJ437" s="61"/>
      <c r="EK437" s="61"/>
      <c r="EL437" s="61"/>
      <c r="EM437" s="61"/>
      <c r="EN437" s="61"/>
      <c r="EO437" s="61"/>
      <c r="EP437" s="61"/>
      <c r="EQ437" s="61"/>
      <c r="ER437" s="61"/>
      <c r="ES437" s="61"/>
      <c r="ET437" s="61"/>
      <c r="EU437" s="61"/>
      <c r="EV437" s="61"/>
      <c r="EW437" s="61"/>
    </row>
    <row r="438" spans="1:153">
      <c r="A438" s="56">
        <v>39904</v>
      </c>
      <c r="B438" s="57">
        <v>2009</v>
      </c>
      <c r="C438" s="71">
        <v>3.6440000000000001</v>
      </c>
      <c r="D438" s="61">
        <v>0.05</v>
      </c>
      <c r="E438" s="61">
        <v>670.73199999999997</v>
      </c>
      <c r="F438" s="61">
        <v>28.170999999999999</v>
      </c>
      <c r="G438" s="61">
        <v>3.5939999999999999</v>
      </c>
      <c r="H438" s="61">
        <v>53.252000000000002</v>
      </c>
      <c r="I438" s="61">
        <v>159.11199999999999</v>
      </c>
      <c r="J438" s="61">
        <v>-105.86</v>
      </c>
      <c r="K438" s="61">
        <v>632</v>
      </c>
      <c r="L438" s="61">
        <v>-33</v>
      </c>
      <c r="M438" s="61">
        <v>597.87199999999996</v>
      </c>
      <c r="N438" s="61">
        <v>25.111000000000001</v>
      </c>
      <c r="O438" s="71">
        <v>3.2040000000000002</v>
      </c>
      <c r="P438" s="60">
        <v>151.43199999999999</v>
      </c>
      <c r="Q438" s="61">
        <v>115.45</v>
      </c>
      <c r="R438" s="61">
        <v>303.48899999999998</v>
      </c>
      <c r="S438" s="61">
        <v>651.18799999999999</v>
      </c>
      <c r="T438" s="61">
        <v>251.51300000000001</v>
      </c>
      <c r="U438" s="61">
        <v>16.341000000000001</v>
      </c>
      <c r="V438" s="61">
        <v>7.0579999999999998</v>
      </c>
      <c r="W438" s="61">
        <v>72.787000000000006</v>
      </c>
      <c r="X438" s="61">
        <v>151.43199999999999</v>
      </c>
      <c r="Y438" s="61">
        <v>36.606999999999999</v>
      </c>
      <c r="Z438" s="61">
        <v>119.40300000000001</v>
      </c>
      <c r="AA438" s="61">
        <v>307.44200000000001</v>
      </c>
      <c r="AB438" s="60">
        <v>655.14200000000005</v>
      </c>
      <c r="AC438" s="62"/>
      <c r="AD438" s="61"/>
      <c r="AE438" s="61"/>
      <c r="AF438" s="61"/>
      <c r="AG438" s="61"/>
      <c r="AH438" s="61"/>
      <c r="AI438" s="61"/>
      <c r="AJ438" s="61"/>
      <c r="AK438" s="62"/>
      <c r="AL438" s="63"/>
      <c r="AM438" s="64"/>
      <c r="AN438" s="65" t="e">
        <v>#N/A</v>
      </c>
      <c r="AO438" s="61" t="e">
        <v>#N/A</v>
      </c>
      <c r="AP438" s="61" t="e">
        <v>#N/A</v>
      </c>
      <c r="AQ438" s="61" t="e">
        <v>#N/A</v>
      </c>
      <c r="AR438" s="61" t="e">
        <v>#N/A</v>
      </c>
      <c r="AS438" s="61" t="e">
        <v>#N/A</v>
      </c>
      <c r="AT438" s="61" t="e">
        <v>#N/A</v>
      </c>
      <c r="AU438" s="61" t="e">
        <v>#N/A</v>
      </c>
      <c r="AV438" s="61" t="e">
        <v>#N/A</v>
      </c>
      <c r="AW438" s="61" t="e">
        <v>#N/A</v>
      </c>
      <c r="AX438" s="65" t="e">
        <v>#N/A</v>
      </c>
      <c r="AY438" s="66">
        <v>2.6960000000000002</v>
      </c>
      <c r="AZ438" s="61">
        <v>5.3049999999999997</v>
      </c>
      <c r="BA438" s="61">
        <v>41.424999999999997</v>
      </c>
      <c r="BB438" s="61">
        <v>49.424999999999997</v>
      </c>
      <c r="BC438" s="61">
        <v>8.7999999999999995E-2</v>
      </c>
      <c r="BD438" s="61">
        <v>1.373</v>
      </c>
      <c r="BE438" s="61">
        <v>0.64100000000000001</v>
      </c>
      <c r="BF438" s="61">
        <v>0</v>
      </c>
      <c r="BG438" s="61">
        <v>5.9630000000000001</v>
      </c>
      <c r="BH438" s="61">
        <v>3.044</v>
      </c>
      <c r="BI438" s="61">
        <v>0.221</v>
      </c>
      <c r="BJ438" s="61">
        <v>9.2279999999999998</v>
      </c>
      <c r="BK438" s="66">
        <v>11.329000000000001</v>
      </c>
      <c r="BL438" s="67">
        <v>70.161000000000001</v>
      </c>
      <c r="BM438" s="61">
        <v>3.2040000000000002</v>
      </c>
      <c r="BN438" s="61" t="s">
        <v>121</v>
      </c>
      <c r="BO438" s="61" t="s">
        <v>121</v>
      </c>
      <c r="BP438" s="61">
        <v>73.364999999999995</v>
      </c>
      <c r="BQ438" s="61">
        <v>249.56399999999999</v>
      </c>
      <c r="BR438" s="61">
        <v>11.928000000000001</v>
      </c>
      <c r="BS438" s="61">
        <v>0.97</v>
      </c>
      <c r="BT438" s="61">
        <v>72.787000000000006</v>
      </c>
      <c r="BU438" s="61">
        <v>12.241</v>
      </c>
      <c r="BV438" s="61">
        <v>21.143999999999998</v>
      </c>
      <c r="BW438" s="61">
        <v>33.386000000000003</v>
      </c>
      <c r="BX438" s="67">
        <v>368.63400000000001</v>
      </c>
      <c r="BY438" s="68">
        <v>123954</v>
      </c>
      <c r="BZ438" s="68">
        <v>103649</v>
      </c>
      <c r="CA438" s="69">
        <v>4983</v>
      </c>
      <c r="CB438" s="68">
        <v>150058</v>
      </c>
      <c r="CC438" s="68">
        <v>20531</v>
      </c>
      <c r="CD438" s="68">
        <v>92487</v>
      </c>
      <c r="CE438" s="64"/>
      <c r="CF438" s="64"/>
      <c r="CG438" s="70">
        <f t="shared" si="32"/>
        <v>6302.4359999999997</v>
      </c>
      <c r="CH438" s="70">
        <f t="shared" si="33"/>
        <v>209.286</v>
      </c>
      <c r="CI438" s="70">
        <f t="shared" si="34"/>
        <v>862.30200000000002</v>
      </c>
      <c r="CJ438" s="70">
        <f t="shared" si="35"/>
        <v>5206.0680000000002</v>
      </c>
      <c r="CK438" s="70">
        <f t="shared" si="35"/>
        <v>4353.2579999999998</v>
      </c>
      <c r="CL438" s="70">
        <f t="shared" si="31"/>
        <v>3884.4540000000002</v>
      </c>
      <c r="CM438" s="61"/>
      <c r="CN438" s="61"/>
      <c r="CO438" s="61"/>
      <c r="CP438" s="61"/>
      <c r="CQ438" s="61"/>
      <c r="CR438" s="61"/>
      <c r="CS438" s="61"/>
      <c r="CT438" s="61"/>
      <c r="CU438" s="61"/>
      <c r="CV438" s="61"/>
      <c r="CW438" s="61"/>
      <c r="CX438" s="61"/>
      <c r="CY438" s="61"/>
      <c r="CZ438" s="61"/>
      <c r="DA438" s="61"/>
      <c r="DB438" s="61"/>
      <c r="DC438" s="61"/>
      <c r="DD438" s="61"/>
      <c r="DE438" s="61"/>
      <c r="DF438" s="61"/>
      <c r="DG438" s="61"/>
      <c r="DH438" s="61"/>
      <c r="DI438" s="61"/>
      <c r="DJ438" s="61"/>
      <c r="DK438" s="61"/>
      <c r="DL438" s="61"/>
      <c r="DM438" s="61"/>
      <c r="DN438" s="61"/>
      <c r="DO438" s="61"/>
      <c r="DP438" s="61"/>
      <c r="DQ438" s="61"/>
      <c r="DR438" s="61"/>
      <c r="DS438" s="61"/>
      <c r="DT438" s="61"/>
      <c r="DU438" s="61"/>
      <c r="DV438" s="61"/>
      <c r="DW438" s="61"/>
      <c r="DX438" s="61"/>
      <c r="DY438" s="61"/>
      <c r="DZ438" s="61"/>
      <c r="EA438" s="61"/>
      <c r="EB438" s="61"/>
      <c r="EC438" s="61"/>
      <c r="ED438" s="61"/>
      <c r="EE438" s="61"/>
      <c r="EF438" s="61"/>
      <c r="EG438" s="61"/>
      <c r="EH438" s="61"/>
      <c r="EI438" s="61"/>
      <c r="EJ438" s="61"/>
      <c r="EK438" s="61"/>
      <c r="EL438" s="61"/>
      <c r="EM438" s="61"/>
      <c r="EN438" s="61"/>
      <c r="EO438" s="61"/>
      <c r="EP438" s="61"/>
      <c r="EQ438" s="61"/>
      <c r="ER438" s="61"/>
      <c r="ES438" s="61"/>
      <c r="ET438" s="61"/>
      <c r="EU438" s="61"/>
      <c r="EV438" s="61"/>
      <c r="EW438" s="61"/>
    </row>
    <row r="439" spans="1:153">
      <c r="A439" s="56">
        <v>39934</v>
      </c>
      <c r="B439" s="57">
        <v>2009</v>
      </c>
      <c r="C439" s="71">
        <v>4.1520000000000001</v>
      </c>
      <c r="D439" s="61">
        <v>5.7000000000000002E-2</v>
      </c>
      <c r="E439" s="61">
        <v>764.30499999999995</v>
      </c>
      <c r="F439" s="61">
        <v>32.100999999999999</v>
      </c>
      <c r="G439" s="61">
        <v>4.0960000000000001</v>
      </c>
      <c r="H439" s="61">
        <v>120.595</v>
      </c>
      <c r="I439" s="61">
        <v>430.85700000000003</v>
      </c>
      <c r="J439" s="61">
        <v>-310.262</v>
      </c>
      <c r="K439" s="61">
        <v>600</v>
      </c>
      <c r="L439" s="61">
        <v>-32</v>
      </c>
      <c r="M439" s="61">
        <v>486.04300000000001</v>
      </c>
      <c r="N439" s="61">
        <v>20.414000000000001</v>
      </c>
      <c r="O439" s="71">
        <v>2.605</v>
      </c>
      <c r="P439" s="60">
        <v>156.52799999999999</v>
      </c>
      <c r="Q439" s="61">
        <v>125.50700000000001</v>
      </c>
      <c r="R439" s="61">
        <v>319.03199999999998</v>
      </c>
      <c r="S439" s="61">
        <v>693.06600000000003</v>
      </c>
      <c r="T439" s="61">
        <v>288.50200000000001</v>
      </c>
      <c r="U439" s="61">
        <v>16.616</v>
      </c>
      <c r="V439" s="61">
        <v>7.798</v>
      </c>
      <c r="W439" s="61">
        <v>61.116999999999997</v>
      </c>
      <c r="X439" s="61">
        <v>156.52799999999999</v>
      </c>
      <c r="Y439" s="61">
        <v>36.997999999999998</v>
      </c>
      <c r="Z439" s="61">
        <v>129.74799999999999</v>
      </c>
      <c r="AA439" s="61">
        <v>323.274</v>
      </c>
      <c r="AB439" s="60">
        <v>697.30700000000002</v>
      </c>
      <c r="AC439" s="62"/>
      <c r="AD439" s="61"/>
      <c r="AE439" s="61"/>
      <c r="AF439" s="61"/>
      <c r="AG439" s="61"/>
      <c r="AH439" s="61"/>
      <c r="AI439" s="61"/>
      <c r="AJ439" s="61"/>
      <c r="AK439" s="62"/>
      <c r="AL439" s="63"/>
      <c r="AM439" s="64"/>
      <c r="AN439" s="65" t="e">
        <v>#N/A</v>
      </c>
      <c r="AO439" s="61" t="e">
        <v>#N/A</v>
      </c>
      <c r="AP439" s="61" t="e">
        <v>#N/A</v>
      </c>
      <c r="AQ439" s="61" t="e">
        <v>#N/A</v>
      </c>
      <c r="AR439" s="61" t="e">
        <v>#N/A</v>
      </c>
      <c r="AS439" s="61" t="e">
        <v>#N/A</v>
      </c>
      <c r="AT439" s="61" t="e">
        <v>#N/A</v>
      </c>
      <c r="AU439" s="61" t="e">
        <v>#N/A</v>
      </c>
      <c r="AV439" s="61" t="e">
        <v>#N/A</v>
      </c>
      <c r="AW439" s="61" t="e">
        <v>#N/A</v>
      </c>
      <c r="AX439" s="65" t="e">
        <v>#N/A</v>
      </c>
      <c r="AY439" s="66">
        <v>2.786</v>
      </c>
      <c r="AZ439" s="61">
        <v>5.8559999999999999</v>
      </c>
      <c r="BA439" s="61">
        <v>42.805</v>
      </c>
      <c r="BB439" s="61">
        <v>51.448</v>
      </c>
      <c r="BC439" s="61">
        <v>8.4000000000000005E-2</v>
      </c>
      <c r="BD439" s="61">
        <v>1.4179999999999999</v>
      </c>
      <c r="BE439" s="61">
        <v>0.70699999999999996</v>
      </c>
      <c r="BF439" s="61">
        <v>0</v>
      </c>
      <c r="BG439" s="61">
        <v>6.14</v>
      </c>
      <c r="BH439" s="61">
        <v>3.2530000000000001</v>
      </c>
      <c r="BI439" s="61">
        <v>0.24299999999999999</v>
      </c>
      <c r="BJ439" s="61">
        <v>9.6359999999999992</v>
      </c>
      <c r="BK439" s="66">
        <v>11.846</v>
      </c>
      <c r="BL439" s="67">
        <v>77.153000000000006</v>
      </c>
      <c r="BM439" s="61">
        <v>2.605</v>
      </c>
      <c r="BN439" s="61" t="s">
        <v>121</v>
      </c>
      <c r="BO439" s="61" t="s">
        <v>121</v>
      </c>
      <c r="BP439" s="61">
        <v>79.757000000000005</v>
      </c>
      <c r="BQ439" s="61">
        <v>286.59399999999999</v>
      </c>
      <c r="BR439" s="61">
        <v>12.055</v>
      </c>
      <c r="BS439" s="61">
        <v>1.0780000000000001</v>
      </c>
      <c r="BT439" s="61">
        <v>61.116999999999997</v>
      </c>
      <c r="BU439" s="61">
        <v>12.821999999999999</v>
      </c>
      <c r="BV439" s="61">
        <v>21.556000000000001</v>
      </c>
      <c r="BW439" s="61">
        <v>34.378</v>
      </c>
      <c r="BX439" s="67">
        <v>395.221</v>
      </c>
      <c r="BY439" s="68">
        <v>126880</v>
      </c>
      <c r="BZ439" s="68">
        <v>106524</v>
      </c>
      <c r="CA439" s="69">
        <v>6391</v>
      </c>
      <c r="CB439" s="68">
        <v>156706</v>
      </c>
      <c r="CC439" s="68">
        <v>20099</v>
      </c>
      <c r="CD439" s="68">
        <v>97238</v>
      </c>
      <c r="CE439" s="64"/>
      <c r="CF439" s="64"/>
      <c r="CG439" s="70">
        <f t="shared" si="32"/>
        <v>6581.652</v>
      </c>
      <c r="CH439" s="70">
        <f t="shared" si="33"/>
        <v>268.42200000000003</v>
      </c>
      <c r="CI439" s="70">
        <f t="shared" si="34"/>
        <v>844.15800000000002</v>
      </c>
      <c r="CJ439" s="70">
        <f t="shared" si="35"/>
        <v>5328.96</v>
      </c>
      <c r="CK439" s="70">
        <f t="shared" si="35"/>
        <v>4474.0079999999998</v>
      </c>
      <c r="CL439" s="70">
        <f t="shared" si="31"/>
        <v>4083.9960000000001</v>
      </c>
      <c r="CM439" s="61"/>
      <c r="CN439" s="61"/>
      <c r="CO439" s="61"/>
      <c r="CP439" s="61"/>
      <c r="CQ439" s="61"/>
      <c r="CR439" s="61"/>
      <c r="CS439" s="61"/>
      <c r="CT439" s="61"/>
      <c r="CU439" s="61"/>
      <c r="CV439" s="61"/>
      <c r="CW439" s="61"/>
      <c r="CX439" s="61"/>
      <c r="CY439" s="61"/>
      <c r="CZ439" s="61"/>
      <c r="DA439" s="61"/>
      <c r="DB439" s="61"/>
      <c r="DC439" s="61"/>
      <c r="DD439" s="61"/>
      <c r="DE439" s="61"/>
      <c r="DF439" s="61"/>
      <c r="DG439" s="61"/>
      <c r="DH439" s="61"/>
      <c r="DI439" s="61"/>
      <c r="DJ439" s="61"/>
      <c r="DK439" s="61"/>
      <c r="DL439" s="61"/>
      <c r="DM439" s="61"/>
      <c r="DN439" s="61"/>
      <c r="DO439" s="61"/>
      <c r="DP439" s="61"/>
      <c r="DQ439" s="61"/>
      <c r="DR439" s="61"/>
      <c r="DS439" s="61"/>
      <c r="DT439" s="61"/>
      <c r="DU439" s="61"/>
      <c r="DV439" s="61"/>
      <c r="DW439" s="61"/>
      <c r="DX439" s="61"/>
      <c r="DY439" s="61"/>
      <c r="DZ439" s="61"/>
      <c r="EA439" s="61"/>
      <c r="EB439" s="61"/>
      <c r="EC439" s="61"/>
      <c r="ED439" s="61"/>
      <c r="EE439" s="61"/>
      <c r="EF439" s="61"/>
      <c r="EG439" s="61"/>
      <c r="EH439" s="61"/>
      <c r="EI439" s="61"/>
      <c r="EJ439" s="61"/>
      <c r="EK439" s="61"/>
      <c r="EL439" s="61"/>
      <c r="EM439" s="61"/>
      <c r="EN439" s="61"/>
      <c r="EO439" s="61"/>
      <c r="EP439" s="61"/>
      <c r="EQ439" s="61"/>
      <c r="ER439" s="61"/>
      <c r="ES439" s="61"/>
      <c r="ET439" s="61"/>
      <c r="EU439" s="61"/>
      <c r="EV439" s="61"/>
      <c r="EW439" s="61"/>
    </row>
    <row r="440" spans="1:153">
      <c r="A440" s="56">
        <v>39965</v>
      </c>
      <c r="B440" s="57">
        <v>2009</v>
      </c>
      <c r="C440" s="71">
        <v>4.3449999999999998</v>
      </c>
      <c r="D440" s="61">
        <v>5.8999999999999997E-2</v>
      </c>
      <c r="E440" s="61">
        <v>799.70600000000002</v>
      </c>
      <c r="F440" s="61">
        <v>33.588000000000001</v>
      </c>
      <c r="G440" s="61">
        <v>4.2859999999999996</v>
      </c>
      <c r="H440" s="61">
        <v>142.779</v>
      </c>
      <c r="I440" s="61">
        <v>378.75099999999998</v>
      </c>
      <c r="J440" s="61">
        <v>-235.97200000000001</v>
      </c>
      <c r="K440" s="61">
        <v>581</v>
      </c>
      <c r="L440" s="61">
        <v>-19</v>
      </c>
      <c r="M440" s="61">
        <v>582.73500000000001</v>
      </c>
      <c r="N440" s="61">
        <v>24.475000000000001</v>
      </c>
      <c r="O440" s="71">
        <v>3.1230000000000002</v>
      </c>
      <c r="P440" s="60">
        <v>158.244</v>
      </c>
      <c r="Q440" s="61">
        <v>126.318</v>
      </c>
      <c r="R440" s="61">
        <v>321.73899999999998</v>
      </c>
      <c r="S440" s="61">
        <v>685.70899999999995</v>
      </c>
      <c r="T440" s="61">
        <v>285.31799999999998</v>
      </c>
      <c r="U440" s="61">
        <v>16.212</v>
      </c>
      <c r="V440" s="61">
        <v>7.79</v>
      </c>
      <c r="W440" s="61">
        <v>54.65</v>
      </c>
      <c r="X440" s="61">
        <v>158.244</v>
      </c>
      <c r="Y440" s="61">
        <v>37.176000000000002</v>
      </c>
      <c r="Z440" s="61">
        <v>128.286</v>
      </c>
      <c r="AA440" s="61">
        <v>323.70699999999999</v>
      </c>
      <c r="AB440" s="60">
        <v>687.67700000000002</v>
      </c>
      <c r="AC440" s="62"/>
      <c r="AD440" s="61"/>
      <c r="AE440" s="61"/>
      <c r="AF440" s="61"/>
      <c r="AG440" s="61"/>
      <c r="AH440" s="61"/>
      <c r="AI440" s="61"/>
      <c r="AJ440" s="61"/>
      <c r="AK440" s="62"/>
      <c r="AL440" s="63"/>
      <c r="AM440" s="64"/>
      <c r="AN440" s="65" t="e">
        <v>#N/A</v>
      </c>
      <c r="AO440" s="61" t="e">
        <v>#N/A</v>
      </c>
      <c r="AP440" s="61" t="e">
        <v>#N/A</v>
      </c>
      <c r="AQ440" s="61" t="e">
        <v>#N/A</v>
      </c>
      <c r="AR440" s="61" t="e">
        <v>#N/A</v>
      </c>
      <c r="AS440" s="61" t="e">
        <v>#N/A</v>
      </c>
      <c r="AT440" s="61" t="e">
        <v>#N/A</v>
      </c>
      <c r="AU440" s="61" t="e">
        <v>#N/A</v>
      </c>
      <c r="AV440" s="61" t="e">
        <v>#N/A</v>
      </c>
      <c r="AW440" s="61" t="e">
        <v>#N/A</v>
      </c>
      <c r="AX440" s="65" t="e">
        <v>#N/A</v>
      </c>
      <c r="AY440" s="66">
        <v>2.6960000000000002</v>
      </c>
      <c r="AZ440" s="61">
        <v>5.9089999999999998</v>
      </c>
      <c r="BA440" s="61">
        <v>41.424999999999997</v>
      </c>
      <c r="BB440" s="61">
        <v>50.03</v>
      </c>
      <c r="BC440" s="61">
        <v>8.4000000000000005E-2</v>
      </c>
      <c r="BD440" s="61">
        <v>1.373</v>
      </c>
      <c r="BE440" s="61">
        <v>0.71299999999999997</v>
      </c>
      <c r="BF440" s="61">
        <v>0</v>
      </c>
      <c r="BG440" s="61">
        <v>5.9779999999999998</v>
      </c>
      <c r="BH440" s="61">
        <v>3.16</v>
      </c>
      <c r="BI440" s="61">
        <v>0.23699999999999999</v>
      </c>
      <c r="BJ440" s="61">
        <v>9.375</v>
      </c>
      <c r="BK440" s="66">
        <v>11.545</v>
      </c>
      <c r="BL440" s="67">
        <v>74.959999999999994</v>
      </c>
      <c r="BM440" s="61">
        <v>3.1230000000000002</v>
      </c>
      <c r="BN440" s="61" t="s">
        <v>121</v>
      </c>
      <c r="BO440" s="61" t="s">
        <v>121</v>
      </c>
      <c r="BP440" s="61">
        <v>78.082999999999998</v>
      </c>
      <c r="BQ440" s="61">
        <v>283.58100000000002</v>
      </c>
      <c r="BR440" s="61">
        <v>11.798</v>
      </c>
      <c r="BS440" s="61">
        <v>1.0089999999999999</v>
      </c>
      <c r="BT440" s="61">
        <v>54.65</v>
      </c>
      <c r="BU440" s="61">
        <v>15.194000000000001</v>
      </c>
      <c r="BV440" s="61">
        <v>22.210999999999999</v>
      </c>
      <c r="BW440" s="61">
        <v>37.404000000000003</v>
      </c>
      <c r="BX440" s="67">
        <v>388.44299999999998</v>
      </c>
      <c r="BY440" s="68">
        <v>121424</v>
      </c>
      <c r="BZ440" s="68">
        <v>105391</v>
      </c>
      <c r="CA440" s="69">
        <v>7336</v>
      </c>
      <c r="CB440" s="68">
        <v>162723</v>
      </c>
      <c r="CC440" s="68">
        <v>17352</v>
      </c>
      <c r="CD440" s="68">
        <v>89984</v>
      </c>
      <c r="CE440" s="64"/>
      <c r="CF440" s="64"/>
      <c r="CG440" s="70">
        <f t="shared" si="32"/>
        <v>6834.366</v>
      </c>
      <c r="CH440" s="70">
        <f t="shared" si="33"/>
        <v>308.11200000000002</v>
      </c>
      <c r="CI440" s="70">
        <f t="shared" si="34"/>
        <v>728.78399999999999</v>
      </c>
      <c r="CJ440" s="70">
        <f t="shared" si="35"/>
        <v>5099.808</v>
      </c>
      <c r="CK440" s="70">
        <f t="shared" si="35"/>
        <v>4426.4219999999996</v>
      </c>
      <c r="CL440" s="70">
        <f t="shared" si="31"/>
        <v>3779.328</v>
      </c>
      <c r="CM440" s="61"/>
      <c r="CN440" s="61"/>
      <c r="CO440" s="61"/>
      <c r="CP440" s="61"/>
      <c r="CQ440" s="61"/>
      <c r="CR440" s="61"/>
      <c r="CS440" s="61"/>
      <c r="CT440" s="61"/>
      <c r="CU440" s="61"/>
      <c r="CV440" s="61"/>
      <c r="CW440" s="61"/>
      <c r="CX440" s="61"/>
      <c r="CY440" s="61"/>
      <c r="CZ440" s="61"/>
      <c r="DA440" s="61"/>
      <c r="DB440" s="61"/>
      <c r="DC440" s="61"/>
      <c r="DD440" s="61"/>
      <c r="DE440" s="61"/>
      <c r="DF440" s="61"/>
      <c r="DG440" s="61"/>
      <c r="DH440" s="61"/>
      <c r="DI440" s="61"/>
      <c r="DJ440" s="61"/>
      <c r="DK440" s="61"/>
      <c r="DL440" s="61"/>
      <c r="DM440" s="61"/>
      <c r="DN440" s="61"/>
      <c r="DO440" s="61"/>
      <c r="DP440" s="61"/>
      <c r="DQ440" s="61"/>
      <c r="DR440" s="61"/>
      <c r="DS440" s="61"/>
      <c r="DT440" s="61"/>
      <c r="DU440" s="61"/>
      <c r="DV440" s="61"/>
      <c r="DW440" s="61"/>
      <c r="DX440" s="61"/>
      <c r="DY440" s="61"/>
      <c r="DZ440" s="61"/>
      <c r="EA440" s="61"/>
      <c r="EB440" s="61"/>
      <c r="EC440" s="61"/>
      <c r="ED440" s="61"/>
      <c r="EE440" s="61"/>
      <c r="EF440" s="61"/>
      <c r="EG440" s="61"/>
      <c r="EH440" s="61"/>
      <c r="EI440" s="61"/>
      <c r="EJ440" s="61"/>
      <c r="EK440" s="61"/>
      <c r="EL440" s="61"/>
      <c r="EM440" s="61"/>
      <c r="EN440" s="61"/>
      <c r="EO440" s="61"/>
      <c r="EP440" s="61"/>
      <c r="EQ440" s="61"/>
      <c r="ER440" s="61"/>
      <c r="ES440" s="61"/>
      <c r="ET440" s="61"/>
      <c r="EU440" s="61"/>
      <c r="EV440" s="61"/>
      <c r="EW440" s="61"/>
    </row>
    <row r="441" spans="1:153">
      <c r="A441" s="56">
        <v>39995</v>
      </c>
      <c r="B441" s="57">
        <v>2009</v>
      </c>
      <c r="C441" s="71">
        <v>5.5949999999999998</v>
      </c>
      <c r="D441" s="61">
        <v>7.5999999999999998E-2</v>
      </c>
      <c r="E441" s="61">
        <v>1029.8989999999999</v>
      </c>
      <c r="F441" s="61">
        <v>43.256</v>
      </c>
      <c r="G441" s="61">
        <v>5.5190000000000001</v>
      </c>
      <c r="H441" s="61">
        <v>59.658000000000001</v>
      </c>
      <c r="I441" s="61">
        <v>600.66800000000001</v>
      </c>
      <c r="J441" s="61">
        <v>-541.00900000000001</v>
      </c>
      <c r="K441" s="61">
        <v>511</v>
      </c>
      <c r="L441" s="61">
        <v>-70</v>
      </c>
      <c r="M441" s="61">
        <v>558.89</v>
      </c>
      <c r="N441" s="61">
        <v>23.472999999999999</v>
      </c>
      <c r="O441" s="71">
        <v>2.9950000000000001</v>
      </c>
      <c r="P441" s="60">
        <v>167.55799999999999</v>
      </c>
      <c r="Q441" s="61">
        <v>137.68299999999999</v>
      </c>
      <c r="R441" s="61">
        <v>343.84100000000001</v>
      </c>
      <c r="S441" s="61">
        <v>645.55100000000004</v>
      </c>
      <c r="T441" s="61">
        <v>228.23500000000001</v>
      </c>
      <c r="U441" s="61">
        <v>16.814</v>
      </c>
      <c r="V441" s="61">
        <v>8.3010000000000002</v>
      </c>
      <c r="W441" s="61">
        <v>48.36</v>
      </c>
      <c r="X441" s="61">
        <v>167.55799999999999</v>
      </c>
      <c r="Y441" s="61">
        <v>38.598999999999997</v>
      </c>
      <c r="Z441" s="61">
        <v>137.62</v>
      </c>
      <c r="AA441" s="61">
        <v>343.77800000000002</v>
      </c>
      <c r="AB441" s="60">
        <v>645.48699999999997</v>
      </c>
      <c r="AC441" s="62"/>
      <c r="AD441" s="61"/>
      <c r="AE441" s="61"/>
      <c r="AF441" s="61"/>
      <c r="AG441" s="61"/>
      <c r="AH441" s="61"/>
      <c r="AI441" s="61"/>
      <c r="AJ441" s="61"/>
      <c r="AK441" s="62"/>
      <c r="AL441" s="63"/>
      <c r="AM441" s="64"/>
      <c r="AN441" s="65" t="e">
        <v>#N/A</v>
      </c>
      <c r="AO441" s="61" t="e">
        <v>#N/A</v>
      </c>
      <c r="AP441" s="61" t="e">
        <v>#N/A</v>
      </c>
      <c r="AQ441" s="61" t="e">
        <v>#N/A</v>
      </c>
      <c r="AR441" s="61" t="e">
        <v>#N/A</v>
      </c>
      <c r="AS441" s="61" t="e">
        <v>#N/A</v>
      </c>
      <c r="AT441" s="61" t="e">
        <v>#N/A</v>
      </c>
      <c r="AU441" s="61" t="e">
        <v>#N/A</v>
      </c>
      <c r="AV441" s="61" t="e">
        <v>#N/A</v>
      </c>
      <c r="AW441" s="61" t="e">
        <v>#N/A</v>
      </c>
      <c r="AX441" s="65" t="e">
        <v>#N/A</v>
      </c>
      <c r="AY441" s="66">
        <v>2.786</v>
      </c>
      <c r="AZ441" s="61">
        <v>6.2030000000000003</v>
      </c>
      <c r="BA441" s="61">
        <v>42.805</v>
      </c>
      <c r="BB441" s="61">
        <v>51.795000000000002</v>
      </c>
      <c r="BC441" s="61">
        <v>0.02</v>
      </c>
      <c r="BD441" s="61">
        <v>1.4179999999999999</v>
      </c>
      <c r="BE441" s="61">
        <v>0.749</v>
      </c>
      <c r="BF441" s="61">
        <v>0</v>
      </c>
      <c r="BG441" s="61">
        <v>6.149</v>
      </c>
      <c r="BH441" s="61">
        <v>3.169</v>
      </c>
      <c r="BI441" s="61">
        <v>0.253</v>
      </c>
      <c r="BJ441" s="61">
        <v>9.5709999999999997</v>
      </c>
      <c r="BK441" s="66">
        <v>11.759</v>
      </c>
      <c r="BL441" s="67">
        <v>80.263000000000005</v>
      </c>
      <c r="BM441" s="61">
        <v>2.9950000000000001</v>
      </c>
      <c r="BN441" s="61" t="s">
        <v>121</v>
      </c>
      <c r="BO441" s="61" t="s">
        <v>121</v>
      </c>
      <c r="BP441" s="61">
        <v>83.259</v>
      </c>
      <c r="BQ441" s="61">
        <v>226.851</v>
      </c>
      <c r="BR441" s="61">
        <v>12.253</v>
      </c>
      <c r="BS441" s="61">
        <v>1.1830000000000001</v>
      </c>
      <c r="BT441" s="61">
        <v>48.36</v>
      </c>
      <c r="BU441" s="61">
        <v>16.248000000000001</v>
      </c>
      <c r="BV441" s="61">
        <v>23.146999999999998</v>
      </c>
      <c r="BW441" s="61">
        <v>39.395000000000003</v>
      </c>
      <c r="BX441" s="67">
        <v>328.041</v>
      </c>
      <c r="BY441" s="68">
        <v>121795</v>
      </c>
      <c r="BZ441" s="68">
        <v>105234</v>
      </c>
      <c r="CA441" s="69">
        <v>5933</v>
      </c>
      <c r="CB441" s="68">
        <v>165940</v>
      </c>
      <c r="CC441" s="68">
        <v>19277</v>
      </c>
      <c r="CD441" s="68">
        <v>93028</v>
      </c>
      <c r="CE441" s="64"/>
      <c r="CF441" s="64"/>
      <c r="CG441" s="70">
        <f t="shared" si="32"/>
        <v>6969.48</v>
      </c>
      <c r="CH441" s="70">
        <f t="shared" si="33"/>
        <v>249.18600000000001</v>
      </c>
      <c r="CI441" s="70">
        <f t="shared" si="34"/>
        <v>809.63400000000001</v>
      </c>
      <c r="CJ441" s="70">
        <f t="shared" si="35"/>
        <v>5115.3900000000003</v>
      </c>
      <c r="CK441" s="70">
        <f t="shared" si="35"/>
        <v>4419.8280000000004</v>
      </c>
      <c r="CL441" s="70">
        <f t="shared" si="31"/>
        <v>3907.1759999999999</v>
      </c>
      <c r="CM441" s="61"/>
      <c r="CN441" s="61"/>
      <c r="CO441" s="61"/>
      <c r="CP441" s="61"/>
      <c r="CQ441" s="61"/>
      <c r="CR441" s="61"/>
      <c r="CS441" s="61"/>
      <c r="CT441" s="61"/>
      <c r="CU441" s="61"/>
      <c r="CV441" s="61"/>
      <c r="CW441" s="61"/>
      <c r="CX441" s="61"/>
      <c r="CY441" s="61"/>
      <c r="CZ441" s="61"/>
      <c r="DA441" s="61"/>
      <c r="DB441" s="61"/>
      <c r="DC441" s="61"/>
      <c r="DD441" s="61"/>
      <c r="DE441" s="61"/>
      <c r="DF441" s="61"/>
      <c r="DG441" s="61"/>
      <c r="DH441" s="61"/>
      <c r="DI441" s="61"/>
      <c r="DJ441" s="61"/>
      <c r="DK441" s="61"/>
      <c r="DL441" s="61"/>
      <c r="DM441" s="61"/>
      <c r="DN441" s="61"/>
      <c r="DO441" s="61"/>
      <c r="DP441" s="61"/>
      <c r="DQ441" s="61"/>
      <c r="DR441" s="61"/>
      <c r="DS441" s="61"/>
      <c r="DT441" s="61"/>
      <c r="DU441" s="61"/>
      <c r="DV441" s="61"/>
      <c r="DW441" s="61"/>
      <c r="DX441" s="61"/>
      <c r="DY441" s="61"/>
      <c r="DZ441" s="61"/>
      <c r="EA441" s="61"/>
      <c r="EB441" s="61"/>
      <c r="EC441" s="61"/>
      <c r="ED441" s="61"/>
      <c r="EE441" s="61"/>
      <c r="EF441" s="61"/>
      <c r="EG441" s="61"/>
      <c r="EH441" s="61"/>
      <c r="EI441" s="61"/>
      <c r="EJ441" s="61"/>
      <c r="EK441" s="61"/>
      <c r="EL441" s="61"/>
      <c r="EM441" s="61"/>
      <c r="EN441" s="61"/>
      <c r="EO441" s="61"/>
      <c r="EP441" s="61"/>
      <c r="EQ441" s="61"/>
      <c r="ER441" s="61"/>
      <c r="ES441" s="61"/>
      <c r="ET441" s="61"/>
      <c r="EU441" s="61"/>
      <c r="EV441" s="61"/>
      <c r="EW441" s="61"/>
    </row>
    <row r="442" spans="1:153">
      <c r="A442" s="56">
        <v>40026</v>
      </c>
      <c r="B442" s="57">
        <v>2009</v>
      </c>
      <c r="C442" s="71">
        <v>5.8209999999999997</v>
      </c>
      <c r="D442" s="61">
        <v>7.9000000000000001E-2</v>
      </c>
      <c r="E442" s="61">
        <v>1071.3309999999999</v>
      </c>
      <c r="F442" s="61">
        <v>44.996000000000002</v>
      </c>
      <c r="G442" s="61">
        <v>5.7409999999999997</v>
      </c>
      <c r="H442" s="61">
        <v>129.89099999999999</v>
      </c>
      <c r="I442" s="61">
        <v>410.197</v>
      </c>
      <c r="J442" s="61">
        <v>-280.30599999999998</v>
      </c>
      <c r="K442" s="61">
        <v>511</v>
      </c>
      <c r="L442" s="61">
        <v>0</v>
      </c>
      <c r="M442" s="61">
        <v>791.02499999999998</v>
      </c>
      <c r="N442" s="61">
        <v>33.222999999999999</v>
      </c>
      <c r="O442" s="71">
        <v>4.2389999999999999</v>
      </c>
      <c r="P442" s="60">
        <v>170.874</v>
      </c>
      <c r="Q442" s="61">
        <v>139.43100000000001</v>
      </c>
      <c r="R442" s="61">
        <v>348.55099999999999</v>
      </c>
      <c r="S442" s="61">
        <v>617.94100000000003</v>
      </c>
      <c r="T442" s="61">
        <v>191.10499999999999</v>
      </c>
      <c r="U442" s="61">
        <v>16.773</v>
      </c>
      <c r="V442" s="61">
        <v>8.1790000000000003</v>
      </c>
      <c r="W442" s="61">
        <v>53.332999999999998</v>
      </c>
      <c r="X442" s="61">
        <v>170.874</v>
      </c>
      <c r="Y442" s="61">
        <v>38.246000000000002</v>
      </c>
      <c r="Z442" s="61">
        <v>139.78200000000001</v>
      </c>
      <c r="AA442" s="61">
        <v>348.90100000000001</v>
      </c>
      <c r="AB442" s="60">
        <v>618.29200000000003</v>
      </c>
      <c r="AC442" s="62"/>
      <c r="AD442" s="61"/>
      <c r="AE442" s="61"/>
      <c r="AF442" s="61"/>
      <c r="AG442" s="61"/>
      <c r="AH442" s="61"/>
      <c r="AI442" s="61"/>
      <c r="AJ442" s="61"/>
      <c r="AK442" s="62"/>
      <c r="AL442" s="63"/>
      <c r="AM442" s="64"/>
      <c r="AN442" s="65" t="e">
        <v>#N/A</v>
      </c>
      <c r="AO442" s="61" t="e">
        <v>#N/A</v>
      </c>
      <c r="AP442" s="61" t="e">
        <v>#N/A</v>
      </c>
      <c r="AQ442" s="61" t="e">
        <v>#N/A</v>
      </c>
      <c r="AR442" s="61" t="e">
        <v>#N/A</v>
      </c>
      <c r="AS442" s="61" t="e">
        <v>#N/A</v>
      </c>
      <c r="AT442" s="61" t="e">
        <v>#N/A</v>
      </c>
      <c r="AU442" s="61" t="e">
        <v>#N/A</v>
      </c>
      <c r="AV442" s="61" t="e">
        <v>#N/A</v>
      </c>
      <c r="AW442" s="61" t="e">
        <v>#N/A</v>
      </c>
      <c r="AX442" s="65" t="e">
        <v>#N/A</v>
      </c>
      <c r="AY442" s="66">
        <v>2.786</v>
      </c>
      <c r="AZ442" s="61">
        <v>6.1390000000000002</v>
      </c>
      <c r="BA442" s="61">
        <v>42.805</v>
      </c>
      <c r="BB442" s="61">
        <v>51.73</v>
      </c>
      <c r="BC442" s="61">
        <v>5.0000000000000001E-3</v>
      </c>
      <c r="BD442" s="61">
        <v>1.4179999999999999</v>
      </c>
      <c r="BE442" s="61">
        <v>0.74099999999999999</v>
      </c>
      <c r="BF442" s="61">
        <v>0</v>
      </c>
      <c r="BG442" s="61">
        <v>6.1760000000000002</v>
      </c>
      <c r="BH442" s="61">
        <v>3.25</v>
      </c>
      <c r="BI442" s="61">
        <v>0.254</v>
      </c>
      <c r="BJ442" s="61">
        <v>9.68</v>
      </c>
      <c r="BK442" s="66">
        <v>11.845000000000001</v>
      </c>
      <c r="BL442" s="67">
        <v>80.563000000000002</v>
      </c>
      <c r="BM442" s="61">
        <v>4.2389999999999999</v>
      </c>
      <c r="BN442" s="61" t="s">
        <v>121</v>
      </c>
      <c r="BO442" s="61" t="s">
        <v>121</v>
      </c>
      <c r="BP442" s="61">
        <v>84.802000000000007</v>
      </c>
      <c r="BQ442" s="61">
        <v>189.76900000000001</v>
      </c>
      <c r="BR442" s="61">
        <v>12.212</v>
      </c>
      <c r="BS442" s="61">
        <v>1.135</v>
      </c>
      <c r="BT442" s="61">
        <v>53.332999999999998</v>
      </c>
      <c r="BU442" s="61">
        <v>16.779</v>
      </c>
      <c r="BV442" s="61">
        <v>22.640999999999998</v>
      </c>
      <c r="BW442" s="61">
        <v>39.42</v>
      </c>
      <c r="BX442" s="67">
        <v>295.86900000000003</v>
      </c>
      <c r="BY442" s="68">
        <v>122910</v>
      </c>
      <c r="BZ442" s="68">
        <v>106212</v>
      </c>
      <c r="CA442" s="69">
        <v>5131</v>
      </c>
      <c r="CB442" s="68">
        <v>168649</v>
      </c>
      <c r="CC442" s="68">
        <v>19120</v>
      </c>
      <c r="CD442" s="68">
        <v>95367</v>
      </c>
      <c r="CE442" s="64"/>
      <c r="CF442" s="64"/>
      <c r="CG442" s="70">
        <f t="shared" si="32"/>
        <v>7083.2579999999998</v>
      </c>
      <c r="CH442" s="70">
        <f t="shared" si="33"/>
        <v>215.50200000000001</v>
      </c>
      <c r="CI442" s="70">
        <f t="shared" si="34"/>
        <v>803.04</v>
      </c>
      <c r="CJ442" s="70">
        <f t="shared" si="35"/>
        <v>5162.22</v>
      </c>
      <c r="CK442" s="70">
        <f t="shared" si="35"/>
        <v>4460.9040000000005</v>
      </c>
      <c r="CL442" s="70">
        <f t="shared" si="31"/>
        <v>4005.4140000000002</v>
      </c>
      <c r="CM442" s="61"/>
      <c r="CN442" s="61"/>
      <c r="CO442" s="61"/>
      <c r="CP442" s="61"/>
      <c r="CQ442" s="61"/>
      <c r="CR442" s="61"/>
      <c r="CS442" s="61"/>
      <c r="CT442" s="61"/>
      <c r="CU442" s="61"/>
      <c r="CV442" s="61"/>
      <c r="CW442" s="61"/>
      <c r="CX442" s="61"/>
      <c r="CY442" s="61"/>
      <c r="CZ442" s="61"/>
      <c r="DA442" s="61"/>
      <c r="DB442" s="61"/>
      <c r="DC442" s="61"/>
      <c r="DD442" s="61"/>
      <c r="DE442" s="61"/>
      <c r="DF442" s="61"/>
      <c r="DG442" s="61"/>
      <c r="DH442" s="61"/>
      <c r="DI442" s="61"/>
      <c r="DJ442" s="61"/>
      <c r="DK442" s="61"/>
      <c r="DL442" s="61"/>
      <c r="DM442" s="61"/>
      <c r="DN442" s="61"/>
      <c r="DO442" s="61"/>
      <c r="DP442" s="61"/>
      <c r="DQ442" s="61"/>
      <c r="DR442" s="61"/>
      <c r="DS442" s="61"/>
      <c r="DT442" s="61"/>
      <c r="DU442" s="61"/>
      <c r="DV442" s="61"/>
      <c r="DW442" s="61"/>
      <c r="DX442" s="61"/>
      <c r="DY442" s="61"/>
      <c r="DZ442" s="61"/>
      <c r="EA442" s="61"/>
      <c r="EB442" s="61"/>
      <c r="EC442" s="61"/>
      <c r="ED442" s="61"/>
      <c r="EE442" s="61"/>
      <c r="EF442" s="61"/>
      <c r="EG442" s="61"/>
      <c r="EH442" s="61"/>
      <c r="EI442" s="61"/>
      <c r="EJ442" s="61"/>
      <c r="EK442" s="61"/>
      <c r="EL442" s="61"/>
      <c r="EM442" s="61"/>
      <c r="EN442" s="61"/>
      <c r="EO442" s="61"/>
      <c r="EP442" s="61"/>
      <c r="EQ442" s="61"/>
      <c r="ER442" s="61"/>
      <c r="ES442" s="61"/>
      <c r="ET442" s="61"/>
      <c r="EU442" s="61"/>
      <c r="EV442" s="61"/>
      <c r="EW442" s="61"/>
    </row>
    <row r="443" spans="1:153">
      <c r="A443" s="56">
        <v>40057</v>
      </c>
      <c r="B443" s="57">
        <v>2009</v>
      </c>
      <c r="C443" s="71">
        <v>6.3019999999999996</v>
      </c>
      <c r="D443" s="61">
        <v>8.5999999999999993E-2</v>
      </c>
      <c r="E443" s="61">
        <v>1159.92</v>
      </c>
      <c r="F443" s="61">
        <v>48.716999999999999</v>
      </c>
      <c r="G443" s="61">
        <v>6.2160000000000002</v>
      </c>
      <c r="H443" s="61">
        <v>126.831</v>
      </c>
      <c r="I443" s="61">
        <v>231.37200000000001</v>
      </c>
      <c r="J443" s="61">
        <v>-104.541</v>
      </c>
      <c r="K443" s="61">
        <v>527</v>
      </c>
      <c r="L443" s="61">
        <v>16</v>
      </c>
      <c r="M443" s="61">
        <v>1039.3789999999999</v>
      </c>
      <c r="N443" s="61">
        <v>43.654000000000003</v>
      </c>
      <c r="O443" s="71">
        <v>5.57</v>
      </c>
      <c r="P443" s="60">
        <v>161.71600000000001</v>
      </c>
      <c r="Q443" s="61">
        <v>134.584</v>
      </c>
      <c r="R443" s="61">
        <v>332.37400000000002</v>
      </c>
      <c r="S443" s="61">
        <v>570.82799999999997</v>
      </c>
      <c r="T443" s="61">
        <v>169.42099999999999</v>
      </c>
      <c r="U443" s="61">
        <v>16.289000000000001</v>
      </c>
      <c r="V443" s="61">
        <v>7.3520000000000003</v>
      </c>
      <c r="W443" s="61">
        <v>45.390999999999998</v>
      </c>
      <c r="X443" s="61">
        <v>161.71600000000001</v>
      </c>
      <c r="Y443" s="61">
        <v>36.075000000000003</v>
      </c>
      <c r="Z443" s="61">
        <v>132.892</v>
      </c>
      <c r="AA443" s="61">
        <v>330.68200000000002</v>
      </c>
      <c r="AB443" s="60">
        <v>569.13599999999997</v>
      </c>
      <c r="AC443" s="62"/>
      <c r="AD443" s="61"/>
      <c r="AE443" s="61"/>
      <c r="AF443" s="61"/>
      <c r="AG443" s="61"/>
      <c r="AH443" s="61"/>
      <c r="AI443" s="61"/>
      <c r="AJ443" s="61"/>
      <c r="AK443" s="62"/>
      <c r="AL443" s="63"/>
      <c r="AM443" s="64"/>
      <c r="AN443" s="65" t="e">
        <v>#N/A</v>
      </c>
      <c r="AO443" s="61" t="e">
        <v>#N/A</v>
      </c>
      <c r="AP443" s="61" t="e">
        <v>#N/A</v>
      </c>
      <c r="AQ443" s="61" t="e">
        <v>#N/A</v>
      </c>
      <c r="AR443" s="61" t="e">
        <v>#N/A</v>
      </c>
      <c r="AS443" s="61" t="e">
        <v>#N/A</v>
      </c>
      <c r="AT443" s="61" t="e">
        <v>#N/A</v>
      </c>
      <c r="AU443" s="61" t="e">
        <v>#N/A</v>
      </c>
      <c r="AV443" s="61" t="e">
        <v>#N/A</v>
      </c>
      <c r="AW443" s="61" t="e">
        <v>#N/A</v>
      </c>
      <c r="AX443" s="65" t="e">
        <v>#N/A</v>
      </c>
      <c r="AY443" s="66">
        <v>2.6960000000000002</v>
      </c>
      <c r="AZ443" s="61">
        <v>5.5990000000000002</v>
      </c>
      <c r="BA443" s="61">
        <v>41.424999999999997</v>
      </c>
      <c r="BB443" s="61">
        <v>49.72</v>
      </c>
      <c r="BC443" s="61">
        <v>8.9999999999999993E-3</v>
      </c>
      <c r="BD443" s="61">
        <v>1.373</v>
      </c>
      <c r="BE443" s="61">
        <v>0.67600000000000005</v>
      </c>
      <c r="BF443" s="61">
        <v>0</v>
      </c>
      <c r="BG443" s="61">
        <v>5.9710000000000001</v>
      </c>
      <c r="BH443" s="61">
        <v>2.9020000000000001</v>
      </c>
      <c r="BI443" s="61">
        <v>0.23499999999999999</v>
      </c>
      <c r="BJ443" s="61">
        <v>9.1069999999999993</v>
      </c>
      <c r="BK443" s="66">
        <v>11.166</v>
      </c>
      <c r="BL443" s="67">
        <v>74.573999999999998</v>
      </c>
      <c r="BM443" s="61">
        <v>5.57</v>
      </c>
      <c r="BN443" s="61" t="s">
        <v>121</v>
      </c>
      <c r="BO443" s="61" t="s">
        <v>121</v>
      </c>
      <c r="BP443" s="61">
        <v>80.144000000000005</v>
      </c>
      <c r="BQ443" s="61">
        <v>168.483</v>
      </c>
      <c r="BR443" s="61">
        <v>11.875999999999999</v>
      </c>
      <c r="BS443" s="61">
        <v>0.92700000000000005</v>
      </c>
      <c r="BT443" s="61">
        <v>45.390999999999998</v>
      </c>
      <c r="BU443" s="61">
        <v>14.497999999999999</v>
      </c>
      <c r="BV443" s="61">
        <v>21.18</v>
      </c>
      <c r="BW443" s="61">
        <v>35.677999999999997</v>
      </c>
      <c r="BX443" s="67">
        <v>262.35500000000002</v>
      </c>
      <c r="BY443" s="68">
        <v>122964</v>
      </c>
      <c r="BZ443" s="68">
        <v>106810</v>
      </c>
      <c r="CA443" s="69">
        <v>6147</v>
      </c>
      <c r="CB443" s="68">
        <v>172731</v>
      </c>
      <c r="CC443" s="68">
        <v>18219</v>
      </c>
      <c r="CD443" s="68">
        <v>93662</v>
      </c>
      <c r="CE443" s="64"/>
      <c r="CF443" s="64"/>
      <c r="CG443" s="70">
        <f t="shared" si="32"/>
        <v>7254.7020000000002</v>
      </c>
      <c r="CH443" s="70">
        <f t="shared" si="33"/>
        <v>258.17399999999998</v>
      </c>
      <c r="CI443" s="70">
        <f t="shared" si="34"/>
        <v>765.19799999999998</v>
      </c>
      <c r="CJ443" s="70">
        <f t="shared" si="35"/>
        <v>5164.4880000000003</v>
      </c>
      <c r="CK443" s="70">
        <f t="shared" si="35"/>
        <v>4486.0200000000004</v>
      </c>
      <c r="CL443" s="70">
        <f t="shared" si="31"/>
        <v>3933.8040000000001</v>
      </c>
      <c r="CM443" s="61"/>
      <c r="CN443" s="61"/>
      <c r="CO443" s="61"/>
      <c r="CP443" s="61"/>
      <c r="CQ443" s="61"/>
      <c r="CR443" s="61"/>
      <c r="CS443" s="61"/>
      <c r="CT443" s="61"/>
      <c r="CU443" s="61"/>
      <c r="CV443" s="61"/>
      <c r="CW443" s="61"/>
      <c r="CX443" s="61"/>
      <c r="CY443" s="61"/>
      <c r="CZ443" s="61"/>
      <c r="DA443" s="61"/>
      <c r="DB443" s="61"/>
      <c r="DC443" s="61"/>
      <c r="DD443" s="61"/>
      <c r="DE443" s="61"/>
      <c r="DF443" s="61"/>
      <c r="DG443" s="61"/>
      <c r="DH443" s="61"/>
      <c r="DI443" s="61"/>
      <c r="DJ443" s="61"/>
      <c r="DK443" s="61"/>
      <c r="DL443" s="61"/>
      <c r="DM443" s="61"/>
      <c r="DN443" s="61"/>
      <c r="DO443" s="61"/>
      <c r="DP443" s="61"/>
      <c r="DQ443" s="61"/>
      <c r="DR443" s="61"/>
      <c r="DS443" s="61"/>
      <c r="DT443" s="61"/>
      <c r="DU443" s="61"/>
      <c r="DV443" s="61"/>
      <c r="DW443" s="61"/>
      <c r="DX443" s="61"/>
      <c r="DY443" s="61"/>
      <c r="DZ443" s="61"/>
      <c r="EA443" s="61"/>
      <c r="EB443" s="61"/>
      <c r="EC443" s="61"/>
      <c r="ED443" s="61"/>
      <c r="EE443" s="61"/>
      <c r="EF443" s="61"/>
      <c r="EG443" s="61"/>
      <c r="EH443" s="61"/>
      <c r="EI443" s="61"/>
      <c r="EJ443" s="61"/>
      <c r="EK443" s="61"/>
      <c r="EL443" s="61"/>
      <c r="EM443" s="61"/>
      <c r="EN443" s="61"/>
      <c r="EO443" s="61"/>
      <c r="EP443" s="61"/>
      <c r="EQ443" s="61"/>
      <c r="ER443" s="61"/>
      <c r="ES443" s="61"/>
      <c r="ET443" s="61"/>
      <c r="EU443" s="61"/>
      <c r="EV443" s="61"/>
      <c r="EW443" s="61"/>
    </row>
    <row r="444" spans="1:153">
      <c r="A444" s="56">
        <v>40087</v>
      </c>
      <c r="B444" s="57">
        <v>2009</v>
      </c>
      <c r="C444" s="71">
        <v>7.431</v>
      </c>
      <c r="D444" s="61">
        <v>0.10100000000000001</v>
      </c>
      <c r="E444" s="61">
        <v>1367.7170000000001</v>
      </c>
      <c r="F444" s="61">
        <v>57.444000000000003</v>
      </c>
      <c r="G444" s="61">
        <v>7.33</v>
      </c>
      <c r="H444" s="61">
        <v>164.386</v>
      </c>
      <c r="I444" s="61">
        <v>438.04500000000002</v>
      </c>
      <c r="J444" s="61">
        <v>-273.65899999999999</v>
      </c>
      <c r="K444" s="61">
        <v>553</v>
      </c>
      <c r="L444" s="61">
        <v>26</v>
      </c>
      <c r="M444" s="61">
        <v>1068.058</v>
      </c>
      <c r="N444" s="61">
        <v>44.857999999999997</v>
      </c>
      <c r="O444" s="71">
        <v>5.7240000000000002</v>
      </c>
      <c r="P444" s="60">
        <v>165.59200000000001</v>
      </c>
      <c r="Q444" s="61">
        <v>142.87100000000001</v>
      </c>
      <c r="R444" s="61">
        <v>346.47199999999998</v>
      </c>
      <c r="S444" s="61">
        <v>628.15700000000004</v>
      </c>
      <c r="T444" s="61">
        <v>192.185</v>
      </c>
      <c r="U444" s="61">
        <v>16.478999999999999</v>
      </c>
      <c r="V444" s="61">
        <v>6.52</v>
      </c>
      <c r="W444" s="61">
        <v>66.501000000000005</v>
      </c>
      <c r="X444" s="61">
        <v>165.59200000000001</v>
      </c>
      <c r="Y444" s="61">
        <v>38.01</v>
      </c>
      <c r="Z444" s="61">
        <v>143.40700000000001</v>
      </c>
      <c r="AA444" s="61">
        <v>347.00900000000001</v>
      </c>
      <c r="AB444" s="60">
        <v>628.69299999999998</v>
      </c>
      <c r="AC444" s="62"/>
      <c r="AD444" s="61"/>
      <c r="AE444" s="61"/>
      <c r="AF444" s="61"/>
      <c r="AG444" s="61"/>
      <c r="AH444" s="61"/>
      <c r="AI444" s="61"/>
      <c r="AJ444" s="61"/>
      <c r="AK444" s="62"/>
      <c r="AL444" s="63"/>
      <c r="AM444" s="64"/>
      <c r="AN444" s="65" t="e">
        <v>#N/A</v>
      </c>
      <c r="AO444" s="61" t="e">
        <v>#N/A</v>
      </c>
      <c r="AP444" s="61" t="e">
        <v>#N/A</v>
      </c>
      <c r="AQ444" s="61" t="e">
        <v>#N/A</v>
      </c>
      <c r="AR444" s="61" t="e">
        <v>#N/A</v>
      </c>
      <c r="AS444" s="61" t="e">
        <v>#N/A</v>
      </c>
      <c r="AT444" s="61" t="e">
        <v>#N/A</v>
      </c>
      <c r="AU444" s="61" t="e">
        <v>#N/A</v>
      </c>
      <c r="AV444" s="61" t="e">
        <v>#N/A</v>
      </c>
      <c r="AW444" s="61" t="e">
        <v>#N/A</v>
      </c>
      <c r="AX444" s="65" t="e">
        <v>#N/A</v>
      </c>
      <c r="AY444" s="66">
        <v>2.786</v>
      </c>
      <c r="AZ444" s="61">
        <v>5.1029999999999998</v>
      </c>
      <c r="BA444" s="61">
        <v>42.805</v>
      </c>
      <c r="BB444" s="61">
        <v>50.694000000000003</v>
      </c>
      <c r="BC444" s="61">
        <v>3.3000000000000002E-2</v>
      </c>
      <c r="BD444" s="61">
        <v>1.4179999999999999</v>
      </c>
      <c r="BE444" s="61">
        <v>0.61599999999999999</v>
      </c>
      <c r="BF444" s="61">
        <v>0</v>
      </c>
      <c r="BG444" s="61">
        <v>6.1550000000000002</v>
      </c>
      <c r="BH444" s="61">
        <v>2.944</v>
      </c>
      <c r="BI444" s="61">
        <v>0.25900000000000001</v>
      </c>
      <c r="BJ444" s="61">
        <v>9.3580000000000005</v>
      </c>
      <c r="BK444" s="66">
        <v>11.426</v>
      </c>
      <c r="BL444" s="67">
        <v>81.926000000000002</v>
      </c>
      <c r="BM444" s="61">
        <v>5.7240000000000002</v>
      </c>
      <c r="BN444" s="61" t="s">
        <v>121</v>
      </c>
      <c r="BO444" s="61" t="s">
        <v>121</v>
      </c>
      <c r="BP444" s="61">
        <v>87.65</v>
      </c>
      <c r="BQ444" s="61">
        <v>190.828</v>
      </c>
      <c r="BR444" s="61">
        <v>11.917999999999999</v>
      </c>
      <c r="BS444" s="61">
        <v>0.66500000000000004</v>
      </c>
      <c r="BT444" s="61">
        <v>66.501000000000005</v>
      </c>
      <c r="BU444" s="61">
        <v>13.83</v>
      </c>
      <c r="BV444" s="61">
        <v>21.260999999999999</v>
      </c>
      <c r="BW444" s="61">
        <v>35.091999999999999</v>
      </c>
      <c r="BX444" s="67">
        <v>305.00299999999999</v>
      </c>
      <c r="BY444" s="68">
        <v>123493</v>
      </c>
      <c r="BZ444" s="68">
        <v>113276</v>
      </c>
      <c r="CA444" s="69">
        <v>5496</v>
      </c>
      <c r="CB444" s="68">
        <v>171164</v>
      </c>
      <c r="CC444" s="68">
        <v>17280</v>
      </c>
      <c r="CD444" s="68">
        <v>93326</v>
      </c>
      <c r="CE444" s="64"/>
      <c r="CF444" s="64"/>
      <c r="CG444" s="70">
        <f t="shared" si="32"/>
        <v>7188.8879999999999</v>
      </c>
      <c r="CH444" s="70">
        <f t="shared" si="33"/>
        <v>230.83199999999999</v>
      </c>
      <c r="CI444" s="70">
        <f t="shared" si="34"/>
        <v>725.76</v>
      </c>
      <c r="CJ444" s="70">
        <f t="shared" si="35"/>
        <v>5186.7060000000001</v>
      </c>
      <c r="CK444" s="70">
        <f t="shared" si="35"/>
        <v>4757.5919999999996</v>
      </c>
      <c r="CL444" s="70">
        <f t="shared" si="31"/>
        <v>3919.692</v>
      </c>
      <c r="CM444" s="61"/>
      <c r="CN444" s="61"/>
      <c r="CO444" s="61"/>
      <c r="CP444" s="61"/>
      <c r="CQ444" s="61"/>
      <c r="CR444" s="61"/>
      <c r="CS444" s="61"/>
      <c r="CT444" s="61"/>
      <c r="CU444" s="61"/>
      <c r="CV444" s="61"/>
      <c r="CW444" s="61"/>
      <c r="CX444" s="61"/>
      <c r="CY444" s="61"/>
      <c r="CZ444" s="61"/>
      <c r="DA444" s="61"/>
      <c r="DB444" s="61"/>
      <c r="DC444" s="61"/>
      <c r="DD444" s="61"/>
      <c r="DE444" s="61"/>
      <c r="DF444" s="61"/>
      <c r="DG444" s="61"/>
      <c r="DH444" s="61"/>
      <c r="DI444" s="61"/>
      <c r="DJ444" s="61"/>
      <c r="DK444" s="61"/>
      <c r="DL444" s="61"/>
      <c r="DM444" s="61"/>
      <c r="DN444" s="61"/>
      <c r="DO444" s="61"/>
      <c r="DP444" s="61"/>
      <c r="DQ444" s="61"/>
      <c r="DR444" s="61"/>
      <c r="DS444" s="61"/>
      <c r="DT444" s="61"/>
      <c r="DU444" s="61"/>
      <c r="DV444" s="61"/>
      <c r="DW444" s="61"/>
      <c r="DX444" s="61"/>
      <c r="DY444" s="61"/>
      <c r="DZ444" s="61"/>
      <c r="EA444" s="61"/>
      <c r="EB444" s="61"/>
      <c r="EC444" s="61"/>
      <c r="ED444" s="61"/>
      <c r="EE444" s="61"/>
      <c r="EF444" s="61"/>
      <c r="EG444" s="61"/>
      <c r="EH444" s="61"/>
      <c r="EI444" s="61"/>
      <c r="EJ444" s="61"/>
      <c r="EK444" s="61"/>
      <c r="EL444" s="61"/>
      <c r="EM444" s="61"/>
      <c r="EN444" s="61"/>
      <c r="EO444" s="61"/>
      <c r="EP444" s="61"/>
      <c r="EQ444" s="61"/>
      <c r="ER444" s="61"/>
      <c r="ES444" s="61"/>
      <c r="ET444" s="61"/>
      <c r="EU444" s="61"/>
      <c r="EV444" s="61"/>
      <c r="EW444" s="61"/>
    </row>
    <row r="445" spans="1:153">
      <c r="A445" s="56">
        <v>40118</v>
      </c>
      <c r="B445" s="57">
        <v>2009</v>
      </c>
      <c r="C445" s="71">
        <v>8.2379999999999995</v>
      </c>
      <c r="D445" s="61">
        <v>0.112</v>
      </c>
      <c r="E445" s="61">
        <v>1516.239</v>
      </c>
      <c r="F445" s="61">
        <v>63.682000000000002</v>
      </c>
      <c r="G445" s="61">
        <v>8.1259999999999994</v>
      </c>
      <c r="H445" s="61">
        <v>108.604</v>
      </c>
      <c r="I445" s="61">
        <v>847.18399999999997</v>
      </c>
      <c r="J445" s="61">
        <v>-738.58</v>
      </c>
      <c r="K445" s="61">
        <v>531</v>
      </c>
      <c r="L445" s="61">
        <v>-22</v>
      </c>
      <c r="M445" s="61">
        <v>799.65899999999999</v>
      </c>
      <c r="N445" s="61">
        <v>33.585999999999999</v>
      </c>
      <c r="O445" s="71">
        <v>4.2850000000000001</v>
      </c>
      <c r="P445" s="60">
        <v>162.14400000000001</v>
      </c>
      <c r="Q445" s="61">
        <v>147.495</v>
      </c>
      <c r="R445" s="61">
        <v>348.33300000000003</v>
      </c>
      <c r="S445" s="61">
        <v>642.50800000000004</v>
      </c>
      <c r="T445" s="61">
        <v>205.035</v>
      </c>
      <c r="U445" s="61">
        <v>16.841000000000001</v>
      </c>
      <c r="V445" s="61">
        <v>5.1980000000000004</v>
      </c>
      <c r="W445" s="61">
        <v>67.102000000000004</v>
      </c>
      <c r="X445" s="61">
        <v>162.14400000000001</v>
      </c>
      <c r="Y445" s="61">
        <v>38.694000000000003</v>
      </c>
      <c r="Z445" s="61">
        <v>142.40899999999999</v>
      </c>
      <c r="AA445" s="61">
        <v>343.24599999999998</v>
      </c>
      <c r="AB445" s="60">
        <v>637.42100000000005</v>
      </c>
      <c r="AC445" s="62"/>
      <c r="AD445" s="61"/>
      <c r="AE445" s="61"/>
      <c r="AF445" s="61"/>
      <c r="AG445" s="61"/>
      <c r="AH445" s="61"/>
      <c r="AI445" s="61"/>
      <c r="AJ445" s="61"/>
      <c r="AK445" s="62"/>
      <c r="AL445" s="63"/>
      <c r="AM445" s="64"/>
      <c r="AN445" s="65" t="e">
        <v>#N/A</v>
      </c>
      <c r="AO445" s="61" t="e">
        <v>#N/A</v>
      </c>
      <c r="AP445" s="61" t="e">
        <v>#N/A</v>
      </c>
      <c r="AQ445" s="61" t="e">
        <v>#N/A</v>
      </c>
      <c r="AR445" s="61" t="e">
        <v>#N/A</v>
      </c>
      <c r="AS445" s="61" t="e">
        <v>#N/A</v>
      </c>
      <c r="AT445" s="61" t="e">
        <v>#N/A</v>
      </c>
      <c r="AU445" s="61" t="e">
        <v>#N/A</v>
      </c>
      <c r="AV445" s="61" t="e">
        <v>#N/A</v>
      </c>
      <c r="AW445" s="61" t="e">
        <v>#N/A</v>
      </c>
      <c r="AX445" s="65" t="e">
        <v>#N/A</v>
      </c>
      <c r="AY445" s="66">
        <v>2.6960000000000002</v>
      </c>
      <c r="AZ445" s="61">
        <v>4.1859999999999999</v>
      </c>
      <c r="BA445" s="61">
        <v>41.424999999999997</v>
      </c>
      <c r="BB445" s="61">
        <v>48.305999999999997</v>
      </c>
      <c r="BC445" s="61">
        <v>5.5E-2</v>
      </c>
      <c r="BD445" s="61">
        <v>1.373</v>
      </c>
      <c r="BE445" s="61">
        <v>0.505</v>
      </c>
      <c r="BF445" s="61">
        <v>0</v>
      </c>
      <c r="BG445" s="61">
        <v>5.9660000000000002</v>
      </c>
      <c r="BH445" s="61">
        <v>3.008</v>
      </c>
      <c r="BI445" s="61">
        <v>0.255</v>
      </c>
      <c r="BJ445" s="61">
        <v>9.2289999999999992</v>
      </c>
      <c r="BK445" s="66">
        <v>11.163</v>
      </c>
      <c r="BL445" s="67">
        <v>80.846000000000004</v>
      </c>
      <c r="BM445" s="61">
        <v>4.2850000000000001</v>
      </c>
      <c r="BN445" s="61" t="s">
        <v>121</v>
      </c>
      <c r="BO445" s="61" t="s">
        <v>121</v>
      </c>
      <c r="BP445" s="61">
        <v>85.131</v>
      </c>
      <c r="BQ445" s="61">
        <v>203.64099999999999</v>
      </c>
      <c r="BR445" s="61">
        <v>12.427</v>
      </c>
      <c r="BS445" s="61">
        <v>0.39400000000000002</v>
      </c>
      <c r="BT445" s="61">
        <v>67.102000000000004</v>
      </c>
      <c r="BU445" s="61">
        <v>14.914</v>
      </c>
      <c r="BV445" s="61">
        <v>21.911999999999999</v>
      </c>
      <c r="BW445" s="61">
        <v>36.826000000000001</v>
      </c>
      <c r="BX445" s="67">
        <v>320.39</v>
      </c>
      <c r="BY445" s="68">
        <v>120554</v>
      </c>
      <c r="BZ445" s="68">
        <v>107875</v>
      </c>
      <c r="CA445" s="69">
        <v>4916</v>
      </c>
      <c r="CB445" s="68">
        <v>171125</v>
      </c>
      <c r="CC445" s="68">
        <v>17634</v>
      </c>
      <c r="CD445" s="68">
        <v>94372</v>
      </c>
      <c r="CE445" s="64"/>
      <c r="CF445" s="64"/>
      <c r="CG445" s="70">
        <f t="shared" si="32"/>
        <v>7187.25</v>
      </c>
      <c r="CH445" s="70">
        <f t="shared" si="33"/>
        <v>206.47200000000001</v>
      </c>
      <c r="CI445" s="70">
        <f t="shared" si="34"/>
        <v>740.62800000000004</v>
      </c>
      <c r="CJ445" s="70">
        <f t="shared" si="35"/>
        <v>5063.268</v>
      </c>
      <c r="CK445" s="70">
        <f t="shared" si="35"/>
        <v>4530.75</v>
      </c>
      <c r="CL445" s="70">
        <f t="shared" ref="CL445:CL508" si="36">CD445*42/1000</f>
        <v>3963.6239999999998</v>
      </c>
      <c r="CM445" s="61"/>
      <c r="CN445" s="61"/>
      <c r="CO445" s="61"/>
      <c r="CP445" s="61"/>
      <c r="CQ445" s="61"/>
      <c r="CR445" s="61"/>
      <c r="CS445" s="61"/>
      <c r="CT445" s="61"/>
      <c r="CU445" s="61"/>
      <c r="CV445" s="61"/>
      <c r="CW445" s="61"/>
      <c r="CX445" s="61"/>
      <c r="CY445" s="61"/>
      <c r="CZ445" s="61"/>
      <c r="DA445" s="61"/>
      <c r="DB445" s="61"/>
      <c r="DC445" s="61"/>
      <c r="DD445" s="61"/>
      <c r="DE445" s="61"/>
      <c r="DF445" s="61"/>
      <c r="DG445" s="61"/>
      <c r="DH445" s="61"/>
      <c r="DI445" s="61"/>
      <c r="DJ445" s="61"/>
      <c r="DK445" s="61"/>
      <c r="DL445" s="61"/>
      <c r="DM445" s="61"/>
      <c r="DN445" s="61"/>
      <c r="DO445" s="61"/>
      <c r="DP445" s="61"/>
      <c r="DQ445" s="61"/>
      <c r="DR445" s="61"/>
      <c r="DS445" s="61"/>
      <c r="DT445" s="61"/>
      <c r="DU445" s="61"/>
      <c r="DV445" s="61"/>
      <c r="DW445" s="61"/>
      <c r="DX445" s="61"/>
      <c r="DY445" s="61"/>
      <c r="DZ445" s="61"/>
      <c r="EA445" s="61"/>
      <c r="EB445" s="61"/>
      <c r="EC445" s="61"/>
      <c r="ED445" s="61"/>
      <c r="EE445" s="61"/>
      <c r="EF445" s="61"/>
      <c r="EG445" s="61"/>
      <c r="EH445" s="61"/>
      <c r="EI445" s="61"/>
      <c r="EJ445" s="61"/>
      <c r="EK445" s="61"/>
      <c r="EL445" s="61"/>
      <c r="EM445" s="61"/>
      <c r="EN445" s="61"/>
      <c r="EO445" s="61"/>
      <c r="EP445" s="61"/>
      <c r="EQ445" s="61"/>
      <c r="ER445" s="61"/>
      <c r="ES445" s="61"/>
      <c r="ET445" s="61"/>
      <c r="EU445" s="61"/>
      <c r="EV445" s="61"/>
      <c r="EW445" s="61"/>
    </row>
    <row r="446" spans="1:153">
      <c r="A446" s="56">
        <v>40148</v>
      </c>
      <c r="B446" s="57">
        <v>2009</v>
      </c>
      <c r="C446" s="71">
        <v>7.9480000000000004</v>
      </c>
      <c r="D446" s="61">
        <v>0.108</v>
      </c>
      <c r="E446" s="61">
        <v>1462.922</v>
      </c>
      <c r="F446" s="61">
        <v>61.442999999999998</v>
      </c>
      <c r="G446" s="61">
        <v>7.84</v>
      </c>
      <c r="H446" s="61">
        <v>171.02099999999999</v>
      </c>
      <c r="I446" s="61">
        <v>445.226</v>
      </c>
      <c r="J446" s="61">
        <v>-274.20499999999998</v>
      </c>
      <c r="K446" s="61">
        <v>711</v>
      </c>
      <c r="L446" s="61">
        <v>180</v>
      </c>
      <c r="M446" s="61">
        <v>1008.717</v>
      </c>
      <c r="N446" s="61">
        <v>42.366</v>
      </c>
      <c r="O446" s="71">
        <v>5.4059999999999997</v>
      </c>
      <c r="P446" s="60">
        <v>168.51400000000001</v>
      </c>
      <c r="Q446" s="61">
        <v>152.90600000000001</v>
      </c>
      <c r="R446" s="61">
        <v>360.68900000000002</v>
      </c>
      <c r="S446" s="61">
        <v>692.13199999999995</v>
      </c>
      <c r="T446" s="61">
        <v>241.363</v>
      </c>
      <c r="U446" s="61">
        <v>17.911999999999999</v>
      </c>
      <c r="V446" s="61">
        <v>4.766</v>
      </c>
      <c r="W446" s="61">
        <v>67.403000000000006</v>
      </c>
      <c r="X446" s="61">
        <v>168.51400000000001</v>
      </c>
      <c r="Y446" s="61">
        <v>39.268000000000001</v>
      </c>
      <c r="Z446" s="61">
        <v>146.999</v>
      </c>
      <c r="AA446" s="61">
        <v>354.78199999999998</v>
      </c>
      <c r="AB446" s="60">
        <v>686.226</v>
      </c>
      <c r="AC446" s="62"/>
      <c r="AD446" s="61"/>
      <c r="AE446" s="61"/>
      <c r="AF446" s="61"/>
      <c r="AG446" s="61"/>
      <c r="AH446" s="61"/>
      <c r="AI446" s="61"/>
      <c r="AJ446" s="61"/>
      <c r="AK446" s="62"/>
      <c r="AL446" s="63"/>
      <c r="AM446" s="64"/>
      <c r="AN446" s="65" t="e">
        <v>#N/A</v>
      </c>
      <c r="AO446" s="61" t="e">
        <v>#N/A</v>
      </c>
      <c r="AP446" s="61" t="e">
        <v>#N/A</v>
      </c>
      <c r="AQ446" s="61" t="e">
        <v>#N/A</v>
      </c>
      <c r="AR446" s="61" t="e">
        <v>#N/A</v>
      </c>
      <c r="AS446" s="61" t="e">
        <v>#N/A</v>
      </c>
      <c r="AT446" s="61" t="e">
        <v>#N/A</v>
      </c>
      <c r="AU446" s="61" t="e">
        <v>#N/A</v>
      </c>
      <c r="AV446" s="61" t="e">
        <v>#N/A</v>
      </c>
      <c r="AW446" s="61" t="e">
        <v>#N/A</v>
      </c>
      <c r="AX446" s="65" t="e">
        <v>#N/A</v>
      </c>
      <c r="AY446" s="66">
        <v>2.786</v>
      </c>
      <c r="AZ446" s="61">
        <v>3.9729999999999999</v>
      </c>
      <c r="BA446" s="61">
        <v>42.805</v>
      </c>
      <c r="BB446" s="61">
        <v>49.564999999999998</v>
      </c>
      <c r="BC446" s="61">
        <v>6.6000000000000003E-2</v>
      </c>
      <c r="BD446" s="61">
        <v>1.4179999999999999</v>
      </c>
      <c r="BE446" s="61">
        <v>0.48</v>
      </c>
      <c r="BF446" s="61">
        <v>0</v>
      </c>
      <c r="BG446" s="61">
        <v>6.1740000000000004</v>
      </c>
      <c r="BH446" s="61">
        <v>3.0219999999999998</v>
      </c>
      <c r="BI446" s="61">
        <v>0.25900000000000001</v>
      </c>
      <c r="BJ446" s="61">
        <v>9.4550000000000001</v>
      </c>
      <c r="BK446" s="66">
        <v>11.419</v>
      </c>
      <c r="BL446" s="67">
        <v>82.016999999999996</v>
      </c>
      <c r="BM446" s="61">
        <v>5.4059999999999997</v>
      </c>
      <c r="BN446" s="61" t="s">
        <v>121</v>
      </c>
      <c r="BO446" s="61" t="s">
        <v>121</v>
      </c>
      <c r="BP446" s="61">
        <v>87.423000000000002</v>
      </c>
      <c r="BQ446" s="61">
        <v>239.58500000000001</v>
      </c>
      <c r="BR446" s="61">
        <v>13.351000000000001</v>
      </c>
      <c r="BS446" s="61">
        <v>0.20699999999999999</v>
      </c>
      <c r="BT446" s="61">
        <v>67.403000000000006</v>
      </c>
      <c r="BU446" s="61">
        <v>17.077000000000002</v>
      </c>
      <c r="BV446" s="61">
        <v>22.437999999999999</v>
      </c>
      <c r="BW446" s="61">
        <v>39.515000000000001</v>
      </c>
      <c r="BX446" s="67">
        <v>360.06</v>
      </c>
      <c r="BY446" s="68">
        <v>120194</v>
      </c>
      <c r="BZ446" s="68">
        <v>119706</v>
      </c>
      <c r="CA446" s="69">
        <v>6932</v>
      </c>
      <c r="CB446" s="68">
        <v>165964</v>
      </c>
      <c r="CC446" s="68">
        <v>12581</v>
      </c>
      <c r="CD446" s="68">
        <v>93715</v>
      </c>
      <c r="CE446" s="64"/>
      <c r="CF446" s="64"/>
      <c r="CG446" s="70">
        <f t="shared" si="32"/>
        <v>6970.4880000000003</v>
      </c>
      <c r="CH446" s="70">
        <f t="shared" si="33"/>
        <v>291.14400000000001</v>
      </c>
      <c r="CI446" s="70">
        <f t="shared" si="34"/>
        <v>528.40200000000004</v>
      </c>
      <c r="CJ446" s="70">
        <f t="shared" si="35"/>
        <v>5048.1480000000001</v>
      </c>
      <c r="CK446" s="70">
        <f t="shared" si="35"/>
        <v>5027.652</v>
      </c>
      <c r="CL446" s="70">
        <f t="shared" si="36"/>
        <v>3936.03</v>
      </c>
      <c r="CM446" s="61"/>
      <c r="CN446" s="61"/>
      <c r="CO446" s="61"/>
      <c r="CP446" s="61"/>
      <c r="CQ446" s="61"/>
      <c r="CR446" s="61"/>
      <c r="CS446" s="61"/>
      <c r="CT446" s="61"/>
      <c r="CU446" s="61"/>
      <c r="CV446" s="61"/>
      <c r="CW446" s="61"/>
      <c r="CX446" s="61"/>
      <c r="CY446" s="61"/>
      <c r="CZ446" s="61"/>
      <c r="DA446" s="61"/>
      <c r="DB446" s="61"/>
      <c r="DC446" s="61"/>
      <c r="DD446" s="61"/>
      <c r="DE446" s="61"/>
      <c r="DF446" s="61"/>
      <c r="DG446" s="61"/>
      <c r="DH446" s="61"/>
      <c r="DI446" s="61"/>
      <c r="DJ446" s="61"/>
      <c r="DK446" s="61"/>
      <c r="DL446" s="61"/>
      <c r="DM446" s="61"/>
      <c r="DN446" s="61"/>
      <c r="DO446" s="61"/>
      <c r="DP446" s="61"/>
      <c r="DQ446" s="61"/>
      <c r="DR446" s="61"/>
      <c r="DS446" s="61"/>
      <c r="DT446" s="61"/>
      <c r="DU446" s="61"/>
      <c r="DV446" s="61"/>
      <c r="DW446" s="61"/>
      <c r="DX446" s="61"/>
      <c r="DY446" s="61"/>
      <c r="DZ446" s="61"/>
      <c r="EA446" s="61"/>
      <c r="EB446" s="61"/>
      <c r="EC446" s="61"/>
      <c r="ED446" s="61"/>
      <c r="EE446" s="61"/>
      <c r="EF446" s="61"/>
      <c r="EG446" s="61"/>
      <c r="EH446" s="61"/>
      <c r="EI446" s="61"/>
      <c r="EJ446" s="61"/>
      <c r="EK446" s="61"/>
      <c r="EL446" s="61"/>
      <c r="EM446" s="61"/>
      <c r="EN446" s="61"/>
      <c r="EO446" s="61"/>
      <c r="EP446" s="61"/>
      <c r="EQ446" s="61"/>
      <c r="ER446" s="61"/>
      <c r="ES446" s="61"/>
      <c r="ET446" s="61"/>
      <c r="EU446" s="61"/>
      <c r="EV446" s="61"/>
      <c r="EW446" s="61"/>
    </row>
    <row r="447" spans="1:153">
      <c r="A447" s="56">
        <v>40179</v>
      </c>
      <c r="B447" s="57">
        <v>2010</v>
      </c>
      <c r="C447" s="71">
        <v>3.4420000000000002</v>
      </c>
      <c r="D447" s="61">
        <v>4.7E-2</v>
      </c>
      <c r="E447" s="61">
        <v>633.49900000000002</v>
      </c>
      <c r="F447" s="61">
        <v>26.606999999999999</v>
      </c>
      <c r="G447" s="61">
        <v>3.395</v>
      </c>
      <c r="H447" s="61">
        <v>42.014000000000003</v>
      </c>
      <c r="I447" s="61">
        <v>306.20999999999998</v>
      </c>
      <c r="J447" s="61">
        <v>-264.197</v>
      </c>
      <c r="K447" s="61">
        <v>1049</v>
      </c>
      <c r="L447" s="61">
        <v>338</v>
      </c>
      <c r="M447" s="61">
        <v>31.302</v>
      </c>
      <c r="N447" s="61">
        <v>1.3149999999999999</v>
      </c>
      <c r="O447" s="71">
        <v>0.16800000000000001</v>
      </c>
      <c r="P447" s="60">
        <v>187.178</v>
      </c>
      <c r="Q447" s="61">
        <v>150.93600000000001</v>
      </c>
      <c r="R447" s="61">
        <v>377.07100000000003</v>
      </c>
      <c r="S447" s="61">
        <v>684.495</v>
      </c>
      <c r="T447" s="61">
        <v>218.369</v>
      </c>
      <c r="U447" s="61">
        <v>17.852</v>
      </c>
      <c r="V447" s="61">
        <v>4.3319999999999999</v>
      </c>
      <c r="W447" s="61">
        <v>66.870999999999995</v>
      </c>
      <c r="X447" s="61">
        <v>187.178</v>
      </c>
      <c r="Y447" s="61">
        <v>38.957999999999998</v>
      </c>
      <c r="Z447" s="61">
        <v>141.15799999999999</v>
      </c>
      <c r="AA447" s="61">
        <v>367.29399999999998</v>
      </c>
      <c r="AB447" s="60">
        <v>674.71699999999998</v>
      </c>
      <c r="AC447" s="62"/>
      <c r="AD447" s="61"/>
      <c r="AE447" s="61"/>
      <c r="AF447" s="61"/>
      <c r="AG447" s="61"/>
      <c r="AH447" s="61"/>
      <c r="AI447" s="61"/>
      <c r="AJ447" s="61"/>
      <c r="AK447" s="62"/>
      <c r="AL447" s="63"/>
      <c r="AM447" s="64"/>
      <c r="AN447" s="65" t="e">
        <v>#N/A</v>
      </c>
      <c r="AO447" s="61" t="e">
        <v>#N/A</v>
      </c>
      <c r="AP447" s="61" t="e">
        <v>#N/A</v>
      </c>
      <c r="AQ447" s="61" t="e">
        <v>#N/A</v>
      </c>
      <c r="AR447" s="61" t="e">
        <v>#N/A</v>
      </c>
      <c r="AS447" s="61" t="e">
        <v>#N/A</v>
      </c>
      <c r="AT447" s="61" t="e">
        <v>#N/A</v>
      </c>
      <c r="AU447" s="61" t="e">
        <v>#N/A</v>
      </c>
      <c r="AV447" s="61" t="e">
        <v>#N/A</v>
      </c>
      <c r="AW447" s="61" t="e">
        <v>#N/A</v>
      </c>
      <c r="AX447" s="65" t="e">
        <v>#N/A</v>
      </c>
      <c r="AY447" s="66">
        <v>3.125</v>
      </c>
      <c r="AZ447" s="61">
        <v>3.5059999999999998</v>
      </c>
      <c r="BA447" s="61">
        <v>45.908000000000001</v>
      </c>
      <c r="BB447" s="61">
        <v>52.539000000000001</v>
      </c>
      <c r="BC447" s="61">
        <v>6.0999999999999999E-2</v>
      </c>
      <c r="BD447" s="61">
        <v>1.571</v>
      </c>
      <c r="BE447" s="61">
        <v>0.59699999999999998</v>
      </c>
      <c r="BF447" s="61">
        <v>1.2E-2</v>
      </c>
      <c r="BG447" s="61">
        <v>6.0830000000000002</v>
      </c>
      <c r="BH447" s="61">
        <v>2.9689999999999999</v>
      </c>
      <c r="BI447" s="61">
        <v>0.25600000000000001</v>
      </c>
      <c r="BJ447" s="61">
        <v>9.3079999999999998</v>
      </c>
      <c r="BK447" s="66">
        <v>11.55</v>
      </c>
      <c r="BL447" s="67">
        <v>80.683000000000007</v>
      </c>
      <c r="BM447" s="61">
        <v>0.16800000000000001</v>
      </c>
      <c r="BN447" s="61" t="s">
        <v>121</v>
      </c>
      <c r="BO447" s="61" t="s">
        <v>121</v>
      </c>
      <c r="BP447" s="61">
        <v>80.849999999999994</v>
      </c>
      <c r="BQ447" s="61">
        <v>216.655</v>
      </c>
      <c r="BR447" s="61">
        <v>12.798</v>
      </c>
      <c r="BS447" s="61">
        <v>9.6000000000000002E-2</v>
      </c>
      <c r="BT447" s="61">
        <v>66.858999999999995</v>
      </c>
      <c r="BU447" s="61">
        <v>17.361999999999998</v>
      </c>
      <c r="BV447" s="61">
        <v>21.236000000000001</v>
      </c>
      <c r="BW447" s="61">
        <v>38.597000000000001</v>
      </c>
      <c r="BX447" s="67">
        <v>335.005</v>
      </c>
      <c r="BY447" s="68">
        <v>110091</v>
      </c>
      <c r="BZ447" s="68">
        <v>114716</v>
      </c>
      <c r="CA447" s="69">
        <v>14314</v>
      </c>
      <c r="CB447" s="68">
        <v>163527</v>
      </c>
      <c r="CC447" s="68">
        <v>12126</v>
      </c>
      <c r="CD447" s="68">
        <v>86021</v>
      </c>
      <c r="CE447" s="64"/>
      <c r="CF447" s="64"/>
      <c r="CG447" s="70">
        <f t="shared" si="32"/>
        <v>6868.134</v>
      </c>
      <c r="CH447" s="70">
        <f t="shared" si="33"/>
        <v>601.18799999999999</v>
      </c>
      <c r="CI447" s="70">
        <f t="shared" si="34"/>
        <v>509.29199999999997</v>
      </c>
      <c r="CJ447" s="70">
        <f t="shared" si="35"/>
        <v>4623.8220000000001</v>
      </c>
      <c r="CK447" s="70">
        <f t="shared" si="35"/>
        <v>4818.0720000000001</v>
      </c>
      <c r="CL447" s="70">
        <f t="shared" si="36"/>
        <v>3612.8820000000001</v>
      </c>
      <c r="CM447" s="61"/>
      <c r="CN447" s="61"/>
      <c r="CO447" s="61"/>
      <c r="CP447" s="61"/>
      <c r="CQ447" s="61"/>
      <c r="CR447" s="61"/>
      <c r="CS447" s="61"/>
      <c r="CT447" s="61"/>
      <c r="CU447" s="61"/>
      <c r="CV447" s="61"/>
      <c r="CW447" s="61"/>
      <c r="CX447" s="61"/>
      <c r="CY447" s="61"/>
      <c r="CZ447" s="61"/>
      <c r="DA447" s="61"/>
      <c r="DB447" s="61"/>
      <c r="DC447" s="61"/>
      <c r="DD447" s="61"/>
      <c r="DE447" s="61"/>
      <c r="DF447" s="61"/>
      <c r="DG447" s="61"/>
      <c r="DH447" s="61"/>
      <c r="DI447" s="61"/>
      <c r="DJ447" s="61"/>
      <c r="DK447" s="61"/>
      <c r="DL447" s="61"/>
      <c r="DM447" s="61"/>
      <c r="DN447" s="61"/>
      <c r="DO447" s="61"/>
      <c r="DP447" s="61"/>
      <c r="DQ447" s="61"/>
      <c r="DR447" s="61"/>
      <c r="DS447" s="61"/>
      <c r="DT447" s="61"/>
      <c r="DU447" s="61"/>
      <c r="DV447" s="61"/>
      <c r="DW447" s="61"/>
      <c r="DX447" s="61"/>
      <c r="DY447" s="61"/>
      <c r="DZ447" s="61"/>
      <c r="EA447" s="61"/>
      <c r="EB447" s="61"/>
      <c r="EC447" s="61"/>
      <c r="ED447" s="61"/>
      <c r="EE447" s="61"/>
      <c r="EF447" s="61"/>
      <c r="EG447" s="61"/>
      <c r="EH447" s="61"/>
      <c r="EI447" s="61"/>
      <c r="EJ447" s="61"/>
      <c r="EK447" s="61"/>
      <c r="EL447" s="61"/>
      <c r="EM447" s="61"/>
      <c r="EN447" s="61"/>
      <c r="EO447" s="61"/>
      <c r="EP447" s="61"/>
      <c r="EQ447" s="61"/>
      <c r="ER447" s="61"/>
      <c r="ES447" s="61"/>
      <c r="ET447" s="61"/>
      <c r="EU447" s="61"/>
      <c r="EV447" s="61"/>
      <c r="EW447" s="61"/>
    </row>
    <row r="448" spans="1:153">
      <c r="A448" s="56">
        <v>40210</v>
      </c>
      <c r="B448" s="57">
        <v>2010</v>
      </c>
      <c r="C448" s="71">
        <v>3.7829999999999999</v>
      </c>
      <c r="D448" s="61">
        <v>5.1999999999999998E-2</v>
      </c>
      <c r="E448" s="61">
        <v>696.34100000000001</v>
      </c>
      <c r="F448" s="61">
        <v>29.245999999999999</v>
      </c>
      <c r="G448" s="61">
        <v>3.7320000000000002</v>
      </c>
      <c r="H448" s="61">
        <v>32.149000000000001</v>
      </c>
      <c r="I448" s="61">
        <v>143.52699999999999</v>
      </c>
      <c r="J448" s="61">
        <v>-111.378</v>
      </c>
      <c r="K448" s="61">
        <v>1039</v>
      </c>
      <c r="L448" s="61">
        <v>-10</v>
      </c>
      <c r="M448" s="61">
        <v>594.96400000000006</v>
      </c>
      <c r="N448" s="61">
        <v>24.988</v>
      </c>
      <c r="O448" s="71">
        <v>3.1880000000000002</v>
      </c>
      <c r="P448" s="60">
        <v>171.797</v>
      </c>
      <c r="Q448" s="61">
        <v>140.82300000000001</v>
      </c>
      <c r="R448" s="61">
        <v>347.952</v>
      </c>
      <c r="S448" s="61">
        <v>622.57799999999997</v>
      </c>
      <c r="T448" s="61">
        <v>200.874</v>
      </c>
      <c r="U448" s="61">
        <v>15.872</v>
      </c>
      <c r="V448" s="61">
        <v>4.8860000000000001</v>
      </c>
      <c r="W448" s="61">
        <v>52.993000000000002</v>
      </c>
      <c r="X448" s="61">
        <v>171.797</v>
      </c>
      <c r="Y448" s="61">
        <v>35.332000000000001</v>
      </c>
      <c r="Z448" s="61">
        <v>134.98599999999999</v>
      </c>
      <c r="AA448" s="61">
        <v>342.11599999999999</v>
      </c>
      <c r="AB448" s="60">
        <v>616.74099999999999</v>
      </c>
      <c r="AC448" s="62"/>
      <c r="AD448" s="61"/>
      <c r="AE448" s="61"/>
      <c r="AF448" s="61"/>
      <c r="AG448" s="61"/>
      <c r="AH448" s="61"/>
      <c r="AI448" s="61"/>
      <c r="AJ448" s="61"/>
      <c r="AK448" s="62"/>
      <c r="AL448" s="63"/>
      <c r="AM448" s="64"/>
      <c r="AN448" s="65" t="e">
        <v>#N/A</v>
      </c>
      <c r="AO448" s="61" t="e">
        <v>#N/A</v>
      </c>
      <c r="AP448" s="61" t="e">
        <v>#N/A</v>
      </c>
      <c r="AQ448" s="61" t="e">
        <v>#N/A</v>
      </c>
      <c r="AR448" s="61" t="e">
        <v>#N/A</v>
      </c>
      <c r="AS448" s="61" t="e">
        <v>#N/A</v>
      </c>
      <c r="AT448" s="61" t="e">
        <v>#N/A</v>
      </c>
      <c r="AU448" s="61" t="e">
        <v>#N/A</v>
      </c>
      <c r="AV448" s="61" t="e">
        <v>#N/A</v>
      </c>
      <c r="AW448" s="61" t="e">
        <v>#N/A</v>
      </c>
      <c r="AX448" s="65" t="e">
        <v>#N/A</v>
      </c>
      <c r="AY448" s="66">
        <v>2.823</v>
      </c>
      <c r="AZ448" s="61">
        <v>3.7789999999999999</v>
      </c>
      <c r="BA448" s="61">
        <v>41.465000000000003</v>
      </c>
      <c r="BB448" s="61">
        <v>48.067</v>
      </c>
      <c r="BC448" s="61">
        <v>6.0999999999999999E-2</v>
      </c>
      <c r="BD448" s="61">
        <v>1.419</v>
      </c>
      <c r="BE448" s="61">
        <v>0.64400000000000002</v>
      </c>
      <c r="BF448" s="61">
        <v>8.0000000000000002E-3</v>
      </c>
      <c r="BG448" s="61">
        <v>5.4930000000000003</v>
      </c>
      <c r="BH448" s="61">
        <v>2.5670000000000002</v>
      </c>
      <c r="BI448" s="61">
        <v>0.24</v>
      </c>
      <c r="BJ448" s="61">
        <v>8.3000000000000007</v>
      </c>
      <c r="BK448" s="66">
        <v>10.433</v>
      </c>
      <c r="BL448" s="67">
        <v>75.742000000000004</v>
      </c>
      <c r="BM448" s="61">
        <v>3.1880000000000002</v>
      </c>
      <c r="BN448" s="61" t="s">
        <v>121</v>
      </c>
      <c r="BO448" s="61" t="s">
        <v>121</v>
      </c>
      <c r="BP448" s="61">
        <v>78.930000000000007</v>
      </c>
      <c r="BQ448" s="61">
        <v>199.22800000000001</v>
      </c>
      <c r="BR448" s="61">
        <v>11.308</v>
      </c>
      <c r="BS448" s="61">
        <v>0.32</v>
      </c>
      <c r="BT448" s="61">
        <v>52.984999999999999</v>
      </c>
      <c r="BU448" s="61">
        <v>16.329000000000001</v>
      </c>
      <c r="BV448" s="61">
        <v>19.742000000000001</v>
      </c>
      <c r="BW448" s="61">
        <v>36.072000000000003</v>
      </c>
      <c r="BX448" s="67">
        <v>299.91199999999998</v>
      </c>
      <c r="BY448" s="68">
        <v>102427</v>
      </c>
      <c r="BZ448" s="68">
        <v>107925</v>
      </c>
      <c r="CA448" s="69">
        <v>8200</v>
      </c>
      <c r="CB448" s="68">
        <v>155333</v>
      </c>
      <c r="CC448" s="68">
        <v>10896</v>
      </c>
      <c r="CD448" s="68">
        <v>77877</v>
      </c>
      <c r="CE448" s="64"/>
      <c r="CF448" s="64"/>
      <c r="CG448" s="70">
        <f t="shared" si="32"/>
        <v>6523.9859999999999</v>
      </c>
      <c r="CH448" s="70">
        <f t="shared" si="33"/>
        <v>344.4</v>
      </c>
      <c r="CI448" s="70">
        <f t="shared" si="34"/>
        <v>457.63200000000001</v>
      </c>
      <c r="CJ448" s="70">
        <f t="shared" si="35"/>
        <v>4301.9340000000002</v>
      </c>
      <c r="CK448" s="70">
        <f t="shared" si="35"/>
        <v>4532.8500000000004</v>
      </c>
      <c r="CL448" s="70">
        <f t="shared" si="36"/>
        <v>3270.8339999999998</v>
      </c>
      <c r="CM448" s="61"/>
      <c r="CN448" s="61"/>
      <c r="CO448" s="61"/>
      <c r="CP448" s="61"/>
      <c r="CQ448" s="61"/>
      <c r="CR448" s="61"/>
      <c r="CS448" s="61"/>
      <c r="CT448" s="61"/>
      <c r="CU448" s="61"/>
      <c r="CV448" s="61"/>
      <c r="CW448" s="61"/>
      <c r="CX448" s="61"/>
      <c r="CY448" s="61"/>
      <c r="CZ448" s="61"/>
      <c r="DA448" s="61"/>
      <c r="DB448" s="61"/>
      <c r="DC448" s="61"/>
      <c r="DD448" s="61"/>
      <c r="DE448" s="61"/>
      <c r="DF448" s="61"/>
      <c r="DG448" s="61"/>
      <c r="DH448" s="61"/>
      <c r="DI448" s="61"/>
      <c r="DJ448" s="61"/>
      <c r="DK448" s="61"/>
      <c r="DL448" s="61"/>
      <c r="DM448" s="61"/>
      <c r="DN448" s="61"/>
      <c r="DO448" s="61"/>
      <c r="DP448" s="61"/>
      <c r="DQ448" s="61"/>
      <c r="DR448" s="61"/>
      <c r="DS448" s="61"/>
      <c r="DT448" s="61"/>
      <c r="DU448" s="61"/>
      <c r="DV448" s="61"/>
      <c r="DW448" s="61"/>
      <c r="DX448" s="61"/>
      <c r="DY448" s="61"/>
      <c r="DZ448" s="61"/>
      <c r="EA448" s="61"/>
      <c r="EB448" s="61"/>
      <c r="EC448" s="61"/>
      <c r="ED448" s="61"/>
      <c r="EE448" s="61"/>
      <c r="EF448" s="61"/>
      <c r="EG448" s="61"/>
      <c r="EH448" s="61"/>
      <c r="EI448" s="61"/>
      <c r="EJ448" s="61"/>
      <c r="EK448" s="61"/>
      <c r="EL448" s="61"/>
      <c r="EM448" s="61"/>
      <c r="EN448" s="61"/>
      <c r="EO448" s="61"/>
      <c r="EP448" s="61"/>
      <c r="EQ448" s="61"/>
      <c r="ER448" s="61"/>
      <c r="ES448" s="61"/>
      <c r="ET448" s="61"/>
      <c r="EU448" s="61"/>
      <c r="EV448" s="61"/>
      <c r="EW448" s="61"/>
    </row>
    <row r="449" spans="1:153">
      <c r="A449" s="56">
        <v>40238</v>
      </c>
      <c r="B449" s="57">
        <v>2010</v>
      </c>
      <c r="C449" s="71">
        <v>4.3689999999999998</v>
      </c>
      <c r="D449" s="61">
        <v>0.06</v>
      </c>
      <c r="E449" s="61">
        <v>804.09699999999998</v>
      </c>
      <c r="F449" s="61">
        <v>33.771999999999998</v>
      </c>
      <c r="G449" s="61">
        <v>4.3090000000000002</v>
      </c>
      <c r="H449" s="61">
        <v>61.683999999999997</v>
      </c>
      <c r="I449" s="61">
        <v>448.072</v>
      </c>
      <c r="J449" s="61">
        <v>-386.38799999999998</v>
      </c>
      <c r="K449" s="61">
        <v>1057</v>
      </c>
      <c r="L449" s="61">
        <v>18</v>
      </c>
      <c r="M449" s="61">
        <v>399.70800000000003</v>
      </c>
      <c r="N449" s="61">
        <v>16.788</v>
      </c>
      <c r="O449" s="71">
        <v>2.1419999999999999</v>
      </c>
      <c r="P449" s="60">
        <v>187.22</v>
      </c>
      <c r="Q449" s="61">
        <v>156.94900000000001</v>
      </c>
      <c r="R449" s="61">
        <v>384.09399999999999</v>
      </c>
      <c r="S449" s="61">
        <v>696.48199999999997</v>
      </c>
      <c r="T449" s="61">
        <v>203.761</v>
      </c>
      <c r="U449" s="61">
        <v>17.800999999999998</v>
      </c>
      <c r="V449" s="61">
        <v>7.032</v>
      </c>
      <c r="W449" s="61">
        <v>83.795000000000002</v>
      </c>
      <c r="X449" s="61">
        <v>187.22</v>
      </c>
      <c r="Y449" s="61">
        <v>39.924999999999997</v>
      </c>
      <c r="Z449" s="61">
        <v>147.74600000000001</v>
      </c>
      <c r="AA449" s="61">
        <v>374.892</v>
      </c>
      <c r="AB449" s="60">
        <v>687.28</v>
      </c>
      <c r="AC449" s="62"/>
      <c r="AD449" s="61"/>
      <c r="AE449" s="61"/>
      <c r="AF449" s="61"/>
      <c r="AG449" s="61"/>
      <c r="AH449" s="61"/>
      <c r="AI449" s="61"/>
      <c r="AJ449" s="61"/>
      <c r="AK449" s="62"/>
      <c r="AL449" s="63"/>
      <c r="AM449" s="64"/>
      <c r="AN449" s="65" t="e">
        <v>#N/A</v>
      </c>
      <c r="AO449" s="61" t="e">
        <v>#N/A</v>
      </c>
      <c r="AP449" s="61" t="e">
        <v>#N/A</v>
      </c>
      <c r="AQ449" s="61" t="e">
        <v>#N/A</v>
      </c>
      <c r="AR449" s="61" t="e">
        <v>#N/A</v>
      </c>
      <c r="AS449" s="61" t="e">
        <v>#N/A</v>
      </c>
      <c r="AT449" s="61" t="e">
        <v>#N/A</v>
      </c>
      <c r="AU449" s="61" t="e">
        <v>#N/A</v>
      </c>
      <c r="AV449" s="61" t="e">
        <v>#N/A</v>
      </c>
      <c r="AW449" s="61" t="e">
        <v>#N/A</v>
      </c>
      <c r="AX449" s="65" t="e">
        <v>#N/A</v>
      </c>
      <c r="AY449" s="66">
        <v>3.125</v>
      </c>
      <c r="AZ449" s="61">
        <v>5.2069999999999999</v>
      </c>
      <c r="BA449" s="61">
        <v>45.908000000000001</v>
      </c>
      <c r="BB449" s="61">
        <v>54.24</v>
      </c>
      <c r="BC449" s="61">
        <v>7.0000000000000007E-2</v>
      </c>
      <c r="BD449" s="61">
        <v>1.571</v>
      </c>
      <c r="BE449" s="61">
        <v>0.88700000000000001</v>
      </c>
      <c r="BF449" s="61">
        <v>1.4999999999999999E-2</v>
      </c>
      <c r="BG449" s="61">
        <v>6.077</v>
      </c>
      <c r="BH449" s="61">
        <v>3.0379999999999998</v>
      </c>
      <c r="BI449" s="61">
        <v>0.26400000000000001</v>
      </c>
      <c r="BJ449" s="61">
        <v>9.3789999999999996</v>
      </c>
      <c r="BK449" s="66">
        <v>11.923</v>
      </c>
      <c r="BL449" s="67">
        <v>83.210999999999999</v>
      </c>
      <c r="BM449" s="61">
        <v>2.1419999999999999</v>
      </c>
      <c r="BN449" s="61" t="s">
        <v>121</v>
      </c>
      <c r="BO449" s="61" t="s">
        <v>121</v>
      </c>
      <c r="BP449" s="61">
        <v>85.352999999999994</v>
      </c>
      <c r="BQ449" s="61">
        <v>201.85900000000001</v>
      </c>
      <c r="BR449" s="61">
        <v>12.747</v>
      </c>
      <c r="BS449" s="61">
        <v>0.74</v>
      </c>
      <c r="BT449" s="61">
        <v>83.78</v>
      </c>
      <c r="BU449" s="61">
        <v>16.443999999999999</v>
      </c>
      <c r="BV449" s="61">
        <v>22.427</v>
      </c>
      <c r="BW449" s="61">
        <v>38.871000000000002</v>
      </c>
      <c r="BX449" s="67">
        <v>337.99700000000001</v>
      </c>
      <c r="BY449" s="68">
        <v>118886</v>
      </c>
      <c r="BZ449" s="68">
        <v>118871</v>
      </c>
      <c r="CA449" s="69">
        <v>5542</v>
      </c>
      <c r="CB449" s="68">
        <v>146817</v>
      </c>
      <c r="CC449" s="68">
        <v>14073</v>
      </c>
      <c r="CD449" s="68">
        <v>93450</v>
      </c>
      <c r="CE449" s="64"/>
      <c r="CF449" s="64"/>
      <c r="CG449" s="70">
        <f t="shared" si="32"/>
        <v>6166.3140000000003</v>
      </c>
      <c r="CH449" s="70">
        <f t="shared" si="33"/>
        <v>232.76400000000001</v>
      </c>
      <c r="CI449" s="70">
        <f t="shared" si="34"/>
        <v>591.06600000000003</v>
      </c>
      <c r="CJ449" s="70">
        <f t="shared" si="35"/>
        <v>4993.2120000000004</v>
      </c>
      <c r="CK449" s="70">
        <f t="shared" si="35"/>
        <v>4992.5820000000003</v>
      </c>
      <c r="CL449" s="70">
        <f t="shared" si="36"/>
        <v>3924.9</v>
      </c>
      <c r="CM449" s="61"/>
      <c r="CN449" s="61"/>
      <c r="CO449" s="61"/>
      <c r="CP449" s="61"/>
      <c r="CQ449" s="61"/>
      <c r="CR449" s="61"/>
      <c r="CS449" s="61"/>
      <c r="CT449" s="61"/>
      <c r="CU449" s="61"/>
      <c r="CV449" s="61"/>
      <c r="CW449" s="61"/>
      <c r="CX449" s="61"/>
      <c r="CY449" s="61"/>
      <c r="CZ449" s="61"/>
      <c r="DA449" s="61"/>
      <c r="DB449" s="61"/>
      <c r="DC449" s="61"/>
      <c r="DD449" s="61"/>
      <c r="DE449" s="61"/>
      <c r="DF449" s="61"/>
      <c r="DG449" s="61"/>
      <c r="DH449" s="61"/>
      <c r="DI449" s="61"/>
      <c r="DJ449" s="61"/>
      <c r="DK449" s="61"/>
      <c r="DL449" s="61"/>
      <c r="DM449" s="61"/>
      <c r="DN449" s="61"/>
      <c r="DO449" s="61"/>
      <c r="DP449" s="61"/>
      <c r="DQ449" s="61"/>
      <c r="DR449" s="61"/>
      <c r="DS449" s="61"/>
      <c r="DT449" s="61"/>
      <c r="DU449" s="61"/>
      <c r="DV449" s="61"/>
      <c r="DW449" s="61"/>
      <c r="DX449" s="61"/>
      <c r="DY449" s="61"/>
      <c r="DZ449" s="61"/>
      <c r="EA449" s="61"/>
      <c r="EB449" s="61"/>
      <c r="EC449" s="61"/>
      <c r="ED449" s="61"/>
      <c r="EE449" s="61"/>
      <c r="EF449" s="61"/>
      <c r="EG449" s="61"/>
      <c r="EH449" s="61"/>
      <c r="EI449" s="61"/>
      <c r="EJ449" s="61"/>
      <c r="EK449" s="61"/>
      <c r="EL449" s="61"/>
      <c r="EM449" s="61"/>
      <c r="EN449" s="61"/>
      <c r="EO449" s="61"/>
      <c r="EP449" s="61"/>
      <c r="EQ449" s="61"/>
      <c r="ER449" s="61"/>
      <c r="ES449" s="61"/>
      <c r="ET449" s="61"/>
      <c r="EU449" s="61"/>
      <c r="EV449" s="61"/>
      <c r="EW449" s="61"/>
    </row>
    <row r="450" spans="1:153">
      <c r="A450" s="56">
        <v>40269</v>
      </c>
      <c r="B450" s="57">
        <v>2010</v>
      </c>
      <c r="C450" s="71">
        <v>4.423</v>
      </c>
      <c r="D450" s="61">
        <v>0.06</v>
      </c>
      <c r="E450" s="61">
        <v>814.04399999999998</v>
      </c>
      <c r="F450" s="61">
        <v>34.19</v>
      </c>
      <c r="G450" s="61">
        <v>4.3620000000000001</v>
      </c>
      <c r="H450" s="61">
        <v>46.237000000000002</v>
      </c>
      <c r="I450" s="61">
        <v>234.36099999999999</v>
      </c>
      <c r="J450" s="61">
        <v>-188.124</v>
      </c>
      <c r="K450" s="61">
        <v>1009</v>
      </c>
      <c r="L450" s="61">
        <v>-48</v>
      </c>
      <c r="M450" s="61">
        <v>673.92</v>
      </c>
      <c r="N450" s="61">
        <v>28.305</v>
      </c>
      <c r="O450" s="71">
        <v>3.6120000000000001</v>
      </c>
      <c r="P450" s="60">
        <v>179.12799999999999</v>
      </c>
      <c r="Q450" s="61">
        <v>150.61099999999999</v>
      </c>
      <c r="R450" s="61">
        <v>368.92200000000003</v>
      </c>
      <c r="S450" s="61">
        <v>675.51</v>
      </c>
      <c r="T450" s="61">
        <v>186.30699999999999</v>
      </c>
      <c r="U450" s="61">
        <v>16.989999999999998</v>
      </c>
      <c r="V450" s="61">
        <v>8.0280000000000005</v>
      </c>
      <c r="W450" s="61">
        <v>95.262</v>
      </c>
      <c r="X450" s="61">
        <v>179.12799999999999</v>
      </c>
      <c r="Y450" s="61">
        <v>39.183</v>
      </c>
      <c r="Z450" s="61">
        <v>147.27099999999999</v>
      </c>
      <c r="AA450" s="61">
        <v>365.58199999999999</v>
      </c>
      <c r="AB450" s="60">
        <v>672.17</v>
      </c>
      <c r="AC450" s="62"/>
      <c r="AD450" s="61"/>
      <c r="AE450" s="61"/>
      <c r="AF450" s="61"/>
      <c r="AG450" s="61"/>
      <c r="AH450" s="61"/>
      <c r="AI450" s="61"/>
      <c r="AJ450" s="61"/>
      <c r="AK450" s="62"/>
      <c r="AL450" s="63"/>
      <c r="AM450" s="64"/>
      <c r="AN450" s="65" t="e">
        <v>#N/A</v>
      </c>
      <c r="AO450" s="61" t="e">
        <v>#N/A</v>
      </c>
      <c r="AP450" s="61" t="e">
        <v>#N/A</v>
      </c>
      <c r="AQ450" s="61" t="e">
        <v>#N/A</v>
      </c>
      <c r="AR450" s="61" t="e">
        <v>#N/A</v>
      </c>
      <c r="AS450" s="61" t="e">
        <v>#N/A</v>
      </c>
      <c r="AT450" s="61" t="e">
        <v>#N/A</v>
      </c>
      <c r="AU450" s="61" t="e">
        <v>#N/A</v>
      </c>
      <c r="AV450" s="61" t="e">
        <v>#N/A</v>
      </c>
      <c r="AW450" s="61" t="e">
        <v>#N/A</v>
      </c>
      <c r="AX450" s="65" t="e">
        <v>#N/A</v>
      </c>
      <c r="AY450" s="66">
        <v>3.0249999999999999</v>
      </c>
      <c r="AZ450" s="61">
        <v>5.7389999999999999</v>
      </c>
      <c r="BA450" s="61">
        <v>44.427</v>
      </c>
      <c r="BB450" s="61">
        <v>53.19</v>
      </c>
      <c r="BC450" s="61">
        <v>0.106</v>
      </c>
      <c r="BD450" s="61">
        <v>1.5209999999999999</v>
      </c>
      <c r="BE450" s="61">
        <v>0.97799999999999998</v>
      </c>
      <c r="BF450" s="61">
        <v>1.6E-2</v>
      </c>
      <c r="BG450" s="61">
        <v>5.8840000000000003</v>
      </c>
      <c r="BH450" s="61">
        <v>3.2210000000000001</v>
      </c>
      <c r="BI450" s="61">
        <v>0.26600000000000001</v>
      </c>
      <c r="BJ450" s="61">
        <v>9.3710000000000004</v>
      </c>
      <c r="BK450" s="66">
        <v>11.991</v>
      </c>
      <c r="BL450" s="67">
        <v>83.799000000000007</v>
      </c>
      <c r="BM450" s="61">
        <v>3.6120000000000001</v>
      </c>
      <c r="BN450" s="61" t="s">
        <v>121</v>
      </c>
      <c r="BO450" s="61" t="s">
        <v>121</v>
      </c>
      <c r="BP450" s="61">
        <v>87.411000000000001</v>
      </c>
      <c r="BQ450" s="61">
        <v>184.374</v>
      </c>
      <c r="BR450" s="61">
        <v>12.1</v>
      </c>
      <c r="BS450" s="61">
        <v>1.0940000000000001</v>
      </c>
      <c r="BT450" s="61">
        <v>95.245999999999995</v>
      </c>
      <c r="BU450" s="61">
        <v>14.875999999999999</v>
      </c>
      <c r="BV450" s="61">
        <v>21.442</v>
      </c>
      <c r="BW450" s="61">
        <v>36.319000000000003</v>
      </c>
      <c r="BX450" s="67">
        <v>329.13200000000001</v>
      </c>
      <c r="BY450" s="68">
        <v>124694</v>
      </c>
      <c r="BZ450" s="68">
        <v>112758</v>
      </c>
      <c r="CA450" s="69">
        <v>6601</v>
      </c>
      <c r="CB450" s="68">
        <v>144802</v>
      </c>
      <c r="CC450" s="68">
        <v>20552</v>
      </c>
      <c r="CD450" s="68">
        <v>99684</v>
      </c>
      <c r="CE450" s="64"/>
      <c r="CF450" s="64"/>
      <c r="CG450" s="70">
        <f t="shared" si="32"/>
        <v>6081.6840000000002</v>
      </c>
      <c r="CH450" s="70">
        <f t="shared" si="33"/>
        <v>277.24200000000002</v>
      </c>
      <c r="CI450" s="70">
        <f t="shared" si="34"/>
        <v>863.18399999999997</v>
      </c>
      <c r="CJ450" s="70">
        <f t="shared" si="35"/>
        <v>5237.1480000000001</v>
      </c>
      <c r="CK450" s="70">
        <f t="shared" si="35"/>
        <v>4735.8360000000002</v>
      </c>
      <c r="CL450" s="70">
        <f t="shared" si="36"/>
        <v>4186.7280000000001</v>
      </c>
      <c r="CM450" s="61"/>
      <c r="CN450" s="61"/>
      <c r="CO450" s="61"/>
      <c r="CP450" s="61"/>
      <c r="CQ450" s="61"/>
      <c r="CR450" s="61"/>
      <c r="CS450" s="61"/>
      <c r="CT450" s="61"/>
      <c r="CU450" s="61"/>
      <c r="CV450" s="61"/>
      <c r="CW450" s="61"/>
      <c r="CX450" s="61"/>
      <c r="CY450" s="61"/>
      <c r="CZ450" s="61"/>
      <c r="DA450" s="61"/>
      <c r="DB450" s="61"/>
      <c r="DC450" s="61"/>
      <c r="DD450" s="61"/>
      <c r="DE450" s="61"/>
      <c r="DF450" s="61"/>
      <c r="DG450" s="61"/>
      <c r="DH450" s="61"/>
      <c r="DI450" s="61"/>
      <c r="DJ450" s="61"/>
      <c r="DK450" s="61"/>
      <c r="DL450" s="61"/>
      <c r="DM450" s="61"/>
      <c r="DN450" s="61"/>
      <c r="DO450" s="61"/>
      <c r="DP450" s="61"/>
      <c r="DQ450" s="61"/>
      <c r="DR450" s="61"/>
      <c r="DS450" s="61"/>
      <c r="DT450" s="61"/>
      <c r="DU450" s="61"/>
      <c r="DV450" s="61"/>
      <c r="DW450" s="61"/>
      <c r="DX450" s="61"/>
      <c r="DY450" s="61"/>
      <c r="DZ450" s="61"/>
      <c r="EA450" s="61"/>
      <c r="EB450" s="61"/>
      <c r="EC450" s="61"/>
      <c r="ED450" s="61"/>
      <c r="EE450" s="61"/>
      <c r="EF450" s="61"/>
      <c r="EG450" s="61"/>
      <c r="EH450" s="61"/>
      <c r="EI450" s="61"/>
      <c r="EJ450" s="61"/>
      <c r="EK450" s="61"/>
      <c r="EL450" s="61"/>
      <c r="EM450" s="61"/>
      <c r="EN450" s="61"/>
      <c r="EO450" s="61"/>
      <c r="EP450" s="61"/>
      <c r="EQ450" s="61"/>
      <c r="ER450" s="61"/>
      <c r="ES450" s="61"/>
      <c r="ET450" s="61"/>
      <c r="EU450" s="61"/>
      <c r="EV450" s="61"/>
      <c r="EW450" s="61"/>
    </row>
    <row r="451" spans="1:153">
      <c r="A451" s="56">
        <v>40299</v>
      </c>
      <c r="B451" s="57">
        <v>2010</v>
      </c>
      <c r="C451" s="71">
        <v>4.1280000000000001</v>
      </c>
      <c r="D451" s="61">
        <v>5.6000000000000001E-2</v>
      </c>
      <c r="E451" s="61">
        <v>759.88199999999995</v>
      </c>
      <c r="F451" s="61">
        <v>31.914999999999999</v>
      </c>
      <c r="G451" s="61">
        <v>4.0720000000000001</v>
      </c>
      <c r="H451" s="61">
        <v>82.89</v>
      </c>
      <c r="I451" s="61">
        <v>259.99200000000002</v>
      </c>
      <c r="J451" s="61">
        <v>-177.102</v>
      </c>
      <c r="K451" s="61">
        <v>1016</v>
      </c>
      <c r="L451" s="61">
        <v>7</v>
      </c>
      <c r="M451" s="61">
        <v>575.78</v>
      </c>
      <c r="N451" s="61">
        <v>24.183</v>
      </c>
      <c r="O451" s="71">
        <v>3.0859999999999999</v>
      </c>
      <c r="P451" s="60">
        <v>181.78800000000001</v>
      </c>
      <c r="Q451" s="61">
        <v>155.303</v>
      </c>
      <c r="R451" s="61">
        <v>376.012</v>
      </c>
      <c r="S451" s="61">
        <v>732.52499999999998</v>
      </c>
      <c r="T451" s="61">
        <v>244.673</v>
      </c>
      <c r="U451" s="61">
        <v>17.838999999999999</v>
      </c>
      <c r="V451" s="61">
        <v>9.1479999999999997</v>
      </c>
      <c r="W451" s="61">
        <v>84.852999999999994</v>
      </c>
      <c r="X451" s="61">
        <v>181.78800000000001</v>
      </c>
      <c r="Y451" s="61">
        <v>38.920999999999999</v>
      </c>
      <c r="Z451" s="61">
        <v>153.70400000000001</v>
      </c>
      <c r="AA451" s="61">
        <v>374.41300000000001</v>
      </c>
      <c r="AB451" s="60">
        <v>730.92600000000004</v>
      </c>
      <c r="AC451" s="62"/>
      <c r="AD451" s="61"/>
      <c r="AE451" s="61"/>
      <c r="AF451" s="61"/>
      <c r="AG451" s="61"/>
      <c r="AH451" s="61"/>
      <c r="AI451" s="61"/>
      <c r="AJ451" s="61"/>
      <c r="AK451" s="62"/>
      <c r="AL451" s="63"/>
      <c r="AM451" s="64"/>
      <c r="AN451" s="65" t="e">
        <v>#N/A</v>
      </c>
      <c r="AO451" s="61" t="e">
        <v>#N/A</v>
      </c>
      <c r="AP451" s="61" t="e">
        <v>#N/A</v>
      </c>
      <c r="AQ451" s="61" t="e">
        <v>#N/A</v>
      </c>
      <c r="AR451" s="61" t="e">
        <v>#N/A</v>
      </c>
      <c r="AS451" s="61" t="e">
        <v>#N/A</v>
      </c>
      <c r="AT451" s="61" t="e">
        <v>#N/A</v>
      </c>
      <c r="AU451" s="61" t="e">
        <v>#N/A</v>
      </c>
      <c r="AV451" s="61" t="e">
        <v>#N/A</v>
      </c>
      <c r="AW451" s="61" t="e">
        <v>#N/A</v>
      </c>
      <c r="AX451" s="65" t="e">
        <v>#N/A</v>
      </c>
      <c r="AY451" s="66">
        <v>3.125</v>
      </c>
      <c r="AZ451" s="61">
        <v>6.335</v>
      </c>
      <c r="BA451" s="61">
        <v>45.908000000000001</v>
      </c>
      <c r="BB451" s="61">
        <v>55.368000000000002</v>
      </c>
      <c r="BC451" s="61">
        <v>0.114</v>
      </c>
      <c r="BD451" s="61">
        <v>1.571</v>
      </c>
      <c r="BE451" s="61">
        <v>1.08</v>
      </c>
      <c r="BF451" s="61">
        <v>1.4999999999999999E-2</v>
      </c>
      <c r="BG451" s="61">
        <v>6.0789999999999997</v>
      </c>
      <c r="BH451" s="61">
        <v>3.5990000000000002</v>
      </c>
      <c r="BI451" s="61">
        <v>0.28199999999999997</v>
      </c>
      <c r="BJ451" s="61">
        <v>9.9589999999999996</v>
      </c>
      <c r="BK451" s="66">
        <v>12.739000000000001</v>
      </c>
      <c r="BL451" s="67">
        <v>88.683000000000007</v>
      </c>
      <c r="BM451" s="61">
        <v>3.0859999999999999</v>
      </c>
      <c r="BN451" s="61" t="s">
        <v>121</v>
      </c>
      <c r="BO451" s="61" t="s">
        <v>121</v>
      </c>
      <c r="BP451" s="61">
        <v>91.769000000000005</v>
      </c>
      <c r="BQ451" s="61">
        <v>242.95599999999999</v>
      </c>
      <c r="BR451" s="61">
        <v>12.786</v>
      </c>
      <c r="BS451" s="61">
        <v>1.492</v>
      </c>
      <c r="BT451" s="61">
        <v>84.837999999999994</v>
      </c>
      <c r="BU451" s="61">
        <v>14.27</v>
      </c>
      <c r="BV451" s="61">
        <v>21.71</v>
      </c>
      <c r="BW451" s="61">
        <v>35.979999999999997</v>
      </c>
      <c r="BX451" s="67">
        <v>378.05099999999999</v>
      </c>
      <c r="BY451" s="68">
        <v>135620</v>
      </c>
      <c r="BZ451" s="68">
        <v>112797</v>
      </c>
      <c r="CA451" s="69">
        <v>5844</v>
      </c>
      <c r="CB451" s="68">
        <v>150041</v>
      </c>
      <c r="CC451" s="68">
        <v>23428</v>
      </c>
      <c r="CD451" s="68">
        <v>110897</v>
      </c>
      <c r="CE451" s="64"/>
      <c r="CF451" s="64"/>
      <c r="CG451" s="70">
        <f t="shared" ref="CG451:CG514" si="37">CB451*42/1000</f>
        <v>6301.7219999999998</v>
      </c>
      <c r="CH451" s="70">
        <f t="shared" ref="CH451:CH514" si="38">CA451*42/1000</f>
        <v>245.44800000000001</v>
      </c>
      <c r="CI451" s="70">
        <f t="shared" ref="CI451:CI514" si="39">CC451*42/1000</f>
        <v>983.976</v>
      </c>
      <c r="CJ451" s="70">
        <f t="shared" si="35"/>
        <v>5696.04</v>
      </c>
      <c r="CK451" s="70">
        <f t="shared" si="35"/>
        <v>4737.4740000000002</v>
      </c>
      <c r="CL451" s="70">
        <f t="shared" si="36"/>
        <v>4657.674</v>
      </c>
      <c r="CM451" s="61"/>
      <c r="CN451" s="61"/>
      <c r="CO451" s="61"/>
      <c r="CP451" s="61"/>
      <c r="CQ451" s="61"/>
      <c r="CR451" s="61"/>
      <c r="CS451" s="61"/>
      <c r="CT451" s="61"/>
      <c r="CU451" s="61"/>
      <c r="CV451" s="61"/>
      <c r="CW451" s="61"/>
      <c r="CX451" s="61"/>
      <c r="CY451" s="61"/>
      <c r="CZ451" s="61"/>
      <c r="DA451" s="61"/>
      <c r="DB451" s="61"/>
      <c r="DC451" s="61"/>
      <c r="DD451" s="61"/>
      <c r="DE451" s="61"/>
      <c r="DF451" s="61"/>
      <c r="DG451" s="61"/>
      <c r="DH451" s="61"/>
      <c r="DI451" s="61"/>
      <c r="DJ451" s="61"/>
      <c r="DK451" s="61"/>
      <c r="DL451" s="61"/>
      <c r="DM451" s="61"/>
      <c r="DN451" s="61"/>
      <c r="DO451" s="61"/>
      <c r="DP451" s="61"/>
      <c r="DQ451" s="61"/>
      <c r="DR451" s="61"/>
      <c r="DS451" s="61"/>
      <c r="DT451" s="61"/>
      <c r="DU451" s="61"/>
      <c r="DV451" s="61"/>
      <c r="DW451" s="61"/>
      <c r="DX451" s="61"/>
      <c r="DY451" s="61"/>
      <c r="DZ451" s="61"/>
      <c r="EA451" s="61"/>
      <c r="EB451" s="61"/>
      <c r="EC451" s="61"/>
      <c r="ED451" s="61"/>
      <c r="EE451" s="61"/>
      <c r="EF451" s="61"/>
      <c r="EG451" s="61"/>
      <c r="EH451" s="61"/>
      <c r="EI451" s="61"/>
      <c r="EJ451" s="61"/>
      <c r="EK451" s="61"/>
      <c r="EL451" s="61"/>
      <c r="EM451" s="61"/>
      <c r="EN451" s="61"/>
      <c r="EO451" s="61"/>
      <c r="EP451" s="61"/>
      <c r="EQ451" s="61"/>
      <c r="ER451" s="61"/>
      <c r="ES451" s="61"/>
      <c r="ET451" s="61"/>
      <c r="EU451" s="61"/>
      <c r="EV451" s="61"/>
      <c r="EW451" s="61"/>
    </row>
    <row r="452" spans="1:153">
      <c r="A452" s="56">
        <v>40330</v>
      </c>
      <c r="B452" s="57">
        <v>2010</v>
      </c>
      <c r="C452" s="71">
        <v>3.5009999999999999</v>
      </c>
      <c r="D452" s="61">
        <v>4.8000000000000001E-2</v>
      </c>
      <c r="E452" s="61">
        <v>644.43600000000004</v>
      </c>
      <c r="F452" s="61">
        <v>27.065999999999999</v>
      </c>
      <c r="G452" s="61">
        <v>3.4540000000000002</v>
      </c>
      <c r="H452" s="61">
        <v>56.09</v>
      </c>
      <c r="I452" s="61">
        <v>313.827</v>
      </c>
      <c r="J452" s="61">
        <v>-257.73700000000002</v>
      </c>
      <c r="K452" s="61">
        <v>968</v>
      </c>
      <c r="L452" s="61">
        <v>-48</v>
      </c>
      <c r="M452" s="61">
        <v>434.69900000000001</v>
      </c>
      <c r="N452" s="61">
        <v>18.257000000000001</v>
      </c>
      <c r="O452" s="71">
        <v>2.33</v>
      </c>
      <c r="P452" s="60">
        <v>182.446</v>
      </c>
      <c r="Q452" s="61">
        <v>151.148</v>
      </c>
      <c r="R452" s="61">
        <v>372.32799999999997</v>
      </c>
      <c r="S452" s="61">
        <v>768.76800000000003</v>
      </c>
      <c r="T452" s="61">
        <v>291.25400000000002</v>
      </c>
      <c r="U452" s="61">
        <v>17.219000000000001</v>
      </c>
      <c r="V452" s="61">
        <v>9.44</v>
      </c>
      <c r="W452" s="61">
        <v>78.525999999999996</v>
      </c>
      <c r="X452" s="61">
        <v>182.446</v>
      </c>
      <c r="Y452" s="61">
        <v>38.734000000000002</v>
      </c>
      <c r="Z452" s="61">
        <v>153.30000000000001</v>
      </c>
      <c r="AA452" s="61">
        <v>374.48</v>
      </c>
      <c r="AB452" s="60">
        <v>770.91899999999998</v>
      </c>
      <c r="AC452" s="62"/>
      <c r="AD452" s="61"/>
      <c r="AE452" s="61"/>
      <c r="AF452" s="61"/>
      <c r="AG452" s="61"/>
      <c r="AH452" s="61"/>
      <c r="AI452" s="61"/>
      <c r="AJ452" s="61"/>
      <c r="AK452" s="62"/>
      <c r="AL452" s="63"/>
      <c r="AM452" s="64"/>
      <c r="AN452" s="65" t="e">
        <v>#N/A</v>
      </c>
      <c r="AO452" s="61" t="e">
        <v>#N/A</v>
      </c>
      <c r="AP452" s="61" t="e">
        <v>#N/A</v>
      </c>
      <c r="AQ452" s="61" t="e">
        <v>#N/A</v>
      </c>
      <c r="AR452" s="61" t="e">
        <v>#N/A</v>
      </c>
      <c r="AS452" s="61" t="e">
        <v>#N/A</v>
      </c>
      <c r="AT452" s="61" t="e">
        <v>#N/A</v>
      </c>
      <c r="AU452" s="61" t="e">
        <v>#N/A</v>
      </c>
      <c r="AV452" s="61" t="e">
        <v>#N/A</v>
      </c>
      <c r="AW452" s="61" t="e">
        <v>#N/A</v>
      </c>
      <c r="AX452" s="65" t="e">
        <v>#N/A</v>
      </c>
      <c r="AY452" s="66">
        <v>3.0249999999999999</v>
      </c>
      <c r="AZ452" s="61">
        <v>6.3920000000000003</v>
      </c>
      <c r="BA452" s="61">
        <v>44.427</v>
      </c>
      <c r="BB452" s="61">
        <v>53.844000000000001</v>
      </c>
      <c r="BC452" s="61">
        <v>0.104</v>
      </c>
      <c r="BD452" s="61">
        <v>1.5209999999999999</v>
      </c>
      <c r="BE452" s="61">
        <v>1.0960000000000001</v>
      </c>
      <c r="BF452" s="61">
        <v>0.01</v>
      </c>
      <c r="BG452" s="61">
        <v>5.8869999999999996</v>
      </c>
      <c r="BH452" s="61">
        <v>3.1749999999999998</v>
      </c>
      <c r="BI452" s="61">
        <v>0.28699999999999998</v>
      </c>
      <c r="BJ452" s="61">
        <v>9.35</v>
      </c>
      <c r="BK452" s="66">
        <v>12.08</v>
      </c>
      <c r="BL452" s="67">
        <v>90.415000000000006</v>
      </c>
      <c r="BM452" s="61">
        <v>2.33</v>
      </c>
      <c r="BN452" s="61" t="s">
        <v>121</v>
      </c>
      <c r="BO452" s="61" t="s">
        <v>121</v>
      </c>
      <c r="BP452" s="61">
        <v>92.745000000000005</v>
      </c>
      <c r="BQ452" s="61">
        <v>289.85700000000003</v>
      </c>
      <c r="BR452" s="61">
        <v>12.327999999999999</v>
      </c>
      <c r="BS452" s="61">
        <v>1.708</v>
      </c>
      <c r="BT452" s="61">
        <v>78.516000000000005</v>
      </c>
      <c r="BU452" s="61">
        <v>16.204999999999998</v>
      </c>
      <c r="BV452" s="61">
        <v>22.52</v>
      </c>
      <c r="BW452" s="61">
        <v>38.723999999999997</v>
      </c>
      <c r="BX452" s="67">
        <v>421.13499999999999</v>
      </c>
      <c r="BY452" s="68">
        <v>132234</v>
      </c>
      <c r="BZ452" s="68">
        <v>112280</v>
      </c>
      <c r="CA452" s="69">
        <v>7102</v>
      </c>
      <c r="CB452" s="68">
        <v>157944</v>
      </c>
      <c r="CC452" s="68">
        <v>19153</v>
      </c>
      <c r="CD452" s="68">
        <v>109003</v>
      </c>
      <c r="CE452" s="64"/>
      <c r="CF452" s="64"/>
      <c r="CG452" s="70">
        <f t="shared" si="37"/>
        <v>6633.6480000000001</v>
      </c>
      <c r="CH452" s="70">
        <f t="shared" si="38"/>
        <v>298.28399999999999</v>
      </c>
      <c r="CI452" s="70">
        <f t="shared" si="39"/>
        <v>804.42600000000004</v>
      </c>
      <c r="CJ452" s="70">
        <f t="shared" si="35"/>
        <v>5553.8280000000004</v>
      </c>
      <c r="CK452" s="70">
        <f t="shared" si="35"/>
        <v>4715.76</v>
      </c>
      <c r="CL452" s="70">
        <f t="shared" si="36"/>
        <v>4578.1260000000002</v>
      </c>
      <c r="CM452" s="61"/>
      <c r="CN452" s="61"/>
      <c r="CO452" s="61"/>
      <c r="CP452" s="61"/>
      <c r="CQ452" s="61"/>
      <c r="CR452" s="61"/>
      <c r="CS452" s="61"/>
      <c r="CT452" s="61"/>
      <c r="CU452" s="61"/>
      <c r="CV452" s="61"/>
      <c r="CW452" s="61"/>
      <c r="CX452" s="61"/>
      <c r="CY452" s="61"/>
      <c r="CZ452" s="61"/>
      <c r="DA452" s="61"/>
      <c r="DB452" s="61"/>
      <c r="DC452" s="61"/>
      <c r="DD452" s="61"/>
      <c r="DE452" s="61"/>
      <c r="DF452" s="61"/>
      <c r="DG452" s="61"/>
      <c r="DH452" s="61"/>
      <c r="DI452" s="61"/>
      <c r="DJ452" s="61"/>
      <c r="DK452" s="61"/>
      <c r="DL452" s="61"/>
      <c r="DM452" s="61"/>
      <c r="DN452" s="61"/>
      <c r="DO452" s="61"/>
      <c r="DP452" s="61"/>
      <c r="DQ452" s="61"/>
      <c r="DR452" s="61"/>
      <c r="DS452" s="61"/>
      <c r="DT452" s="61"/>
      <c r="DU452" s="61"/>
      <c r="DV452" s="61"/>
      <c r="DW452" s="61"/>
      <c r="DX452" s="61"/>
      <c r="DY452" s="61"/>
      <c r="DZ452" s="61"/>
      <c r="EA452" s="61"/>
      <c r="EB452" s="61"/>
      <c r="EC452" s="61"/>
      <c r="ED452" s="61"/>
      <c r="EE452" s="61"/>
      <c r="EF452" s="61"/>
      <c r="EG452" s="61"/>
      <c r="EH452" s="61"/>
      <c r="EI452" s="61"/>
      <c r="EJ452" s="61"/>
      <c r="EK452" s="61"/>
      <c r="EL452" s="61"/>
      <c r="EM452" s="61"/>
      <c r="EN452" s="61"/>
      <c r="EO452" s="61"/>
      <c r="EP452" s="61"/>
      <c r="EQ452" s="61"/>
      <c r="ER452" s="61"/>
      <c r="ES452" s="61"/>
      <c r="ET452" s="61"/>
      <c r="EU452" s="61"/>
      <c r="EV452" s="61"/>
      <c r="EW452" s="61"/>
    </row>
    <row r="453" spans="1:153">
      <c r="A453" s="56">
        <v>40360</v>
      </c>
      <c r="B453" s="57">
        <v>2010</v>
      </c>
      <c r="C453" s="71">
        <v>3.57</v>
      </c>
      <c r="D453" s="61">
        <v>4.9000000000000002E-2</v>
      </c>
      <c r="E453" s="61">
        <v>657.08299999999997</v>
      </c>
      <c r="F453" s="61">
        <v>27.597000000000001</v>
      </c>
      <c r="G453" s="61">
        <v>3.5209999999999999</v>
      </c>
      <c r="H453" s="61">
        <v>33.344999999999999</v>
      </c>
      <c r="I453" s="61">
        <v>205.91499999999999</v>
      </c>
      <c r="J453" s="61">
        <v>-172.57</v>
      </c>
      <c r="K453" s="61">
        <v>830</v>
      </c>
      <c r="L453" s="61">
        <v>-138</v>
      </c>
      <c r="M453" s="61">
        <v>622.51300000000003</v>
      </c>
      <c r="N453" s="61">
        <v>26.146000000000001</v>
      </c>
      <c r="O453" s="71">
        <v>3.3359999999999999</v>
      </c>
      <c r="P453" s="60">
        <v>189.15700000000001</v>
      </c>
      <c r="Q453" s="61">
        <v>156.691</v>
      </c>
      <c r="R453" s="61">
        <v>385.44299999999998</v>
      </c>
      <c r="S453" s="61">
        <v>717.38699999999994</v>
      </c>
      <c r="T453" s="61">
        <v>239.18600000000001</v>
      </c>
      <c r="U453" s="61">
        <v>17.478999999999999</v>
      </c>
      <c r="V453" s="61">
        <v>9.6820000000000004</v>
      </c>
      <c r="W453" s="61">
        <v>65.597999999999999</v>
      </c>
      <c r="X453" s="61">
        <v>189.15700000000001</v>
      </c>
      <c r="Y453" s="61">
        <v>39.594999999999999</v>
      </c>
      <c r="Z453" s="61">
        <v>157.12299999999999</v>
      </c>
      <c r="AA453" s="61">
        <v>385.875</v>
      </c>
      <c r="AB453" s="60">
        <v>717.82</v>
      </c>
      <c r="AC453" s="62"/>
      <c r="AD453" s="61"/>
      <c r="AE453" s="61"/>
      <c r="AF453" s="61"/>
      <c r="AG453" s="61"/>
      <c r="AH453" s="61"/>
      <c r="AI453" s="61"/>
      <c r="AJ453" s="61"/>
      <c r="AK453" s="62"/>
      <c r="AL453" s="63"/>
      <c r="AM453" s="64"/>
      <c r="AN453" s="65" t="e">
        <v>#N/A</v>
      </c>
      <c r="AO453" s="61" t="e">
        <v>#N/A</v>
      </c>
      <c r="AP453" s="61" t="e">
        <v>#N/A</v>
      </c>
      <c r="AQ453" s="61" t="e">
        <v>#N/A</v>
      </c>
      <c r="AR453" s="61" t="e">
        <v>#N/A</v>
      </c>
      <c r="AS453" s="61" t="e">
        <v>#N/A</v>
      </c>
      <c r="AT453" s="61" t="e">
        <v>#N/A</v>
      </c>
      <c r="AU453" s="61" t="e">
        <v>#N/A</v>
      </c>
      <c r="AV453" s="61" t="e">
        <v>#N/A</v>
      </c>
      <c r="AW453" s="61" t="e">
        <v>#N/A</v>
      </c>
      <c r="AX453" s="65" t="e">
        <v>#N/A</v>
      </c>
      <c r="AY453" s="66">
        <v>3.125</v>
      </c>
      <c r="AZ453" s="61">
        <v>6.7110000000000003</v>
      </c>
      <c r="BA453" s="61">
        <v>45.908000000000001</v>
      </c>
      <c r="BB453" s="61">
        <v>55.744</v>
      </c>
      <c r="BC453" s="61">
        <v>4.1000000000000002E-2</v>
      </c>
      <c r="BD453" s="61">
        <v>1.571</v>
      </c>
      <c r="BE453" s="61">
        <v>1.1499999999999999</v>
      </c>
      <c r="BF453" s="61">
        <v>8.9999999999999993E-3</v>
      </c>
      <c r="BG453" s="61">
        <v>6.0880000000000001</v>
      </c>
      <c r="BH453" s="61">
        <v>3.0990000000000002</v>
      </c>
      <c r="BI453" s="61">
        <v>0.28899999999999998</v>
      </c>
      <c r="BJ453" s="61">
        <v>9.4760000000000009</v>
      </c>
      <c r="BK453" s="66">
        <v>12.247999999999999</v>
      </c>
      <c r="BL453" s="67">
        <v>91.04</v>
      </c>
      <c r="BM453" s="61">
        <v>3.3359999999999999</v>
      </c>
      <c r="BN453" s="61" t="s">
        <v>121</v>
      </c>
      <c r="BO453" s="61" t="s">
        <v>121</v>
      </c>
      <c r="BP453" s="61">
        <v>94.376000000000005</v>
      </c>
      <c r="BQ453" s="61">
        <v>238.09700000000001</v>
      </c>
      <c r="BR453" s="61">
        <v>12.425000000000001</v>
      </c>
      <c r="BS453" s="61">
        <v>1.5660000000000001</v>
      </c>
      <c r="BT453" s="61">
        <v>65.588999999999999</v>
      </c>
      <c r="BU453" s="61">
        <v>17.274000000000001</v>
      </c>
      <c r="BV453" s="61">
        <v>22.748999999999999</v>
      </c>
      <c r="BW453" s="61">
        <v>40.023000000000003</v>
      </c>
      <c r="BX453" s="67">
        <v>357.7</v>
      </c>
      <c r="BY453" s="68">
        <v>137165</v>
      </c>
      <c r="BZ453" s="68">
        <v>109865</v>
      </c>
      <c r="CA453" s="69">
        <v>5277</v>
      </c>
      <c r="CB453" s="68">
        <v>166628</v>
      </c>
      <c r="CC453" s="68">
        <v>23893</v>
      </c>
      <c r="CD453" s="68">
        <v>112448</v>
      </c>
      <c r="CE453" s="64"/>
      <c r="CF453" s="64"/>
      <c r="CG453" s="70">
        <f t="shared" si="37"/>
        <v>6998.3760000000002</v>
      </c>
      <c r="CH453" s="70">
        <f t="shared" si="38"/>
        <v>221.63399999999999</v>
      </c>
      <c r="CI453" s="70">
        <f t="shared" si="39"/>
        <v>1003.506</v>
      </c>
      <c r="CJ453" s="70">
        <f t="shared" si="35"/>
        <v>5760.93</v>
      </c>
      <c r="CK453" s="70">
        <f t="shared" si="35"/>
        <v>4614.33</v>
      </c>
      <c r="CL453" s="70">
        <f t="shared" si="36"/>
        <v>4722.8159999999998</v>
      </c>
      <c r="CM453" s="61"/>
      <c r="CN453" s="61"/>
      <c r="CO453" s="61"/>
      <c r="CP453" s="61"/>
      <c r="CQ453" s="61"/>
      <c r="CR453" s="61"/>
      <c r="CS453" s="61"/>
      <c r="CT453" s="61"/>
      <c r="CU453" s="61"/>
      <c r="CV453" s="61"/>
      <c r="CW453" s="61"/>
      <c r="CX453" s="61"/>
      <c r="CY453" s="61"/>
      <c r="CZ453" s="61"/>
      <c r="DA453" s="61"/>
      <c r="DB453" s="61"/>
      <c r="DC453" s="61"/>
      <c r="DD453" s="61"/>
      <c r="DE453" s="61"/>
      <c r="DF453" s="61"/>
      <c r="DG453" s="61"/>
      <c r="DH453" s="61"/>
      <c r="DI453" s="61"/>
      <c r="DJ453" s="61"/>
      <c r="DK453" s="61"/>
      <c r="DL453" s="61"/>
      <c r="DM453" s="61"/>
      <c r="DN453" s="61"/>
      <c r="DO453" s="61"/>
      <c r="DP453" s="61"/>
      <c r="DQ453" s="61"/>
      <c r="DR453" s="61"/>
      <c r="DS453" s="61"/>
      <c r="DT453" s="61"/>
      <c r="DU453" s="61"/>
      <c r="DV453" s="61"/>
      <c r="DW453" s="61"/>
      <c r="DX453" s="61"/>
      <c r="DY453" s="61"/>
      <c r="DZ453" s="61"/>
      <c r="EA453" s="61"/>
      <c r="EB453" s="61"/>
      <c r="EC453" s="61"/>
      <c r="ED453" s="61"/>
      <c r="EE453" s="61"/>
      <c r="EF453" s="61"/>
      <c r="EG453" s="61"/>
      <c r="EH453" s="61"/>
      <c r="EI453" s="61"/>
      <c r="EJ453" s="61"/>
      <c r="EK453" s="61"/>
      <c r="EL453" s="61"/>
      <c r="EM453" s="61"/>
      <c r="EN453" s="61"/>
      <c r="EO453" s="61"/>
      <c r="EP453" s="61"/>
      <c r="EQ453" s="61"/>
      <c r="ER453" s="61"/>
      <c r="ES453" s="61"/>
      <c r="ET453" s="61"/>
      <c r="EU453" s="61"/>
      <c r="EV453" s="61"/>
      <c r="EW453" s="61"/>
    </row>
    <row r="454" spans="1:153">
      <c r="A454" s="56">
        <v>40391</v>
      </c>
      <c r="B454" s="57">
        <v>2010</v>
      </c>
      <c r="C454" s="71">
        <v>3.548</v>
      </c>
      <c r="D454" s="61">
        <v>4.8000000000000001E-2</v>
      </c>
      <c r="E454" s="61">
        <v>653.03399999999999</v>
      </c>
      <c r="F454" s="61">
        <v>27.427</v>
      </c>
      <c r="G454" s="61">
        <v>3.5</v>
      </c>
      <c r="H454" s="61">
        <v>53.767000000000003</v>
      </c>
      <c r="I454" s="61">
        <v>232.54</v>
      </c>
      <c r="J454" s="61">
        <v>-178.773</v>
      </c>
      <c r="K454" s="61">
        <v>771</v>
      </c>
      <c r="L454" s="61">
        <v>-59</v>
      </c>
      <c r="M454" s="61">
        <v>533.26099999999997</v>
      </c>
      <c r="N454" s="61">
        <v>22.396999999999998</v>
      </c>
      <c r="O454" s="71">
        <v>2.8580000000000001</v>
      </c>
      <c r="P454" s="60">
        <v>190.52199999999999</v>
      </c>
      <c r="Q454" s="61">
        <v>158.93299999999999</v>
      </c>
      <c r="R454" s="61">
        <v>389.06400000000002</v>
      </c>
      <c r="S454" s="61">
        <v>677.82899999999995</v>
      </c>
      <c r="T454" s="61">
        <v>196.28299999999999</v>
      </c>
      <c r="U454" s="61">
        <v>17.706</v>
      </c>
      <c r="V454" s="61">
        <v>9.5489999999999995</v>
      </c>
      <c r="W454" s="61">
        <v>65.227000000000004</v>
      </c>
      <c r="X454" s="61">
        <v>190.52199999999999</v>
      </c>
      <c r="Y454" s="61">
        <v>39.609000000000002</v>
      </c>
      <c r="Z454" s="61">
        <v>157.37</v>
      </c>
      <c r="AA454" s="61">
        <v>387.50099999999998</v>
      </c>
      <c r="AB454" s="60">
        <v>676.26599999999996</v>
      </c>
      <c r="AC454" s="62"/>
      <c r="AD454" s="61"/>
      <c r="AE454" s="61"/>
      <c r="AF454" s="61"/>
      <c r="AG454" s="61"/>
      <c r="AH454" s="61"/>
      <c r="AI454" s="61"/>
      <c r="AJ454" s="61"/>
      <c r="AK454" s="62"/>
      <c r="AL454" s="63"/>
      <c r="AM454" s="64"/>
      <c r="AN454" s="65" t="e">
        <v>#N/A</v>
      </c>
      <c r="AO454" s="61" t="e">
        <v>#N/A</v>
      </c>
      <c r="AP454" s="61" t="e">
        <v>#N/A</v>
      </c>
      <c r="AQ454" s="61" t="e">
        <v>#N/A</v>
      </c>
      <c r="AR454" s="61" t="e">
        <v>#N/A</v>
      </c>
      <c r="AS454" s="61" t="e">
        <v>#N/A</v>
      </c>
      <c r="AT454" s="61" t="e">
        <v>#N/A</v>
      </c>
      <c r="AU454" s="61" t="e">
        <v>#N/A</v>
      </c>
      <c r="AV454" s="61" t="e">
        <v>#N/A</v>
      </c>
      <c r="AW454" s="61" t="e">
        <v>#N/A</v>
      </c>
      <c r="AX454" s="65" t="e">
        <v>#N/A</v>
      </c>
      <c r="AY454" s="66">
        <v>3.125</v>
      </c>
      <c r="AZ454" s="61">
        <v>6.641</v>
      </c>
      <c r="BA454" s="61">
        <v>45.908000000000001</v>
      </c>
      <c r="BB454" s="61">
        <v>55.673999999999999</v>
      </c>
      <c r="BC454" s="61">
        <v>8.0000000000000002E-3</v>
      </c>
      <c r="BD454" s="61">
        <v>1.571</v>
      </c>
      <c r="BE454" s="61">
        <v>1.1379999999999999</v>
      </c>
      <c r="BF454" s="61">
        <v>1.0999999999999999E-2</v>
      </c>
      <c r="BG454" s="61">
        <v>6.0860000000000003</v>
      </c>
      <c r="BH454" s="61">
        <v>3.2280000000000002</v>
      </c>
      <c r="BI454" s="61">
        <v>0.28899999999999998</v>
      </c>
      <c r="BJ454" s="61">
        <v>9.6029999999999998</v>
      </c>
      <c r="BK454" s="66">
        <v>12.33</v>
      </c>
      <c r="BL454" s="67">
        <v>90.867000000000004</v>
      </c>
      <c r="BM454" s="61">
        <v>2.8580000000000001</v>
      </c>
      <c r="BN454" s="61" t="s">
        <v>121</v>
      </c>
      <c r="BO454" s="61" t="s">
        <v>121</v>
      </c>
      <c r="BP454" s="61">
        <v>93.724999999999994</v>
      </c>
      <c r="BQ454" s="61">
        <v>195.309</v>
      </c>
      <c r="BR454" s="61">
        <v>12.653</v>
      </c>
      <c r="BS454" s="61">
        <v>1.518</v>
      </c>
      <c r="BT454" s="61">
        <v>65.216999999999999</v>
      </c>
      <c r="BU454" s="61">
        <v>17.995999999999999</v>
      </c>
      <c r="BV454" s="61">
        <v>22.693000000000001</v>
      </c>
      <c r="BW454" s="61">
        <v>40.689</v>
      </c>
      <c r="BX454" s="67">
        <v>315.38499999999999</v>
      </c>
      <c r="BY454" s="68">
        <v>136522</v>
      </c>
      <c r="BZ454" s="68">
        <v>118715</v>
      </c>
      <c r="CA454" s="69">
        <v>7633</v>
      </c>
      <c r="CB454" s="68">
        <v>170334</v>
      </c>
      <c r="CC454" s="68">
        <v>21734</v>
      </c>
      <c r="CD454" s="68">
        <v>111565</v>
      </c>
      <c r="CE454" s="64"/>
      <c r="CF454" s="64"/>
      <c r="CG454" s="70">
        <f t="shared" si="37"/>
        <v>7154.0280000000002</v>
      </c>
      <c r="CH454" s="70">
        <f t="shared" si="38"/>
        <v>320.58600000000001</v>
      </c>
      <c r="CI454" s="70">
        <f t="shared" si="39"/>
        <v>912.82799999999997</v>
      </c>
      <c r="CJ454" s="70">
        <f t="shared" si="35"/>
        <v>5733.924</v>
      </c>
      <c r="CK454" s="70">
        <f t="shared" si="35"/>
        <v>4986.03</v>
      </c>
      <c r="CL454" s="70">
        <f t="shared" si="36"/>
        <v>4685.7299999999996</v>
      </c>
      <c r="CM454" s="61"/>
      <c r="CN454" s="61"/>
      <c r="CO454" s="61"/>
      <c r="CP454" s="61"/>
      <c r="CQ454" s="61"/>
      <c r="CR454" s="61"/>
      <c r="CS454" s="61"/>
      <c r="CT454" s="61"/>
      <c r="CU454" s="61"/>
      <c r="CV454" s="61"/>
      <c r="CW454" s="61"/>
      <c r="CX454" s="61"/>
      <c r="CY454" s="61"/>
      <c r="CZ454" s="61"/>
      <c r="DA454" s="61"/>
      <c r="DB454" s="61"/>
      <c r="DC454" s="61"/>
      <c r="DD454" s="61"/>
      <c r="DE454" s="61"/>
      <c r="DF454" s="61"/>
      <c r="DG454" s="61"/>
      <c r="DH454" s="61"/>
      <c r="DI454" s="61"/>
      <c r="DJ454" s="61"/>
      <c r="DK454" s="61"/>
      <c r="DL454" s="61"/>
      <c r="DM454" s="61"/>
      <c r="DN454" s="61"/>
      <c r="DO454" s="61"/>
      <c r="DP454" s="61"/>
      <c r="DQ454" s="61"/>
      <c r="DR454" s="61"/>
      <c r="DS454" s="61"/>
      <c r="DT454" s="61"/>
      <c r="DU454" s="61"/>
      <c r="DV454" s="61"/>
      <c r="DW454" s="61"/>
      <c r="DX454" s="61"/>
      <c r="DY454" s="61"/>
      <c r="DZ454" s="61"/>
      <c r="EA454" s="61"/>
      <c r="EB454" s="61"/>
      <c r="EC454" s="61"/>
      <c r="ED454" s="61"/>
      <c r="EE454" s="61"/>
      <c r="EF454" s="61"/>
      <c r="EG454" s="61"/>
      <c r="EH454" s="61"/>
      <c r="EI454" s="61"/>
      <c r="EJ454" s="61"/>
      <c r="EK454" s="61"/>
      <c r="EL454" s="61"/>
      <c r="EM454" s="61"/>
      <c r="EN454" s="61"/>
      <c r="EO454" s="61"/>
      <c r="EP454" s="61"/>
      <c r="EQ454" s="61"/>
      <c r="ER454" s="61"/>
      <c r="ES454" s="61"/>
      <c r="ET454" s="61"/>
      <c r="EU454" s="61"/>
      <c r="EV454" s="61"/>
      <c r="EW454" s="61"/>
    </row>
    <row r="455" spans="1:153">
      <c r="A455" s="56">
        <v>40422</v>
      </c>
      <c r="B455" s="57">
        <v>2010</v>
      </c>
      <c r="C455" s="71">
        <v>3.927</v>
      </c>
      <c r="D455" s="61">
        <v>5.2999999999999999E-2</v>
      </c>
      <c r="E455" s="61">
        <v>722.78300000000002</v>
      </c>
      <c r="F455" s="61">
        <v>30.356999999999999</v>
      </c>
      <c r="G455" s="61">
        <v>3.8730000000000002</v>
      </c>
      <c r="H455" s="61">
        <v>70.941999999999993</v>
      </c>
      <c r="I455" s="61">
        <v>135.39599999999999</v>
      </c>
      <c r="J455" s="61">
        <v>-64.453999999999994</v>
      </c>
      <c r="K455" s="61">
        <v>682</v>
      </c>
      <c r="L455" s="61">
        <v>-89</v>
      </c>
      <c r="M455" s="61">
        <v>747.32899999999995</v>
      </c>
      <c r="N455" s="61">
        <v>31.388000000000002</v>
      </c>
      <c r="O455" s="71">
        <v>4.0049999999999999</v>
      </c>
      <c r="P455" s="60">
        <v>184.923</v>
      </c>
      <c r="Q455" s="61">
        <v>154.97200000000001</v>
      </c>
      <c r="R455" s="61">
        <v>377.35500000000002</v>
      </c>
      <c r="S455" s="61">
        <v>640.88599999999997</v>
      </c>
      <c r="T455" s="61">
        <v>168.43899999999999</v>
      </c>
      <c r="U455" s="61">
        <v>17.11</v>
      </c>
      <c r="V455" s="61">
        <v>8.66</v>
      </c>
      <c r="W455" s="61">
        <v>69.320999999999998</v>
      </c>
      <c r="X455" s="61">
        <v>184.923</v>
      </c>
      <c r="Y455" s="61">
        <v>37.46</v>
      </c>
      <c r="Z455" s="61">
        <v>151.70400000000001</v>
      </c>
      <c r="AA455" s="61">
        <v>374.08600000000001</v>
      </c>
      <c r="AB455" s="60">
        <v>637.61699999999996</v>
      </c>
      <c r="AC455" s="62"/>
      <c r="AD455" s="61"/>
      <c r="AE455" s="61"/>
      <c r="AF455" s="61"/>
      <c r="AG455" s="61"/>
      <c r="AH455" s="61"/>
      <c r="AI455" s="61"/>
      <c r="AJ455" s="61"/>
      <c r="AK455" s="62"/>
      <c r="AL455" s="63"/>
      <c r="AM455" s="64"/>
      <c r="AN455" s="65" t="e">
        <v>#N/A</v>
      </c>
      <c r="AO455" s="61" t="e">
        <v>#N/A</v>
      </c>
      <c r="AP455" s="61" t="e">
        <v>#N/A</v>
      </c>
      <c r="AQ455" s="61" t="e">
        <v>#N/A</v>
      </c>
      <c r="AR455" s="61" t="e">
        <v>#N/A</v>
      </c>
      <c r="AS455" s="61" t="e">
        <v>#N/A</v>
      </c>
      <c r="AT455" s="61" t="e">
        <v>#N/A</v>
      </c>
      <c r="AU455" s="61" t="e">
        <v>#N/A</v>
      </c>
      <c r="AV455" s="61" t="e">
        <v>#N/A</v>
      </c>
      <c r="AW455" s="61" t="e">
        <v>#N/A</v>
      </c>
      <c r="AX455" s="65" t="e">
        <v>#N/A</v>
      </c>
      <c r="AY455" s="66">
        <v>3.0249999999999999</v>
      </c>
      <c r="AZ455" s="61">
        <v>6.0570000000000004</v>
      </c>
      <c r="BA455" s="61">
        <v>44.427</v>
      </c>
      <c r="BB455" s="61">
        <v>53.508000000000003</v>
      </c>
      <c r="BC455" s="61">
        <v>1.4999999999999999E-2</v>
      </c>
      <c r="BD455" s="61">
        <v>1.5209999999999999</v>
      </c>
      <c r="BE455" s="61">
        <v>1.0369999999999999</v>
      </c>
      <c r="BF455" s="61">
        <v>1.2E-2</v>
      </c>
      <c r="BG455" s="61">
        <v>5.8860000000000001</v>
      </c>
      <c r="BH455" s="61">
        <v>2.9470000000000001</v>
      </c>
      <c r="BI455" s="61">
        <v>0.27300000000000002</v>
      </c>
      <c r="BJ455" s="61">
        <v>9.1050000000000004</v>
      </c>
      <c r="BK455" s="66">
        <v>11.689</v>
      </c>
      <c r="BL455" s="67">
        <v>85.872</v>
      </c>
      <c r="BM455" s="61">
        <v>4.0049999999999999</v>
      </c>
      <c r="BN455" s="61" t="s">
        <v>121</v>
      </c>
      <c r="BO455" s="61" t="s">
        <v>121</v>
      </c>
      <c r="BP455" s="61">
        <v>89.876999999999995</v>
      </c>
      <c r="BQ455" s="61">
        <v>167.68199999999999</v>
      </c>
      <c r="BR455" s="61">
        <v>12.22</v>
      </c>
      <c r="BS455" s="61">
        <v>1.335</v>
      </c>
      <c r="BT455" s="61">
        <v>69.31</v>
      </c>
      <c r="BU455" s="61">
        <v>16.067</v>
      </c>
      <c r="BV455" s="61">
        <v>21.722999999999999</v>
      </c>
      <c r="BW455" s="61">
        <v>37.79</v>
      </c>
      <c r="BX455" s="67">
        <v>288.33699999999999</v>
      </c>
      <c r="BY455" s="68">
        <v>130242</v>
      </c>
      <c r="BZ455" s="68">
        <v>116585</v>
      </c>
      <c r="CA455" s="69">
        <v>5680</v>
      </c>
      <c r="CB455" s="68">
        <v>166735</v>
      </c>
      <c r="CC455" s="68">
        <v>22936</v>
      </c>
      <c r="CD455" s="68">
        <v>108864</v>
      </c>
      <c r="CE455" s="64"/>
      <c r="CF455" s="64"/>
      <c r="CG455" s="70">
        <f t="shared" si="37"/>
        <v>7002.87</v>
      </c>
      <c r="CH455" s="70">
        <f t="shared" si="38"/>
        <v>238.56</v>
      </c>
      <c r="CI455" s="70">
        <f t="shared" si="39"/>
        <v>963.31200000000001</v>
      </c>
      <c r="CJ455" s="70">
        <f t="shared" ref="CJ455:CK518" si="40">BY455*42/1000</f>
        <v>5470.1639999999998</v>
      </c>
      <c r="CK455" s="70">
        <f t="shared" si="40"/>
        <v>4896.57</v>
      </c>
      <c r="CL455" s="70">
        <f t="shared" si="36"/>
        <v>4572.2879999999996</v>
      </c>
      <c r="CM455" s="61"/>
      <c r="CN455" s="61"/>
      <c r="CO455" s="61"/>
      <c r="CP455" s="61"/>
      <c r="CQ455" s="61"/>
      <c r="CR455" s="61"/>
      <c r="CS455" s="61"/>
      <c r="CT455" s="61"/>
      <c r="CU455" s="61"/>
      <c r="CV455" s="61"/>
      <c r="CW455" s="61"/>
      <c r="CX455" s="61"/>
      <c r="CY455" s="61"/>
      <c r="CZ455" s="61"/>
      <c r="DA455" s="61"/>
      <c r="DB455" s="61"/>
      <c r="DC455" s="61"/>
      <c r="DD455" s="61"/>
      <c r="DE455" s="61"/>
      <c r="DF455" s="61"/>
      <c r="DG455" s="61"/>
      <c r="DH455" s="61"/>
      <c r="DI455" s="61"/>
      <c r="DJ455" s="61"/>
      <c r="DK455" s="61"/>
      <c r="DL455" s="61"/>
      <c r="DM455" s="61"/>
      <c r="DN455" s="61"/>
      <c r="DO455" s="61"/>
      <c r="DP455" s="61"/>
      <c r="DQ455" s="61"/>
      <c r="DR455" s="61"/>
      <c r="DS455" s="61"/>
      <c r="DT455" s="61"/>
      <c r="DU455" s="61"/>
      <c r="DV455" s="61"/>
      <c r="DW455" s="61"/>
      <c r="DX455" s="61"/>
      <c r="DY455" s="61"/>
      <c r="DZ455" s="61"/>
      <c r="EA455" s="61"/>
      <c r="EB455" s="61"/>
      <c r="EC455" s="61"/>
      <c r="ED455" s="61"/>
      <c r="EE455" s="61"/>
      <c r="EF455" s="61"/>
      <c r="EG455" s="61"/>
      <c r="EH455" s="61"/>
      <c r="EI455" s="61"/>
      <c r="EJ455" s="61"/>
      <c r="EK455" s="61"/>
      <c r="EL455" s="61"/>
      <c r="EM455" s="61"/>
      <c r="EN455" s="61"/>
      <c r="EO455" s="61"/>
      <c r="EP455" s="61"/>
      <c r="EQ455" s="61"/>
      <c r="ER455" s="61"/>
      <c r="ES455" s="61"/>
      <c r="ET455" s="61"/>
      <c r="EU455" s="61"/>
      <c r="EV455" s="61"/>
      <c r="EW455" s="61"/>
    </row>
    <row r="456" spans="1:153">
      <c r="A456" s="56">
        <v>40452</v>
      </c>
      <c r="B456" s="57">
        <v>2010</v>
      </c>
      <c r="C456" s="71">
        <v>3.6739999999999999</v>
      </c>
      <c r="D456" s="61">
        <v>0.05</v>
      </c>
      <c r="E456" s="61">
        <v>676.29399999999998</v>
      </c>
      <c r="F456" s="61">
        <v>28.404</v>
      </c>
      <c r="G456" s="61">
        <v>3.6240000000000001</v>
      </c>
      <c r="H456" s="61">
        <v>18.687000000000001</v>
      </c>
      <c r="I456" s="61">
        <v>136.94999999999999</v>
      </c>
      <c r="J456" s="61">
        <v>-118.262</v>
      </c>
      <c r="K456" s="61">
        <v>650</v>
      </c>
      <c r="L456" s="61">
        <v>-32</v>
      </c>
      <c r="M456" s="61">
        <v>590.03099999999995</v>
      </c>
      <c r="N456" s="61">
        <v>24.780999999999999</v>
      </c>
      <c r="O456" s="71">
        <v>3.1619999999999999</v>
      </c>
      <c r="P456" s="60">
        <v>185.667</v>
      </c>
      <c r="Q456" s="61">
        <v>161.893</v>
      </c>
      <c r="R456" s="61">
        <v>386.77100000000002</v>
      </c>
      <c r="S456" s="61">
        <v>661.16600000000005</v>
      </c>
      <c r="T456" s="61">
        <v>172.51499999999999</v>
      </c>
      <c r="U456" s="61">
        <v>16.975000000000001</v>
      </c>
      <c r="V456" s="61">
        <v>7.4050000000000002</v>
      </c>
      <c r="W456" s="61">
        <v>77.5</v>
      </c>
      <c r="X456" s="61">
        <v>185.667</v>
      </c>
      <c r="Y456" s="61">
        <v>39.210999999999999</v>
      </c>
      <c r="Z456" s="61">
        <v>159.10499999999999</v>
      </c>
      <c r="AA456" s="61">
        <v>383.983</v>
      </c>
      <c r="AB456" s="60">
        <v>658.37800000000004</v>
      </c>
      <c r="AC456" s="62"/>
      <c r="AD456" s="61"/>
      <c r="AE456" s="61"/>
      <c r="AF456" s="61"/>
      <c r="AG456" s="61"/>
      <c r="AH456" s="61"/>
      <c r="AI456" s="61"/>
      <c r="AJ456" s="61"/>
      <c r="AK456" s="62"/>
      <c r="AL456" s="63"/>
      <c r="AM456" s="64"/>
      <c r="AN456" s="65" t="e">
        <v>#N/A</v>
      </c>
      <c r="AO456" s="61" t="e">
        <v>#N/A</v>
      </c>
      <c r="AP456" s="61" t="e">
        <v>#N/A</v>
      </c>
      <c r="AQ456" s="61" t="e">
        <v>#N/A</v>
      </c>
      <c r="AR456" s="61" t="e">
        <v>#N/A</v>
      </c>
      <c r="AS456" s="61" t="e">
        <v>#N/A</v>
      </c>
      <c r="AT456" s="61" t="e">
        <v>#N/A</v>
      </c>
      <c r="AU456" s="61" t="e">
        <v>#N/A</v>
      </c>
      <c r="AV456" s="61" t="e">
        <v>#N/A</v>
      </c>
      <c r="AW456" s="61" t="e">
        <v>#N/A</v>
      </c>
      <c r="AX456" s="65" t="e">
        <v>#N/A</v>
      </c>
      <c r="AY456" s="66">
        <v>3.125</v>
      </c>
      <c r="AZ456" s="61">
        <v>5.52</v>
      </c>
      <c r="BA456" s="61">
        <v>45.908000000000001</v>
      </c>
      <c r="BB456" s="61">
        <v>54.552999999999997</v>
      </c>
      <c r="BC456" s="61">
        <v>3.9E-2</v>
      </c>
      <c r="BD456" s="61">
        <v>1.571</v>
      </c>
      <c r="BE456" s="61">
        <v>0.94399999999999995</v>
      </c>
      <c r="BF456" s="61">
        <v>1.6E-2</v>
      </c>
      <c r="BG456" s="61">
        <v>6.0750000000000002</v>
      </c>
      <c r="BH456" s="61">
        <v>2.6930000000000001</v>
      </c>
      <c r="BI456" s="61">
        <v>0.28899999999999998</v>
      </c>
      <c r="BJ456" s="61">
        <v>9.0579999999999998</v>
      </c>
      <c r="BK456" s="66">
        <v>11.628</v>
      </c>
      <c r="BL456" s="67">
        <v>91.162000000000006</v>
      </c>
      <c r="BM456" s="61">
        <v>3.1619999999999999</v>
      </c>
      <c r="BN456" s="61" t="s">
        <v>121</v>
      </c>
      <c r="BO456" s="61" t="s">
        <v>121</v>
      </c>
      <c r="BP456" s="61">
        <v>94.323999999999998</v>
      </c>
      <c r="BQ456" s="61">
        <v>171.33</v>
      </c>
      <c r="BR456" s="61">
        <v>11.922000000000001</v>
      </c>
      <c r="BS456" s="61">
        <v>0.73099999999999998</v>
      </c>
      <c r="BT456" s="61">
        <v>77.483999999999995</v>
      </c>
      <c r="BU456" s="61">
        <v>14.984999999999999</v>
      </c>
      <c r="BV456" s="61">
        <v>21.613</v>
      </c>
      <c r="BW456" s="61">
        <v>36.597999999999999</v>
      </c>
      <c r="BX456" s="67">
        <v>298.065</v>
      </c>
      <c r="BY456" s="68">
        <v>133775</v>
      </c>
      <c r="BZ456" s="68">
        <v>116961</v>
      </c>
      <c r="CA456" s="69">
        <v>5068</v>
      </c>
      <c r="CB456" s="68">
        <v>161510</v>
      </c>
      <c r="CC456" s="68">
        <v>27107</v>
      </c>
      <c r="CD456" s="68">
        <v>111433</v>
      </c>
      <c r="CE456" s="64"/>
      <c r="CF456" s="64"/>
      <c r="CG456" s="70">
        <f t="shared" si="37"/>
        <v>6783.42</v>
      </c>
      <c r="CH456" s="70">
        <f t="shared" si="38"/>
        <v>212.85599999999999</v>
      </c>
      <c r="CI456" s="70">
        <f t="shared" si="39"/>
        <v>1138.4939999999999</v>
      </c>
      <c r="CJ456" s="70">
        <f t="shared" si="40"/>
        <v>5618.55</v>
      </c>
      <c r="CK456" s="70">
        <f t="shared" si="40"/>
        <v>4912.3620000000001</v>
      </c>
      <c r="CL456" s="70">
        <f t="shared" si="36"/>
        <v>4680.1859999999997</v>
      </c>
      <c r="CM456" s="61"/>
      <c r="CN456" s="61"/>
      <c r="CO456" s="61"/>
      <c r="CP456" s="61"/>
      <c r="CQ456" s="61"/>
      <c r="CR456" s="61"/>
      <c r="CS456" s="61"/>
      <c r="CT456" s="61"/>
      <c r="CU456" s="61"/>
      <c r="CV456" s="61"/>
      <c r="CW456" s="61"/>
      <c r="CX456" s="61"/>
      <c r="CY456" s="61"/>
      <c r="CZ456" s="61"/>
      <c r="DA456" s="61"/>
      <c r="DB456" s="61"/>
      <c r="DC456" s="61"/>
      <c r="DD456" s="61"/>
      <c r="DE456" s="61"/>
      <c r="DF456" s="61"/>
      <c r="DG456" s="61"/>
      <c r="DH456" s="61"/>
      <c r="DI456" s="61"/>
      <c r="DJ456" s="61"/>
      <c r="DK456" s="61"/>
      <c r="DL456" s="61"/>
      <c r="DM456" s="61"/>
      <c r="DN456" s="61"/>
      <c r="DO456" s="61"/>
      <c r="DP456" s="61"/>
      <c r="DQ456" s="61"/>
      <c r="DR456" s="61"/>
      <c r="DS456" s="61"/>
      <c r="DT456" s="61"/>
      <c r="DU456" s="61"/>
      <c r="DV456" s="61"/>
      <c r="DW456" s="61"/>
      <c r="DX456" s="61"/>
      <c r="DY456" s="61"/>
      <c r="DZ456" s="61"/>
      <c r="EA456" s="61"/>
      <c r="EB456" s="61"/>
      <c r="EC456" s="61"/>
      <c r="ED456" s="61"/>
      <c r="EE456" s="61"/>
      <c r="EF456" s="61"/>
      <c r="EG456" s="61"/>
      <c r="EH456" s="61"/>
      <c r="EI456" s="61"/>
      <c r="EJ456" s="61"/>
      <c r="EK456" s="61"/>
      <c r="EL456" s="61"/>
      <c r="EM456" s="61"/>
      <c r="EN456" s="61"/>
      <c r="EO456" s="61"/>
      <c r="EP456" s="61"/>
      <c r="EQ456" s="61"/>
      <c r="ER456" s="61"/>
      <c r="ES456" s="61"/>
      <c r="ET456" s="61"/>
      <c r="EU456" s="61"/>
      <c r="EV456" s="61"/>
      <c r="EW456" s="61"/>
    </row>
    <row r="457" spans="1:153">
      <c r="A457" s="56">
        <v>40483</v>
      </c>
      <c r="B457" s="57">
        <v>2010</v>
      </c>
      <c r="C457" s="71">
        <v>2.8679999999999999</v>
      </c>
      <c r="D457" s="61">
        <v>3.9E-2</v>
      </c>
      <c r="E457" s="61">
        <v>527.803</v>
      </c>
      <c r="F457" s="61">
        <v>22.167999999999999</v>
      </c>
      <c r="G457" s="61">
        <v>2.8279999999999998</v>
      </c>
      <c r="H457" s="61">
        <v>30.98</v>
      </c>
      <c r="I457" s="61">
        <v>58.567999999999998</v>
      </c>
      <c r="J457" s="61">
        <v>-27.588000000000001</v>
      </c>
      <c r="K457" s="61">
        <v>676</v>
      </c>
      <c r="L457" s="61">
        <v>26</v>
      </c>
      <c r="M457" s="61">
        <v>474.21499999999997</v>
      </c>
      <c r="N457" s="61">
        <v>19.917000000000002</v>
      </c>
      <c r="O457" s="71">
        <v>2.5409999999999999</v>
      </c>
      <c r="P457" s="60">
        <v>183.81899999999999</v>
      </c>
      <c r="Q457" s="61">
        <v>162.58000000000001</v>
      </c>
      <c r="R457" s="61">
        <v>386.60199999999998</v>
      </c>
      <c r="S457" s="61">
        <v>695.87</v>
      </c>
      <c r="T457" s="61">
        <v>190.84200000000001</v>
      </c>
      <c r="U457" s="61">
        <v>17.108000000000001</v>
      </c>
      <c r="V457" s="61">
        <v>6.22</v>
      </c>
      <c r="W457" s="61">
        <v>95.097999999999999</v>
      </c>
      <c r="X457" s="61">
        <v>183.81899999999999</v>
      </c>
      <c r="Y457" s="61">
        <v>40.201999999999998</v>
      </c>
      <c r="Z457" s="61">
        <v>156.07400000000001</v>
      </c>
      <c r="AA457" s="61">
        <v>380.09500000000003</v>
      </c>
      <c r="AB457" s="60">
        <v>689.36300000000006</v>
      </c>
      <c r="AC457" s="62"/>
      <c r="AD457" s="61"/>
      <c r="AE457" s="61"/>
      <c r="AF457" s="61"/>
      <c r="AG457" s="61"/>
      <c r="AH457" s="61"/>
      <c r="AI457" s="61"/>
      <c r="AJ457" s="61"/>
      <c r="AK457" s="62"/>
      <c r="AL457" s="63"/>
      <c r="AM457" s="64"/>
      <c r="AN457" s="65" t="e">
        <v>#N/A</v>
      </c>
      <c r="AO457" s="61" t="e">
        <v>#N/A</v>
      </c>
      <c r="AP457" s="61" t="e">
        <v>#N/A</v>
      </c>
      <c r="AQ457" s="61" t="e">
        <v>#N/A</v>
      </c>
      <c r="AR457" s="61" t="e">
        <v>#N/A</v>
      </c>
      <c r="AS457" s="61" t="e">
        <v>#N/A</v>
      </c>
      <c r="AT457" s="61" t="e">
        <v>#N/A</v>
      </c>
      <c r="AU457" s="61" t="e">
        <v>#N/A</v>
      </c>
      <c r="AV457" s="61" t="e">
        <v>#N/A</v>
      </c>
      <c r="AW457" s="61" t="e">
        <v>#N/A</v>
      </c>
      <c r="AX457" s="65" t="e">
        <v>#N/A</v>
      </c>
      <c r="AY457" s="66">
        <v>3.0249999999999999</v>
      </c>
      <c r="AZ457" s="61">
        <v>4.5279999999999996</v>
      </c>
      <c r="BA457" s="61">
        <v>44.427</v>
      </c>
      <c r="BB457" s="61">
        <v>51.98</v>
      </c>
      <c r="BC457" s="61">
        <v>0.06</v>
      </c>
      <c r="BD457" s="61">
        <v>1.5209999999999999</v>
      </c>
      <c r="BE457" s="61">
        <v>0.77500000000000002</v>
      </c>
      <c r="BF457" s="61">
        <v>1.7000000000000001E-2</v>
      </c>
      <c r="BG457" s="61">
        <v>5.891</v>
      </c>
      <c r="BH457" s="61">
        <v>2.649</v>
      </c>
      <c r="BI457" s="61">
        <v>0.28000000000000003</v>
      </c>
      <c r="BJ457" s="61">
        <v>8.82</v>
      </c>
      <c r="BK457" s="66">
        <v>11.193</v>
      </c>
      <c r="BL457" s="67">
        <v>88.224000000000004</v>
      </c>
      <c r="BM457" s="61">
        <v>2.5409999999999999</v>
      </c>
      <c r="BN457" s="61" t="s">
        <v>121</v>
      </c>
      <c r="BO457" s="61" t="s">
        <v>121</v>
      </c>
      <c r="BP457" s="61">
        <v>90.765000000000001</v>
      </c>
      <c r="BQ457" s="61">
        <v>189.51599999999999</v>
      </c>
      <c r="BR457" s="61">
        <v>12.218</v>
      </c>
      <c r="BS457" s="61">
        <v>0.745</v>
      </c>
      <c r="BT457" s="61">
        <v>95.08</v>
      </c>
      <c r="BU457" s="61">
        <v>16.297000000000001</v>
      </c>
      <c r="BV457" s="61">
        <v>22.713000000000001</v>
      </c>
      <c r="BW457" s="61">
        <v>39.011000000000003</v>
      </c>
      <c r="BX457" s="67">
        <v>336.57</v>
      </c>
      <c r="BY457" s="68">
        <v>135087</v>
      </c>
      <c r="BZ457" s="68">
        <v>116200</v>
      </c>
      <c r="CA457" s="69">
        <v>5331</v>
      </c>
      <c r="CB457" s="68">
        <v>161991</v>
      </c>
      <c r="CC457" s="68">
        <v>23737</v>
      </c>
      <c r="CD457" s="68">
        <v>113951</v>
      </c>
      <c r="CE457" s="64"/>
      <c r="CF457" s="64"/>
      <c r="CG457" s="70">
        <f t="shared" si="37"/>
        <v>6803.6220000000003</v>
      </c>
      <c r="CH457" s="70">
        <f t="shared" si="38"/>
        <v>223.90199999999999</v>
      </c>
      <c r="CI457" s="70">
        <f t="shared" si="39"/>
        <v>996.95399999999995</v>
      </c>
      <c r="CJ457" s="70">
        <f t="shared" si="40"/>
        <v>5673.6540000000005</v>
      </c>
      <c r="CK457" s="70">
        <f t="shared" si="40"/>
        <v>4880.3999999999996</v>
      </c>
      <c r="CL457" s="70">
        <f t="shared" si="36"/>
        <v>4785.942</v>
      </c>
      <c r="CM457" s="61"/>
      <c r="CN457" s="61"/>
      <c r="CO457" s="61"/>
      <c r="CP457" s="61"/>
      <c r="CQ457" s="61"/>
      <c r="CR457" s="61"/>
      <c r="CS457" s="61"/>
      <c r="CT457" s="61"/>
      <c r="CU457" s="61"/>
      <c r="CV457" s="61"/>
      <c r="CW457" s="61"/>
      <c r="CX457" s="61"/>
      <c r="CY457" s="61"/>
      <c r="CZ457" s="61"/>
      <c r="DA457" s="61"/>
      <c r="DB457" s="61"/>
      <c r="DC457" s="61"/>
      <c r="DD457" s="61"/>
      <c r="DE457" s="61"/>
      <c r="DF457" s="61"/>
      <c r="DG457" s="61"/>
      <c r="DH457" s="61"/>
      <c r="DI457" s="61"/>
      <c r="DJ457" s="61"/>
      <c r="DK457" s="61"/>
      <c r="DL457" s="61"/>
      <c r="DM457" s="61"/>
      <c r="DN457" s="61"/>
      <c r="DO457" s="61"/>
      <c r="DP457" s="61"/>
      <c r="DQ457" s="61"/>
      <c r="DR457" s="61"/>
      <c r="DS457" s="61"/>
      <c r="DT457" s="61"/>
      <c r="DU457" s="61"/>
      <c r="DV457" s="61"/>
      <c r="DW457" s="61"/>
      <c r="DX457" s="61"/>
      <c r="DY457" s="61"/>
      <c r="DZ457" s="61"/>
      <c r="EA457" s="61"/>
      <c r="EB457" s="61"/>
      <c r="EC457" s="61"/>
      <c r="ED457" s="61"/>
      <c r="EE457" s="61"/>
      <c r="EF457" s="61"/>
      <c r="EG457" s="61"/>
      <c r="EH457" s="61"/>
      <c r="EI457" s="61"/>
      <c r="EJ457" s="61"/>
      <c r="EK457" s="61"/>
      <c r="EL457" s="61"/>
      <c r="EM457" s="61"/>
      <c r="EN457" s="61"/>
      <c r="EO457" s="61"/>
      <c r="EP457" s="61"/>
      <c r="EQ457" s="61"/>
      <c r="ER457" s="61"/>
      <c r="ES457" s="61"/>
      <c r="ET457" s="61"/>
      <c r="EU457" s="61"/>
      <c r="EV457" s="61"/>
      <c r="EW457" s="61"/>
    </row>
    <row r="458" spans="1:153">
      <c r="A458" s="56">
        <v>40513</v>
      </c>
      <c r="B458" s="57">
        <v>2010</v>
      </c>
      <c r="C458" s="71">
        <v>3.194</v>
      </c>
      <c r="D458" s="61">
        <v>4.3999999999999997E-2</v>
      </c>
      <c r="E458" s="61">
        <v>587.97</v>
      </c>
      <c r="F458" s="61">
        <v>24.695</v>
      </c>
      <c r="G458" s="61">
        <v>3.1509999999999998</v>
      </c>
      <c r="H458" s="61">
        <v>35.170999999999999</v>
      </c>
      <c r="I458" s="61">
        <v>112.608</v>
      </c>
      <c r="J458" s="61">
        <v>-77.436999999999998</v>
      </c>
      <c r="K458" s="61">
        <v>672</v>
      </c>
      <c r="L458" s="61">
        <v>-4</v>
      </c>
      <c r="M458" s="61">
        <v>514.53300000000002</v>
      </c>
      <c r="N458" s="61">
        <v>21.61</v>
      </c>
      <c r="O458" s="71">
        <v>2.7570000000000001</v>
      </c>
      <c r="P458" s="60">
        <v>193.095</v>
      </c>
      <c r="Q458" s="61">
        <v>167.041</v>
      </c>
      <c r="R458" s="61">
        <v>400.91699999999997</v>
      </c>
      <c r="S458" s="61">
        <v>738.99099999999999</v>
      </c>
      <c r="T458" s="61">
        <v>226.03700000000001</v>
      </c>
      <c r="U458" s="61">
        <v>18.027000000000001</v>
      </c>
      <c r="V458" s="61">
        <v>5.6260000000000003</v>
      </c>
      <c r="W458" s="61">
        <v>88.382999999999996</v>
      </c>
      <c r="X458" s="61">
        <v>193.095</v>
      </c>
      <c r="Y458" s="61">
        <v>40.780999999999999</v>
      </c>
      <c r="Z458" s="61">
        <v>161.44300000000001</v>
      </c>
      <c r="AA458" s="61">
        <v>395.31900000000002</v>
      </c>
      <c r="AB458" s="60">
        <v>733.39300000000003</v>
      </c>
      <c r="AC458" s="62"/>
      <c r="AD458" s="61"/>
      <c r="AE458" s="61"/>
      <c r="AF458" s="61"/>
      <c r="AG458" s="61"/>
      <c r="AH458" s="61"/>
      <c r="AI458" s="61"/>
      <c r="AJ458" s="61"/>
      <c r="AK458" s="62"/>
      <c r="AL458" s="63"/>
      <c r="AM458" s="64"/>
      <c r="AN458" s="65" t="e">
        <v>#N/A</v>
      </c>
      <c r="AO458" s="61" t="e">
        <v>#N/A</v>
      </c>
      <c r="AP458" s="61" t="e">
        <v>#N/A</v>
      </c>
      <c r="AQ458" s="61" t="e">
        <v>#N/A</v>
      </c>
      <c r="AR458" s="61" t="e">
        <v>#N/A</v>
      </c>
      <c r="AS458" s="61" t="e">
        <v>#N/A</v>
      </c>
      <c r="AT458" s="61" t="e">
        <v>#N/A</v>
      </c>
      <c r="AU458" s="61" t="e">
        <v>#N/A</v>
      </c>
      <c r="AV458" s="61" t="e">
        <v>#N/A</v>
      </c>
      <c r="AW458" s="61" t="e">
        <v>#N/A</v>
      </c>
      <c r="AX458" s="65" t="e">
        <v>#N/A</v>
      </c>
      <c r="AY458" s="66">
        <v>3.125</v>
      </c>
      <c r="AZ458" s="61">
        <v>4.298</v>
      </c>
      <c r="BA458" s="61">
        <v>45.908000000000001</v>
      </c>
      <c r="BB458" s="61">
        <v>53.331000000000003</v>
      </c>
      <c r="BC458" s="61">
        <v>0.105</v>
      </c>
      <c r="BD458" s="61">
        <v>1.571</v>
      </c>
      <c r="BE458" s="61">
        <v>0.746</v>
      </c>
      <c r="BF458" s="61">
        <v>1.6E-2</v>
      </c>
      <c r="BG458" s="61">
        <v>6.0890000000000004</v>
      </c>
      <c r="BH458" s="61">
        <v>2.7730000000000001</v>
      </c>
      <c r="BI458" s="61">
        <v>0.29099999999999998</v>
      </c>
      <c r="BJ458" s="61">
        <v>9.1530000000000005</v>
      </c>
      <c r="BK458" s="66">
        <v>11.592000000000001</v>
      </c>
      <c r="BL458" s="67">
        <v>91.661000000000001</v>
      </c>
      <c r="BM458" s="61">
        <v>2.7570000000000001</v>
      </c>
      <c r="BN458" s="61" t="s">
        <v>121</v>
      </c>
      <c r="BO458" s="61" t="s">
        <v>121</v>
      </c>
      <c r="BP458" s="61">
        <v>94.418999999999997</v>
      </c>
      <c r="BQ458" s="61">
        <v>224.624</v>
      </c>
      <c r="BR458" s="61">
        <v>12.974</v>
      </c>
      <c r="BS458" s="61">
        <v>0.41799999999999998</v>
      </c>
      <c r="BT458" s="61">
        <v>88.366</v>
      </c>
      <c r="BU458" s="61">
        <v>17.489999999999998</v>
      </c>
      <c r="BV458" s="61">
        <v>23.207999999999998</v>
      </c>
      <c r="BW458" s="61">
        <v>40.698</v>
      </c>
      <c r="BX458" s="67">
        <v>367.08</v>
      </c>
      <c r="BY458" s="68">
        <v>144760</v>
      </c>
      <c r="BZ458" s="68">
        <v>129441</v>
      </c>
      <c r="CA458" s="69">
        <v>6787</v>
      </c>
      <c r="CB458" s="68">
        <v>164306</v>
      </c>
      <c r="CC458" s="68">
        <v>19791</v>
      </c>
      <c r="CD458" s="68">
        <v>122958</v>
      </c>
      <c r="CE458" s="64"/>
      <c r="CF458" s="64"/>
      <c r="CG458" s="70">
        <f t="shared" si="37"/>
        <v>6900.8519999999999</v>
      </c>
      <c r="CH458" s="70">
        <f t="shared" si="38"/>
        <v>285.05399999999997</v>
      </c>
      <c r="CI458" s="70">
        <f t="shared" si="39"/>
        <v>831.22199999999998</v>
      </c>
      <c r="CJ458" s="70">
        <f t="shared" si="40"/>
        <v>6079.92</v>
      </c>
      <c r="CK458" s="70">
        <f t="shared" si="40"/>
        <v>5436.5219999999999</v>
      </c>
      <c r="CL458" s="70">
        <f t="shared" si="36"/>
        <v>5164.2359999999999</v>
      </c>
      <c r="CM458" s="61"/>
      <c r="CN458" s="61"/>
      <c r="CO458" s="61"/>
      <c r="CP458" s="61"/>
      <c r="CQ458" s="61"/>
      <c r="CR458" s="61"/>
      <c r="CS458" s="61"/>
      <c r="CT458" s="61"/>
      <c r="CU458" s="61"/>
      <c r="CV458" s="61"/>
      <c r="CW458" s="61"/>
      <c r="CX458" s="61"/>
      <c r="CY458" s="61"/>
      <c r="CZ458" s="61"/>
      <c r="DA458" s="61"/>
      <c r="DB458" s="61"/>
      <c r="DC458" s="61"/>
      <c r="DD458" s="61"/>
      <c r="DE458" s="61"/>
      <c r="DF458" s="61"/>
      <c r="DG458" s="61"/>
      <c r="DH458" s="61"/>
      <c r="DI458" s="61"/>
      <c r="DJ458" s="61"/>
      <c r="DK458" s="61"/>
      <c r="DL458" s="61"/>
      <c r="DM458" s="61"/>
      <c r="DN458" s="61"/>
      <c r="DO458" s="61"/>
      <c r="DP458" s="61"/>
      <c r="DQ458" s="61"/>
      <c r="DR458" s="61"/>
      <c r="DS458" s="61"/>
      <c r="DT458" s="61"/>
      <c r="DU458" s="61"/>
      <c r="DV458" s="61"/>
      <c r="DW458" s="61"/>
      <c r="DX458" s="61"/>
      <c r="DY458" s="61"/>
      <c r="DZ458" s="61"/>
      <c r="EA458" s="61"/>
      <c r="EB458" s="61"/>
      <c r="EC458" s="61"/>
      <c r="ED458" s="61"/>
      <c r="EE458" s="61"/>
      <c r="EF458" s="61"/>
      <c r="EG458" s="61"/>
      <c r="EH458" s="61"/>
      <c r="EI458" s="61"/>
      <c r="EJ458" s="61"/>
      <c r="EK458" s="61"/>
      <c r="EL458" s="61"/>
      <c r="EM458" s="61"/>
      <c r="EN458" s="61"/>
      <c r="EO458" s="61"/>
      <c r="EP458" s="61"/>
      <c r="EQ458" s="61"/>
      <c r="ER458" s="61"/>
      <c r="ES458" s="61"/>
      <c r="ET458" s="61"/>
      <c r="EU458" s="61"/>
      <c r="EV458" s="61"/>
      <c r="EW458" s="61"/>
    </row>
    <row r="459" spans="1:153">
      <c r="A459" s="56">
        <v>40544</v>
      </c>
      <c r="B459" s="57">
        <v>2011</v>
      </c>
      <c r="C459" s="71">
        <v>4.5730000000000004</v>
      </c>
      <c r="D459" s="61">
        <v>6.2E-2</v>
      </c>
      <c r="E459" s="61">
        <v>841.79700000000003</v>
      </c>
      <c r="F459" s="61">
        <v>35.354999999999997</v>
      </c>
      <c r="G459" s="61">
        <v>4.5110000000000001</v>
      </c>
      <c r="H459" s="61">
        <v>50.177</v>
      </c>
      <c r="I459" s="61">
        <v>224.49299999999999</v>
      </c>
      <c r="J459" s="61">
        <v>-174.316</v>
      </c>
      <c r="K459" s="61">
        <v>1015.761</v>
      </c>
      <c r="L459" s="61">
        <v>38.862000000000002</v>
      </c>
      <c r="M459" s="61">
        <v>628.61900000000003</v>
      </c>
      <c r="N459" s="61">
        <v>26.402000000000001</v>
      </c>
      <c r="O459" s="71">
        <v>3.3690000000000002</v>
      </c>
      <c r="P459" s="60">
        <v>193.637</v>
      </c>
      <c r="Q459" s="61">
        <v>168.53700000000001</v>
      </c>
      <c r="R459" s="61">
        <v>400.71</v>
      </c>
      <c r="S459" s="61">
        <v>755.73400000000004</v>
      </c>
      <c r="T459" s="61">
        <v>248.06</v>
      </c>
      <c r="U459" s="61">
        <v>18.48</v>
      </c>
      <c r="V459" s="61">
        <v>5.4080000000000004</v>
      </c>
      <c r="W459" s="61">
        <v>83.076999999999998</v>
      </c>
      <c r="X459" s="61">
        <v>193.637</v>
      </c>
      <c r="Y459" s="61">
        <v>38.536000000000001</v>
      </c>
      <c r="Z459" s="61">
        <v>152.68100000000001</v>
      </c>
      <c r="AA459" s="61">
        <v>384.85399999999998</v>
      </c>
      <c r="AB459" s="60">
        <v>739.87900000000002</v>
      </c>
      <c r="AC459" s="62">
        <v>105.425</v>
      </c>
      <c r="AD459" s="61">
        <v>4.4279999999999999</v>
      </c>
      <c r="AE459" s="61">
        <v>0.57899999999999996</v>
      </c>
      <c r="AF459" s="61"/>
      <c r="AG459" s="61"/>
      <c r="AH459" s="61"/>
      <c r="AI459" s="61">
        <v>105.425</v>
      </c>
      <c r="AJ459" s="61">
        <v>4.4279999999999999</v>
      </c>
      <c r="AK459" s="62">
        <v>0.57899999999999996</v>
      </c>
      <c r="AL459" s="63">
        <f t="shared" ref="AL459:AL522" si="41">AJ459</f>
        <v>4.4279999999999999</v>
      </c>
      <c r="AM459" s="64">
        <v>0.57899999999999996</v>
      </c>
      <c r="AN459" s="65" t="e">
        <v>#N/A</v>
      </c>
      <c r="AO459" s="61" t="e">
        <v>#N/A</v>
      </c>
      <c r="AP459" s="61" t="e">
        <v>#N/A</v>
      </c>
      <c r="AQ459" s="61" t="e">
        <v>#N/A</v>
      </c>
      <c r="AR459" s="61" t="e">
        <v>#N/A</v>
      </c>
      <c r="AS459" s="61" t="e">
        <v>#N/A</v>
      </c>
      <c r="AT459" s="61" t="e">
        <v>#N/A</v>
      </c>
      <c r="AU459" s="61" t="e">
        <v>#N/A</v>
      </c>
      <c r="AV459" s="61" t="e">
        <v>#N/A</v>
      </c>
      <c r="AW459" s="61" t="e">
        <v>#N/A</v>
      </c>
      <c r="AX459" s="65" t="e">
        <v>#N/A</v>
      </c>
      <c r="AY459" s="66">
        <v>3.363</v>
      </c>
      <c r="AZ459" s="61">
        <v>3.835</v>
      </c>
      <c r="BA459" s="61">
        <v>44.526000000000003</v>
      </c>
      <c r="BB459" s="61">
        <v>51.725000000000001</v>
      </c>
      <c r="BC459" s="61">
        <v>2.1000000000000001E-2</v>
      </c>
      <c r="BD459" s="61">
        <v>1.673</v>
      </c>
      <c r="BE459" s="61">
        <v>0.99399999999999999</v>
      </c>
      <c r="BF459" s="61">
        <v>0.03</v>
      </c>
      <c r="BG459" s="61">
        <v>5.8810000000000002</v>
      </c>
      <c r="BH459" s="61">
        <v>3.3460000000000001</v>
      </c>
      <c r="BI459" s="61">
        <v>0.22900000000000001</v>
      </c>
      <c r="BJ459" s="61">
        <v>9.4559999999999995</v>
      </c>
      <c r="BK459" s="66">
        <v>12.173999999999999</v>
      </c>
      <c r="BL459" s="67">
        <v>82.427000000000007</v>
      </c>
      <c r="BM459" s="61">
        <v>3.3690000000000002</v>
      </c>
      <c r="BN459" s="61">
        <v>0.57899999999999996</v>
      </c>
      <c r="BO459" s="61" t="s">
        <v>121</v>
      </c>
      <c r="BP459" s="61">
        <v>86.375</v>
      </c>
      <c r="BQ459" s="61">
        <v>246.65299999999999</v>
      </c>
      <c r="BR459" s="61">
        <v>13.087</v>
      </c>
      <c r="BS459" s="61">
        <v>0.36299999999999999</v>
      </c>
      <c r="BT459" s="61">
        <v>83.043999999999997</v>
      </c>
      <c r="BU459" s="61">
        <v>16.907</v>
      </c>
      <c r="BV459" s="61">
        <v>20.53</v>
      </c>
      <c r="BW459" s="61">
        <v>37.436999999999998</v>
      </c>
      <c r="BX459" s="67">
        <v>380.584</v>
      </c>
      <c r="BY459" s="68">
        <v>133403</v>
      </c>
      <c r="BZ459" s="68">
        <v>122699</v>
      </c>
      <c r="CA459" s="69">
        <v>10439</v>
      </c>
      <c r="CB459" s="68">
        <v>163086</v>
      </c>
      <c r="CC459" s="68">
        <v>22774</v>
      </c>
      <c r="CD459" s="68">
        <v>115328</v>
      </c>
      <c r="CE459" s="64"/>
      <c r="CF459" s="64"/>
      <c r="CG459" s="70">
        <f t="shared" si="37"/>
        <v>6849.6120000000001</v>
      </c>
      <c r="CH459" s="70">
        <f t="shared" si="38"/>
        <v>438.43799999999999</v>
      </c>
      <c r="CI459" s="70">
        <f t="shared" si="39"/>
        <v>956.50800000000004</v>
      </c>
      <c r="CJ459" s="70">
        <f t="shared" si="40"/>
        <v>5602.9260000000004</v>
      </c>
      <c r="CK459" s="70">
        <f t="shared" si="40"/>
        <v>5153.3580000000002</v>
      </c>
      <c r="CL459" s="70">
        <f t="shared" si="36"/>
        <v>4843.7759999999998</v>
      </c>
      <c r="CM459" s="61"/>
      <c r="CN459" s="61"/>
      <c r="CO459" s="61"/>
      <c r="CP459" s="61"/>
      <c r="CQ459" s="61"/>
      <c r="CR459" s="61"/>
      <c r="CS459" s="61"/>
      <c r="CT459" s="61"/>
      <c r="CU459" s="61"/>
      <c r="CV459" s="61"/>
      <c r="CW459" s="61"/>
      <c r="CX459" s="61"/>
      <c r="CY459" s="61"/>
      <c r="CZ459" s="61"/>
      <c r="DA459" s="61"/>
      <c r="DB459" s="61"/>
      <c r="DC459" s="61"/>
      <c r="DD459" s="61"/>
      <c r="DE459" s="61"/>
      <c r="DF459" s="61"/>
      <c r="DG459" s="61"/>
      <c r="DH459" s="61"/>
      <c r="DI459" s="61"/>
      <c r="DJ459" s="61"/>
      <c r="DK459" s="61"/>
      <c r="DL459" s="61"/>
      <c r="DM459" s="61"/>
      <c r="DN459" s="61"/>
      <c r="DO459" s="61"/>
      <c r="DP459" s="61"/>
      <c r="DQ459" s="61"/>
      <c r="DR459" s="61"/>
      <c r="DS459" s="61"/>
      <c r="DT459" s="61"/>
      <c r="DU459" s="61"/>
      <c r="DV459" s="61"/>
      <c r="DW459" s="61"/>
      <c r="DX459" s="61"/>
      <c r="DY459" s="61"/>
      <c r="DZ459" s="61"/>
      <c r="EA459" s="61"/>
      <c r="EB459" s="61"/>
      <c r="EC459" s="61"/>
      <c r="ED459" s="61"/>
      <c r="EE459" s="61"/>
      <c r="EF459" s="61"/>
      <c r="EG459" s="61"/>
      <c r="EH459" s="61"/>
      <c r="EI459" s="61"/>
      <c r="EJ459" s="61"/>
      <c r="EK459" s="61"/>
      <c r="EL459" s="61"/>
      <c r="EM459" s="61"/>
      <c r="EN459" s="61"/>
      <c r="EO459" s="61"/>
      <c r="EP459" s="61"/>
      <c r="EQ459" s="61"/>
      <c r="ER459" s="61"/>
      <c r="ES459" s="61"/>
      <c r="ET459" s="61"/>
      <c r="EU459" s="61"/>
      <c r="EV459" s="61"/>
      <c r="EW459" s="61"/>
    </row>
    <row r="460" spans="1:153">
      <c r="A460" s="56">
        <v>40575</v>
      </c>
      <c r="B460" s="57">
        <v>2011</v>
      </c>
      <c r="C460" s="71">
        <v>5.2190000000000003</v>
      </c>
      <c r="D460" s="61">
        <v>7.0999999999999994E-2</v>
      </c>
      <c r="E460" s="61">
        <v>960.53200000000004</v>
      </c>
      <c r="F460" s="61">
        <v>40.341999999999999</v>
      </c>
      <c r="G460" s="61">
        <v>5.1470000000000002</v>
      </c>
      <c r="H460" s="61">
        <v>38.563000000000002</v>
      </c>
      <c r="I460" s="61">
        <v>91.213999999999999</v>
      </c>
      <c r="J460" s="61">
        <v>-52.651000000000003</v>
      </c>
      <c r="K460" s="61">
        <v>1216.502</v>
      </c>
      <c r="L460" s="61">
        <v>200.74100000000001</v>
      </c>
      <c r="M460" s="61">
        <v>707.14</v>
      </c>
      <c r="N460" s="61">
        <v>29.7</v>
      </c>
      <c r="O460" s="71">
        <v>3.79</v>
      </c>
      <c r="P460" s="60">
        <v>173.10300000000001</v>
      </c>
      <c r="Q460" s="61">
        <v>150.44300000000001</v>
      </c>
      <c r="R460" s="61">
        <v>359.327</v>
      </c>
      <c r="S460" s="61">
        <v>718.25099999999998</v>
      </c>
      <c r="T460" s="61">
        <v>234.459</v>
      </c>
      <c r="U460" s="61">
        <v>16.675999999999998</v>
      </c>
      <c r="V460" s="61">
        <v>6.242</v>
      </c>
      <c r="W460" s="61">
        <v>101.547</v>
      </c>
      <c r="X460" s="61">
        <v>173.10300000000001</v>
      </c>
      <c r="Y460" s="61">
        <v>35.780999999999999</v>
      </c>
      <c r="Z460" s="61">
        <v>143.489</v>
      </c>
      <c r="AA460" s="61">
        <v>352.37400000000002</v>
      </c>
      <c r="AB460" s="60">
        <v>711.298</v>
      </c>
      <c r="AC460" s="62">
        <v>22.91</v>
      </c>
      <c r="AD460" s="61">
        <v>0.96199999999999997</v>
      </c>
      <c r="AE460" s="61">
        <v>0.126</v>
      </c>
      <c r="AF460" s="61"/>
      <c r="AG460" s="61"/>
      <c r="AH460" s="61"/>
      <c r="AI460" s="61">
        <v>22.91</v>
      </c>
      <c r="AJ460" s="61">
        <v>0.96199999999999997</v>
      </c>
      <c r="AK460" s="62">
        <v>0.126</v>
      </c>
      <c r="AL460" s="63">
        <f t="shared" si="41"/>
        <v>0.96199999999999997</v>
      </c>
      <c r="AM460" s="64">
        <v>0.126</v>
      </c>
      <c r="AN460" s="65" t="e">
        <v>#N/A</v>
      </c>
      <c r="AO460" s="61" t="e">
        <v>#N/A</v>
      </c>
      <c r="AP460" s="61" t="e">
        <v>#N/A</v>
      </c>
      <c r="AQ460" s="61" t="e">
        <v>#N/A</v>
      </c>
      <c r="AR460" s="61" t="e">
        <v>#N/A</v>
      </c>
      <c r="AS460" s="61" t="e">
        <v>#N/A</v>
      </c>
      <c r="AT460" s="61" t="e">
        <v>#N/A</v>
      </c>
      <c r="AU460" s="61" t="e">
        <v>#N/A</v>
      </c>
      <c r="AV460" s="61" t="e">
        <v>#N/A</v>
      </c>
      <c r="AW460" s="61" t="e">
        <v>#N/A</v>
      </c>
      <c r="AX460" s="65" t="e">
        <v>#N/A</v>
      </c>
      <c r="AY460" s="66">
        <v>3.0379999999999998</v>
      </c>
      <c r="AZ460" s="61">
        <v>4.1340000000000003</v>
      </c>
      <c r="BA460" s="61">
        <v>40.216999999999999</v>
      </c>
      <c r="BB460" s="61">
        <v>47.389000000000003</v>
      </c>
      <c r="BC460" s="61">
        <v>1.7999999999999999E-2</v>
      </c>
      <c r="BD460" s="61">
        <v>1.5109999999999999</v>
      </c>
      <c r="BE460" s="61">
        <v>1.087</v>
      </c>
      <c r="BF460" s="61">
        <v>3.6999999999999998E-2</v>
      </c>
      <c r="BG460" s="61">
        <v>5.327</v>
      </c>
      <c r="BH460" s="61">
        <v>3.1030000000000002</v>
      </c>
      <c r="BI460" s="61">
        <v>0.223</v>
      </c>
      <c r="BJ460" s="61">
        <v>8.6530000000000005</v>
      </c>
      <c r="BK460" s="66">
        <v>11.307</v>
      </c>
      <c r="BL460" s="67">
        <v>80.534999999999997</v>
      </c>
      <c r="BM460" s="61">
        <v>3.79</v>
      </c>
      <c r="BN460" s="61">
        <v>0.126</v>
      </c>
      <c r="BO460" s="61" t="s">
        <v>121</v>
      </c>
      <c r="BP460" s="61">
        <v>84.45</v>
      </c>
      <c r="BQ460" s="61">
        <v>232.88900000000001</v>
      </c>
      <c r="BR460" s="61">
        <v>11.805</v>
      </c>
      <c r="BS460" s="61">
        <v>0.78600000000000003</v>
      </c>
      <c r="BT460" s="61">
        <v>101.508</v>
      </c>
      <c r="BU460" s="61">
        <v>15.547000000000001</v>
      </c>
      <c r="BV460" s="61">
        <v>19.283000000000001</v>
      </c>
      <c r="BW460" s="61">
        <v>34.83</v>
      </c>
      <c r="BX460" s="67">
        <v>381.81799999999998</v>
      </c>
      <c r="BY460" s="68">
        <v>112929</v>
      </c>
      <c r="BZ460" s="68">
        <v>109577</v>
      </c>
      <c r="CA460" s="69">
        <v>5772</v>
      </c>
      <c r="CB460" s="68">
        <v>154077</v>
      </c>
      <c r="CC460" s="68">
        <v>18666</v>
      </c>
      <c r="CD460" s="68">
        <v>96038</v>
      </c>
      <c r="CE460" s="64"/>
      <c r="CF460" s="64"/>
      <c r="CG460" s="70">
        <f t="shared" si="37"/>
        <v>6471.2340000000004</v>
      </c>
      <c r="CH460" s="70">
        <f t="shared" si="38"/>
        <v>242.42400000000001</v>
      </c>
      <c r="CI460" s="70">
        <f t="shared" si="39"/>
        <v>783.97199999999998</v>
      </c>
      <c r="CJ460" s="70">
        <f t="shared" si="40"/>
        <v>4743.018</v>
      </c>
      <c r="CK460" s="70">
        <f t="shared" si="40"/>
        <v>4602.2340000000004</v>
      </c>
      <c r="CL460" s="70">
        <f t="shared" si="36"/>
        <v>4033.596</v>
      </c>
      <c r="CM460" s="61"/>
      <c r="CN460" s="61"/>
      <c r="CO460" s="61"/>
      <c r="CP460" s="61"/>
      <c r="CQ460" s="61"/>
      <c r="CR460" s="61"/>
      <c r="CS460" s="61"/>
      <c r="CT460" s="61"/>
      <c r="CU460" s="61"/>
      <c r="CV460" s="61"/>
      <c r="CW460" s="61"/>
      <c r="CX460" s="61"/>
      <c r="CY460" s="61"/>
      <c r="CZ460" s="61"/>
      <c r="DA460" s="61"/>
      <c r="DB460" s="61"/>
      <c r="DC460" s="61"/>
      <c r="DD460" s="61"/>
      <c r="DE460" s="61"/>
      <c r="DF460" s="61"/>
      <c r="DG460" s="61"/>
      <c r="DH460" s="61"/>
      <c r="DI460" s="61"/>
      <c r="DJ460" s="61"/>
      <c r="DK460" s="61"/>
      <c r="DL460" s="61"/>
      <c r="DM460" s="61"/>
      <c r="DN460" s="61"/>
      <c r="DO460" s="61"/>
      <c r="DP460" s="61"/>
      <c r="DQ460" s="61"/>
      <c r="DR460" s="61"/>
      <c r="DS460" s="61"/>
      <c r="DT460" s="61"/>
      <c r="DU460" s="61"/>
      <c r="DV460" s="61"/>
      <c r="DW460" s="61"/>
      <c r="DX460" s="61"/>
      <c r="DY460" s="61"/>
      <c r="DZ460" s="61"/>
      <c r="EA460" s="61"/>
      <c r="EB460" s="61"/>
      <c r="EC460" s="61"/>
      <c r="ED460" s="61"/>
      <c r="EE460" s="61"/>
      <c r="EF460" s="61"/>
      <c r="EG460" s="61"/>
      <c r="EH460" s="61"/>
      <c r="EI460" s="61"/>
      <c r="EJ460" s="61"/>
      <c r="EK460" s="61"/>
      <c r="EL460" s="61"/>
      <c r="EM460" s="61"/>
      <c r="EN460" s="61"/>
      <c r="EO460" s="61"/>
      <c r="EP460" s="61"/>
      <c r="EQ460" s="61"/>
      <c r="ER460" s="61"/>
      <c r="ES460" s="61"/>
      <c r="ET460" s="61"/>
      <c r="EU460" s="61"/>
      <c r="EV460" s="61"/>
      <c r="EW460" s="61"/>
    </row>
    <row r="461" spans="1:153">
      <c r="A461" s="56">
        <v>40603</v>
      </c>
      <c r="B461" s="57">
        <v>2011</v>
      </c>
      <c r="C461" s="71">
        <v>7.7080000000000002</v>
      </c>
      <c r="D461" s="61">
        <v>0.105</v>
      </c>
      <c r="E461" s="61">
        <v>1418.8140000000001</v>
      </c>
      <c r="F461" s="61">
        <v>59.59</v>
      </c>
      <c r="G461" s="61">
        <v>7.6029999999999998</v>
      </c>
      <c r="H461" s="61">
        <v>54.942999999999998</v>
      </c>
      <c r="I461" s="61">
        <v>203.90799999999999</v>
      </c>
      <c r="J461" s="61">
        <v>-148.96600000000001</v>
      </c>
      <c r="K461" s="61">
        <v>1380.624</v>
      </c>
      <c r="L461" s="61">
        <v>164.12100000000001</v>
      </c>
      <c r="M461" s="61">
        <v>1105.7270000000001</v>
      </c>
      <c r="N461" s="61">
        <v>46.441000000000003</v>
      </c>
      <c r="O461" s="71">
        <v>5.9260000000000002</v>
      </c>
      <c r="P461" s="60">
        <v>186.44399999999999</v>
      </c>
      <c r="Q461" s="61">
        <v>170.005</v>
      </c>
      <c r="R461" s="61">
        <v>394.959</v>
      </c>
      <c r="S461" s="61">
        <v>826.94799999999998</v>
      </c>
      <c r="T461" s="61">
        <v>302.50299999999999</v>
      </c>
      <c r="U461" s="61">
        <v>18.388000000000002</v>
      </c>
      <c r="V461" s="61">
        <v>8.6460000000000008</v>
      </c>
      <c r="W461" s="61">
        <v>102.452</v>
      </c>
      <c r="X461" s="61">
        <v>186.44399999999999</v>
      </c>
      <c r="Y461" s="61">
        <v>38.511000000000003</v>
      </c>
      <c r="Z461" s="61">
        <v>159.375</v>
      </c>
      <c r="AA461" s="61">
        <v>384.32900000000001</v>
      </c>
      <c r="AB461" s="60">
        <v>816.31799999999998</v>
      </c>
      <c r="AC461" s="62">
        <v>75.033000000000001</v>
      </c>
      <c r="AD461" s="61">
        <v>3.1509999999999998</v>
      </c>
      <c r="AE461" s="61">
        <v>0.41199999999999998</v>
      </c>
      <c r="AF461" s="61"/>
      <c r="AG461" s="61"/>
      <c r="AH461" s="61"/>
      <c r="AI461" s="61">
        <v>75.033000000000001</v>
      </c>
      <c r="AJ461" s="61">
        <v>3.1509999999999998</v>
      </c>
      <c r="AK461" s="62">
        <v>0.41199999999999998</v>
      </c>
      <c r="AL461" s="63">
        <f t="shared" si="41"/>
        <v>3.1509999999999998</v>
      </c>
      <c r="AM461" s="64">
        <v>0.41199999999999998</v>
      </c>
      <c r="AN461" s="65" t="e">
        <v>#N/A</v>
      </c>
      <c r="AO461" s="61" t="e">
        <v>#N/A</v>
      </c>
      <c r="AP461" s="61" t="e">
        <v>#N/A</v>
      </c>
      <c r="AQ461" s="61" t="e">
        <v>#N/A</v>
      </c>
      <c r="AR461" s="61" t="e">
        <v>#N/A</v>
      </c>
      <c r="AS461" s="61" t="e">
        <v>#N/A</v>
      </c>
      <c r="AT461" s="61" t="e">
        <v>#N/A</v>
      </c>
      <c r="AU461" s="61" t="e">
        <v>#N/A</v>
      </c>
      <c r="AV461" s="61" t="e">
        <v>#N/A</v>
      </c>
      <c r="AW461" s="61" t="e">
        <v>#N/A</v>
      </c>
      <c r="AX461" s="65" t="e">
        <v>#N/A</v>
      </c>
      <c r="AY461" s="66">
        <v>3.363</v>
      </c>
      <c r="AZ461" s="61">
        <v>5.6959999999999997</v>
      </c>
      <c r="BA461" s="61">
        <v>44.526000000000003</v>
      </c>
      <c r="BB461" s="61">
        <v>53.585999999999999</v>
      </c>
      <c r="BC461" s="61">
        <v>2.5999999999999999E-2</v>
      </c>
      <c r="BD461" s="61">
        <v>1.673</v>
      </c>
      <c r="BE461" s="61">
        <v>1.496</v>
      </c>
      <c r="BF461" s="61">
        <v>4.1000000000000002E-2</v>
      </c>
      <c r="BG461" s="61">
        <v>5.859</v>
      </c>
      <c r="BH461" s="61">
        <v>3.4169999999999998</v>
      </c>
      <c r="BI461" s="61">
        <v>0.24199999999999999</v>
      </c>
      <c r="BJ461" s="61">
        <v>9.5169999999999995</v>
      </c>
      <c r="BK461" s="66">
        <v>12.754</v>
      </c>
      <c r="BL461" s="67">
        <v>87.191999999999993</v>
      </c>
      <c r="BM461" s="61">
        <v>5.9260000000000002</v>
      </c>
      <c r="BN461" s="61">
        <v>0.41199999999999998</v>
      </c>
      <c r="BO461" s="61" t="s">
        <v>121</v>
      </c>
      <c r="BP461" s="61">
        <v>93.53</v>
      </c>
      <c r="BQ461" s="61">
        <v>300.65699999999998</v>
      </c>
      <c r="BR461" s="61">
        <v>12.994999999999999</v>
      </c>
      <c r="BS461" s="61">
        <v>1.1299999999999999</v>
      </c>
      <c r="BT461" s="61">
        <v>102.40900000000001</v>
      </c>
      <c r="BU461" s="61">
        <v>15.292999999999999</v>
      </c>
      <c r="BV461" s="61">
        <v>20.91</v>
      </c>
      <c r="BW461" s="61">
        <v>36.201999999999998</v>
      </c>
      <c r="BX461" s="67">
        <v>453.39400000000001</v>
      </c>
      <c r="BY461" s="68">
        <v>134107</v>
      </c>
      <c r="BZ461" s="68">
        <v>125398</v>
      </c>
      <c r="CA461" s="69">
        <v>5885</v>
      </c>
      <c r="CB461" s="68">
        <v>149239</v>
      </c>
      <c r="CC461" s="68">
        <v>20182</v>
      </c>
      <c r="CD461" s="68">
        <v>113713</v>
      </c>
      <c r="CE461" s="64"/>
      <c r="CF461" s="64"/>
      <c r="CG461" s="70">
        <f t="shared" si="37"/>
        <v>6268.0379999999996</v>
      </c>
      <c r="CH461" s="70">
        <f t="shared" si="38"/>
        <v>247.17</v>
      </c>
      <c r="CI461" s="70">
        <f t="shared" si="39"/>
        <v>847.64400000000001</v>
      </c>
      <c r="CJ461" s="70">
        <f t="shared" si="40"/>
        <v>5632.4939999999997</v>
      </c>
      <c r="CK461" s="70">
        <f t="shared" si="40"/>
        <v>5266.7160000000003</v>
      </c>
      <c r="CL461" s="70">
        <f t="shared" si="36"/>
        <v>4775.9459999999999</v>
      </c>
      <c r="CM461" s="61"/>
      <c r="CN461" s="61"/>
      <c r="CO461" s="61"/>
      <c r="CP461" s="61"/>
      <c r="CQ461" s="61"/>
      <c r="CR461" s="61"/>
      <c r="CS461" s="61"/>
      <c r="CT461" s="61"/>
      <c r="CU461" s="61"/>
      <c r="CV461" s="61"/>
      <c r="CW461" s="61"/>
      <c r="CX461" s="61"/>
      <c r="CY461" s="61"/>
      <c r="CZ461" s="61"/>
      <c r="DA461" s="61"/>
      <c r="DB461" s="61"/>
      <c r="DC461" s="61"/>
      <c r="DD461" s="61"/>
      <c r="DE461" s="61"/>
      <c r="DF461" s="61"/>
      <c r="DG461" s="61"/>
      <c r="DH461" s="61"/>
      <c r="DI461" s="61"/>
      <c r="DJ461" s="61"/>
      <c r="DK461" s="61"/>
      <c r="DL461" s="61"/>
      <c r="DM461" s="61"/>
      <c r="DN461" s="61"/>
      <c r="DO461" s="61"/>
      <c r="DP461" s="61"/>
      <c r="DQ461" s="61"/>
      <c r="DR461" s="61"/>
      <c r="DS461" s="61"/>
      <c r="DT461" s="61"/>
      <c r="DU461" s="61"/>
      <c r="DV461" s="61"/>
      <c r="DW461" s="61"/>
      <c r="DX461" s="61"/>
      <c r="DY461" s="61"/>
      <c r="DZ461" s="61"/>
      <c r="EA461" s="61"/>
      <c r="EB461" s="61"/>
      <c r="EC461" s="61"/>
      <c r="ED461" s="61"/>
      <c r="EE461" s="61"/>
      <c r="EF461" s="61"/>
      <c r="EG461" s="61"/>
      <c r="EH461" s="61"/>
      <c r="EI461" s="61"/>
      <c r="EJ461" s="61"/>
      <c r="EK461" s="61"/>
      <c r="EL461" s="61"/>
      <c r="EM461" s="61"/>
      <c r="EN461" s="61"/>
      <c r="EO461" s="61"/>
      <c r="EP461" s="61"/>
      <c r="EQ461" s="61"/>
      <c r="ER461" s="61"/>
      <c r="ES461" s="61"/>
      <c r="ET461" s="61"/>
      <c r="EU461" s="61"/>
      <c r="EV461" s="61"/>
      <c r="EW461" s="61"/>
    </row>
    <row r="462" spans="1:153">
      <c r="A462" s="56">
        <v>40634</v>
      </c>
      <c r="B462" s="57">
        <v>2011</v>
      </c>
      <c r="C462" s="71">
        <v>9.1910000000000007</v>
      </c>
      <c r="D462" s="61">
        <v>0.125</v>
      </c>
      <c r="E462" s="61">
        <v>1691.7080000000001</v>
      </c>
      <c r="F462" s="61">
        <v>71.052000000000007</v>
      </c>
      <c r="G462" s="61">
        <v>9.0660000000000007</v>
      </c>
      <c r="H462" s="61">
        <v>54.243000000000002</v>
      </c>
      <c r="I462" s="61">
        <v>229.2</v>
      </c>
      <c r="J462" s="61">
        <v>-174.95699999999999</v>
      </c>
      <c r="K462" s="61">
        <v>1408.001</v>
      </c>
      <c r="L462" s="61">
        <v>27.376999999999999</v>
      </c>
      <c r="M462" s="61">
        <v>1489.374</v>
      </c>
      <c r="N462" s="61">
        <v>62.554000000000002</v>
      </c>
      <c r="O462" s="71">
        <v>7.9820000000000002</v>
      </c>
      <c r="P462" s="60">
        <v>175.84</v>
      </c>
      <c r="Q462" s="61">
        <v>161.958</v>
      </c>
      <c r="R462" s="61">
        <v>373.48099999999999</v>
      </c>
      <c r="S462" s="61">
        <v>824.32500000000005</v>
      </c>
      <c r="T462" s="61">
        <v>303.084</v>
      </c>
      <c r="U462" s="61">
        <v>17.257999999999999</v>
      </c>
      <c r="V462" s="61">
        <v>9.8130000000000006</v>
      </c>
      <c r="W462" s="61">
        <v>120.68899999999999</v>
      </c>
      <c r="X462" s="61">
        <v>175.84</v>
      </c>
      <c r="Y462" s="61">
        <v>35.683</v>
      </c>
      <c r="Z462" s="61">
        <v>152.76300000000001</v>
      </c>
      <c r="AA462" s="61">
        <v>364.286</v>
      </c>
      <c r="AB462" s="60">
        <v>815.13</v>
      </c>
      <c r="AC462" s="62">
        <v>46.831000000000003</v>
      </c>
      <c r="AD462" s="61">
        <v>1.9670000000000001</v>
      </c>
      <c r="AE462" s="61">
        <v>0.25700000000000001</v>
      </c>
      <c r="AF462" s="61"/>
      <c r="AG462" s="61"/>
      <c r="AH462" s="61"/>
      <c r="AI462" s="61">
        <v>46.831000000000003</v>
      </c>
      <c r="AJ462" s="61">
        <v>1.9670000000000001</v>
      </c>
      <c r="AK462" s="62">
        <v>0.25700000000000001</v>
      </c>
      <c r="AL462" s="63">
        <f t="shared" si="41"/>
        <v>1.9670000000000001</v>
      </c>
      <c r="AM462" s="64">
        <v>0.25700000000000001</v>
      </c>
      <c r="AN462" s="65" t="e">
        <v>#N/A</v>
      </c>
      <c r="AO462" s="61" t="e">
        <v>#N/A</v>
      </c>
      <c r="AP462" s="61" t="e">
        <v>#N/A</v>
      </c>
      <c r="AQ462" s="61" t="e">
        <v>#N/A</v>
      </c>
      <c r="AR462" s="61" t="e">
        <v>#N/A</v>
      </c>
      <c r="AS462" s="61" t="e">
        <v>#N/A</v>
      </c>
      <c r="AT462" s="61" t="e">
        <v>#N/A</v>
      </c>
      <c r="AU462" s="61" t="e">
        <v>#N/A</v>
      </c>
      <c r="AV462" s="61" t="e">
        <v>#N/A</v>
      </c>
      <c r="AW462" s="61" t="e">
        <v>#N/A</v>
      </c>
      <c r="AX462" s="65" t="e">
        <v>#N/A</v>
      </c>
      <c r="AY462" s="66">
        <v>3.2549999999999999</v>
      </c>
      <c r="AZ462" s="61">
        <v>6.2779999999999996</v>
      </c>
      <c r="BA462" s="61">
        <v>43.09</v>
      </c>
      <c r="BB462" s="61">
        <v>52.622999999999998</v>
      </c>
      <c r="BC462" s="61">
        <v>2.5000000000000001E-2</v>
      </c>
      <c r="BD462" s="61">
        <v>1.619</v>
      </c>
      <c r="BE462" s="61">
        <v>1.669</v>
      </c>
      <c r="BF462" s="61">
        <v>4.7E-2</v>
      </c>
      <c r="BG462" s="61">
        <v>5.7060000000000004</v>
      </c>
      <c r="BH462" s="61">
        <v>3.3090000000000002</v>
      </c>
      <c r="BI462" s="61">
        <v>0.22900000000000001</v>
      </c>
      <c r="BJ462" s="61">
        <v>9.2430000000000003</v>
      </c>
      <c r="BK462" s="66">
        <v>12.603999999999999</v>
      </c>
      <c r="BL462" s="67">
        <v>82.46</v>
      </c>
      <c r="BM462" s="61">
        <v>7.9820000000000002</v>
      </c>
      <c r="BN462" s="61">
        <v>0.25700000000000001</v>
      </c>
      <c r="BO462" s="61" t="s">
        <v>121</v>
      </c>
      <c r="BP462" s="61">
        <v>90.697999999999993</v>
      </c>
      <c r="BQ462" s="61">
        <v>301.27100000000002</v>
      </c>
      <c r="BR462" s="61">
        <v>12.039</v>
      </c>
      <c r="BS462" s="61">
        <v>1.5089999999999999</v>
      </c>
      <c r="BT462" s="61">
        <v>120.639</v>
      </c>
      <c r="BU462" s="61">
        <v>11.949</v>
      </c>
      <c r="BV462" s="61">
        <v>19.687000000000001</v>
      </c>
      <c r="BW462" s="61">
        <v>31.635999999999999</v>
      </c>
      <c r="BX462" s="67">
        <v>467.09399999999999</v>
      </c>
      <c r="BY462" s="68">
        <v>125663</v>
      </c>
      <c r="BZ462" s="68">
        <v>112635</v>
      </c>
      <c r="CA462" s="69">
        <v>5716</v>
      </c>
      <c r="CB462" s="68">
        <v>142919</v>
      </c>
      <c r="CC462" s="68">
        <v>26191</v>
      </c>
      <c r="CD462" s="68">
        <v>108773</v>
      </c>
      <c r="CE462" s="64"/>
      <c r="CF462" s="64"/>
      <c r="CG462" s="70">
        <f t="shared" si="37"/>
        <v>6002.598</v>
      </c>
      <c r="CH462" s="70">
        <f t="shared" si="38"/>
        <v>240.072</v>
      </c>
      <c r="CI462" s="70">
        <f t="shared" si="39"/>
        <v>1100.0219999999999</v>
      </c>
      <c r="CJ462" s="70">
        <f t="shared" si="40"/>
        <v>5277.8459999999995</v>
      </c>
      <c r="CK462" s="70">
        <f t="shared" si="40"/>
        <v>4730.67</v>
      </c>
      <c r="CL462" s="70">
        <f t="shared" si="36"/>
        <v>4568.4660000000003</v>
      </c>
      <c r="CM462" s="61"/>
      <c r="CN462" s="61"/>
      <c r="CO462" s="61"/>
      <c r="CP462" s="61"/>
      <c r="CQ462" s="61"/>
      <c r="CR462" s="61"/>
      <c r="CS462" s="61"/>
      <c r="CT462" s="61"/>
      <c r="CU462" s="61"/>
      <c r="CV462" s="61"/>
      <c r="CW462" s="61"/>
      <c r="CX462" s="61"/>
      <c r="CY462" s="61"/>
      <c r="CZ462" s="61"/>
      <c r="DA462" s="61"/>
      <c r="DB462" s="61"/>
      <c r="DC462" s="61"/>
      <c r="DD462" s="61"/>
      <c r="DE462" s="61"/>
      <c r="DF462" s="61"/>
      <c r="DG462" s="61"/>
      <c r="DH462" s="61"/>
      <c r="DI462" s="61"/>
      <c r="DJ462" s="61"/>
      <c r="DK462" s="61"/>
      <c r="DL462" s="61"/>
      <c r="DM462" s="61"/>
      <c r="DN462" s="61"/>
      <c r="DO462" s="61"/>
      <c r="DP462" s="61"/>
      <c r="DQ462" s="61"/>
      <c r="DR462" s="61"/>
      <c r="DS462" s="61"/>
      <c r="DT462" s="61"/>
      <c r="DU462" s="61"/>
      <c r="DV462" s="61"/>
      <c r="DW462" s="61"/>
      <c r="DX462" s="61"/>
      <c r="DY462" s="61"/>
      <c r="DZ462" s="61"/>
      <c r="EA462" s="61"/>
      <c r="EB462" s="61"/>
      <c r="EC462" s="61"/>
      <c r="ED462" s="61"/>
      <c r="EE462" s="61"/>
      <c r="EF462" s="61"/>
      <c r="EG462" s="61"/>
      <c r="EH462" s="61"/>
      <c r="EI462" s="61"/>
      <c r="EJ462" s="61"/>
      <c r="EK462" s="61"/>
      <c r="EL462" s="61"/>
      <c r="EM462" s="61"/>
      <c r="EN462" s="61"/>
      <c r="EO462" s="61"/>
      <c r="EP462" s="61"/>
      <c r="EQ462" s="61"/>
      <c r="ER462" s="61"/>
      <c r="ES462" s="61"/>
      <c r="ET462" s="61"/>
      <c r="EU462" s="61"/>
      <c r="EV462" s="61"/>
      <c r="EW462" s="61"/>
    </row>
    <row r="463" spans="1:153">
      <c r="A463" s="56">
        <v>40664</v>
      </c>
      <c r="B463" s="57">
        <v>2011</v>
      </c>
      <c r="C463" s="71">
        <v>9.9860000000000007</v>
      </c>
      <c r="D463" s="61">
        <v>0.13600000000000001</v>
      </c>
      <c r="E463" s="61">
        <v>1838.0150000000001</v>
      </c>
      <c r="F463" s="61">
        <v>77.197000000000003</v>
      </c>
      <c r="G463" s="61">
        <v>9.85</v>
      </c>
      <c r="H463" s="61">
        <v>49.35</v>
      </c>
      <c r="I463" s="61">
        <v>198.24199999999999</v>
      </c>
      <c r="J463" s="61">
        <v>-148.89099999999999</v>
      </c>
      <c r="K463" s="61">
        <v>1576.299</v>
      </c>
      <c r="L463" s="61">
        <v>168.298</v>
      </c>
      <c r="M463" s="61">
        <v>1520.826</v>
      </c>
      <c r="N463" s="61">
        <v>63.875</v>
      </c>
      <c r="O463" s="71">
        <v>8.15</v>
      </c>
      <c r="P463" s="60">
        <v>177.91499999999999</v>
      </c>
      <c r="Q463" s="61">
        <v>170.15899999999999</v>
      </c>
      <c r="R463" s="61">
        <v>385.27300000000002</v>
      </c>
      <c r="S463" s="61">
        <v>845.38699999999994</v>
      </c>
      <c r="T463" s="61">
        <v>316.61500000000001</v>
      </c>
      <c r="U463" s="61">
        <v>18.193999999999999</v>
      </c>
      <c r="V463" s="61">
        <v>10.927</v>
      </c>
      <c r="W463" s="61">
        <v>114.378</v>
      </c>
      <c r="X463" s="61">
        <v>177.91499999999999</v>
      </c>
      <c r="Y463" s="61">
        <v>37.198999999999998</v>
      </c>
      <c r="Z463" s="61">
        <v>163.99700000000001</v>
      </c>
      <c r="AA463" s="61">
        <v>379.11</v>
      </c>
      <c r="AB463" s="60">
        <v>839.22400000000005</v>
      </c>
      <c r="AC463" s="62">
        <v>179.18199999999999</v>
      </c>
      <c r="AD463" s="61">
        <v>7.5259999999999998</v>
      </c>
      <c r="AE463" s="61">
        <v>0.98399999999999999</v>
      </c>
      <c r="AF463" s="61"/>
      <c r="AG463" s="61"/>
      <c r="AH463" s="61"/>
      <c r="AI463" s="61">
        <v>179.18199999999999</v>
      </c>
      <c r="AJ463" s="61">
        <v>7.5259999999999998</v>
      </c>
      <c r="AK463" s="62">
        <v>0.98399999999999999</v>
      </c>
      <c r="AL463" s="63">
        <f t="shared" si="41"/>
        <v>7.5259999999999998</v>
      </c>
      <c r="AM463" s="64">
        <v>0.98399999999999999</v>
      </c>
      <c r="AN463" s="65" t="e">
        <v>#N/A</v>
      </c>
      <c r="AO463" s="61" t="e">
        <v>#N/A</v>
      </c>
      <c r="AP463" s="61" t="e">
        <v>#N/A</v>
      </c>
      <c r="AQ463" s="61" t="e">
        <v>#N/A</v>
      </c>
      <c r="AR463" s="61" t="e">
        <v>#N/A</v>
      </c>
      <c r="AS463" s="61" t="e">
        <v>#N/A</v>
      </c>
      <c r="AT463" s="61" t="e">
        <v>#N/A</v>
      </c>
      <c r="AU463" s="61" t="e">
        <v>#N/A</v>
      </c>
      <c r="AV463" s="61" t="e">
        <v>#N/A</v>
      </c>
      <c r="AW463" s="61" t="e">
        <v>#N/A</v>
      </c>
      <c r="AX463" s="65" t="e">
        <v>#N/A</v>
      </c>
      <c r="AY463" s="66">
        <v>3.363</v>
      </c>
      <c r="AZ463" s="61">
        <v>6.931</v>
      </c>
      <c r="BA463" s="61">
        <v>44.526000000000003</v>
      </c>
      <c r="BB463" s="61">
        <v>54.82</v>
      </c>
      <c r="BC463" s="61">
        <v>2.5999999999999999E-2</v>
      </c>
      <c r="BD463" s="61">
        <v>1.673</v>
      </c>
      <c r="BE463" s="61">
        <v>1.8460000000000001</v>
      </c>
      <c r="BF463" s="61">
        <v>4.3999999999999997E-2</v>
      </c>
      <c r="BG463" s="61">
        <v>5.8609999999999998</v>
      </c>
      <c r="BH463" s="61">
        <v>3.6309999999999998</v>
      </c>
      <c r="BI463" s="61">
        <v>0.25</v>
      </c>
      <c r="BJ463" s="61">
        <v>9.7420000000000009</v>
      </c>
      <c r="BK463" s="66">
        <v>13.331</v>
      </c>
      <c r="BL463" s="67">
        <v>90.001000000000005</v>
      </c>
      <c r="BM463" s="61">
        <v>8.15</v>
      </c>
      <c r="BN463" s="61">
        <v>0.98399999999999999</v>
      </c>
      <c r="BO463" s="61" t="s">
        <v>121</v>
      </c>
      <c r="BP463" s="61">
        <v>99.135000000000005</v>
      </c>
      <c r="BQ463" s="61">
        <v>314.66300000000001</v>
      </c>
      <c r="BR463" s="61">
        <v>12.801</v>
      </c>
      <c r="BS463" s="61">
        <v>1.7549999999999999</v>
      </c>
      <c r="BT463" s="61">
        <v>114.331</v>
      </c>
      <c r="BU463" s="61">
        <v>13.180999999999999</v>
      </c>
      <c r="BV463" s="61">
        <v>20.526</v>
      </c>
      <c r="BW463" s="61">
        <v>33.707999999999998</v>
      </c>
      <c r="BX463" s="67">
        <v>477.25799999999998</v>
      </c>
      <c r="BY463" s="68">
        <v>132783</v>
      </c>
      <c r="BZ463" s="68">
        <v>114681</v>
      </c>
      <c r="CA463" s="69">
        <v>5264</v>
      </c>
      <c r="CB463" s="68">
        <v>144847</v>
      </c>
      <c r="CC463" s="68">
        <v>22569</v>
      </c>
      <c r="CD463" s="68">
        <v>117271</v>
      </c>
      <c r="CE463" s="64"/>
      <c r="CF463" s="64"/>
      <c r="CG463" s="70">
        <f t="shared" si="37"/>
        <v>6083.5739999999996</v>
      </c>
      <c r="CH463" s="70">
        <f t="shared" si="38"/>
        <v>221.08799999999999</v>
      </c>
      <c r="CI463" s="70">
        <f t="shared" si="39"/>
        <v>947.89800000000002</v>
      </c>
      <c r="CJ463" s="70">
        <f t="shared" si="40"/>
        <v>5576.8860000000004</v>
      </c>
      <c r="CK463" s="70">
        <f t="shared" si="40"/>
        <v>4816.6019999999999</v>
      </c>
      <c r="CL463" s="70">
        <f t="shared" si="36"/>
        <v>4925.3819999999996</v>
      </c>
      <c r="CM463" s="61"/>
      <c r="CN463" s="61"/>
      <c r="CO463" s="61"/>
      <c r="CP463" s="61"/>
      <c r="CQ463" s="61"/>
      <c r="CR463" s="61"/>
      <c r="CS463" s="61"/>
      <c r="CT463" s="61"/>
      <c r="CU463" s="61"/>
      <c r="CV463" s="61"/>
      <c r="CW463" s="61"/>
      <c r="CX463" s="61"/>
      <c r="CY463" s="61"/>
      <c r="CZ463" s="61"/>
      <c r="DA463" s="61"/>
      <c r="DB463" s="61"/>
      <c r="DC463" s="61"/>
      <c r="DD463" s="61"/>
      <c r="DE463" s="61"/>
      <c r="DF463" s="61"/>
      <c r="DG463" s="61"/>
      <c r="DH463" s="61"/>
      <c r="DI463" s="61"/>
      <c r="DJ463" s="61"/>
      <c r="DK463" s="61"/>
      <c r="DL463" s="61"/>
      <c r="DM463" s="61"/>
      <c r="DN463" s="61"/>
      <c r="DO463" s="61"/>
      <c r="DP463" s="61"/>
      <c r="DQ463" s="61"/>
      <c r="DR463" s="61"/>
      <c r="DS463" s="61"/>
      <c r="DT463" s="61"/>
      <c r="DU463" s="61"/>
      <c r="DV463" s="61"/>
      <c r="DW463" s="61"/>
      <c r="DX463" s="61"/>
      <c r="DY463" s="61"/>
      <c r="DZ463" s="61"/>
      <c r="EA463" s="61"/>
      <c r="EB463" s="61"/>
      <c r="EC463" s="61"/>
      <c r="ED463" s="61"/>
      <c r="EE463" s="61"/>
      <c r="EF463" s="61"/>
      <c r="EG463" s="61"/>
      <c r="EH463" s="61"/>
      <c r="EI463" s="61"/>
      <c r="EJ463" s="61"/>
      <c r="EK463" s="61"/>
      <c r="EL463" s="61"/>
      <c r="EM463" s="61"/>
      <c r="EN463" s="61"/>
      <c r="EO463" s="61"/>
      <c r="EP463" s="61"/>
      <c r="EQ463" s="61"/>
      <c r="ER463" s="61"/>
      <c r="ES463" s="61"/>
      <c r="ET463" s="61"/>
      <c r="EU463" s="61"/>
      <c r="EV463" s="61"/>
      <c r="EW463" s="61"/>
    </row>
    <row r="464" spans="1:153">
      <c r="A464" s="56">
        <v>40695</v>
      </c>
      <c r="B464" s="57">
        <v>2011</v>
      </c>
      <c r="C464" s="71">
        <v>10.529</v>
      </c>
      <c r="D464" s="61">
        <v>0.14299999999999999</v>
      </c>
      <c r="E464" s="61">
        <v>1937.8820000000001</v>
      </c>
      <c r="F464" s="61">
        <v>81.391000000000005</v>
      </c>
      <c r="G464" s="61">
        <v>10.385</v>
      </c>
      <c r="H464" s="61">
        <v>49.62</v>
      </c>
      <c r="I464" s="61">
        <v>120.45399999999999</v>
      </c>
      <c r="J464" s="61">
        <v>-70.834000000000003</v>
      </c>
      <c r="K464" s="61">
        <v>1523.5820000000001</v>
      </c>
      <c r="L464" s="61">
        <v>-52.716999999999999</v>
      </c>
      <c r="M464" s="61">
        <v>1919.7650000000001</v>
      </c>
      <c r="N464" s="61">
        <v>80.63</v>
      </c>
      <c r="O464" s="71">
        <v>10.288</v>
      </c>
      <c r="P464" s="60">
        <v>184.15100000000001</v>
      </c>
      <c r="Q464" s="61">
        <v>167.46700000000001</v>
      </c>
      <c r="R464" s="61">
        <v>389.673</v>
      </c>
      <c r="S464" s="61">
        <v>837.12599999999998</v>
      </c>
      <c r="T464" s="61">
        <v>312.38099999999997</v>
      </c>
      <c r="U464" s="61">
        <v>17.02</v>
      </c>
      <c r="V464" s="61">
        <v>11.321</v>
      </c>
      <c r="W464" s="61">
        <v>106.73099999999999</v>
      </c>
      <c r="X464" s="61">
        <v>184.15100000000001</v>
      </c>
      <c r="Y464" s="61">
        <v>38.055999999999997</v>
      </c>
      <c r="Z464" s="61">
        <v>166.881</v>
      </c>
      <c r="AA464" s="61">
        <v>389.08699999999999</v>
      </c>
      <c r="AB464" s="60">
        <v>836.54</v>
      </c>
      <c r="AC464" s="62">
        <v>108.66</v>
      </c>
      <c r="AD464" s="61">
        <v>4.5640000000000001</v>
      </c>
      <c r="AE464" s="61">
        <v>0.59699999999999998</v>
      </c>
      <c r="AF464" s="61"/>
      <c r="AG464" s="61"/>
      <c r="AH464" s="61"/>
      <c r="AI464" s="61">
        <v>108.66</v>
      </c>
      <c r="AJ464" s="61">
        <v>4.5640000000000001</v>
      </c>
      <c r="AK464" s="62">
        <v>0.59699999999999998</v>
      </c>
      <c r="AL464" s="63">
        <f t="shared" si="41"/>
        <v>4.5640000000000001</v>
      </c>
      <c r="AM464" s="64">
        <v>0.59699999999999998</v>
      </c>
      <c r="AN464" s="65" t="e">
        <v>#N/A</v>
      </c>
      <c r="AO464" s="61" t="e">
        <v>#N/A</v>
      </c>
      <c r="AP464" s="61" t="e">
        <v>#N/A</v>
      </c>
      <c r="AQ464" s="61" t="e">
        <v>#N/A</v>
      </c>
      <c r="AR464" s="61" t="e">
        <v>#N/A</v>
      </c>
      <c r="AS464" s="61" t="e">
        <v>#N/A</v>
      </c>
      <c r="AT464" s="61" t="e">
        <v>#N/A</v>
      </c>
      <c r="AU464" s="61" t="e">
        <v>#N/A</v>
      </c>
      <c r="AV464" s="61" t="e">
        <v>#N/A</v>
      </c>
      <c r="AW464" s="61" t="e">
        <v>#N/A</v>
      </c>
      <c r="AX464" s="65" t="e">
        <v>#N/A</v>
      </c>
      <c r="AY464" s="66">
        <v>3.2549999999999999</v>
      </c>
      <c r="AZ464" s="61">
        <v>6.9930000000000003</v>
      </c>
      <c r="BA464" s="61">
        <v>43.09</v>
      </c>
      <c r="BB464" s="61">
        <v>53.338000000000001</v>
      </c>
      <c r="BC464" s="61">
        <v>2.4E-2</v>
      </c>
      <c r="BD464" s="61">
        <v>1.619</v>
      </c>
      <c r="BE464" s="61">
        <v>1.8819999999999999</v>
      </c>
      <c r="BF464" s="61">
        <v>0.04</v>
      </c>
      <c r="BG464" s="61">
        <v>5.6970000000000001</v>
      </c>
      <c r="BH464" s="61">
        <v>3.6970000000000001</v>
      </c>
      <c r="BI464" s="61">
        <v>0.25600000000000001</v>
      </c>
      <c r="BJ464" s="61">
        <v>9.65</v>
      </c>
      <c r="BK464" s="66">
        <v>13.214</v>
      </c>
      <c r="BL464" s="67">
        <v>92.212999999999994</v>
      </c>
      <c r="BM464" s="61">
        <v>10.288</v>
      </c>
      <c r="BN464" s="61">
        <v>0.59699999999999998</v>
      </c>
      <c r="BO464" s="61" t="s">
        <v>121</v>
      </c>
      <c r="BP464" s="61">
        <v>103.098</v>
      </c>
      <c r="BQ464" s="61">
        <v>310.89999999999998</v>
      </c>
      <c r="BR464" s="61">
        <v>11.801</v>
      </c>
      <c r="BS464" s="61">
        <v>2.044</v>
      </c>
      <c r="BT464" s="61">
        <v>106.68899999999999</v>
      </c>
      <c r="BU464" s="61">
        <v>15.634</v>
      </c>
      <c r="BV464" s="61">
        <v>21.544</v>
      </c>
      <c r="BW464" s="61">
        <v>37.177999999999997</v>
      </c>
      <c r="BX464" s="67">
        <v>468.61200000000002</v>
      </c>
      <c r="BY464" s="68">
        <v>134123</v>
      </c>
      <c r="BZ464" s="68">
        <v>118423</v>
      </c>
      <c r="CA464" s="69">
        <v>3814</v>
      </c>
      <c r="CB464" s="68">
        <v>143870</v>
      </c>
      <c r="CC464" s="68">
        <v>21771</v>
      </c>
      <c r="CD464" s="68">
        <v>116585</v>
      </c>
      <c r="CE464" s="64"/>
      <c r="CF464" s="64"/>
      <c r="CG464" s="70">
        <f t="shared" si="37"/>
        <v>6042.54</v>
      </c>
      <c r="CH464" s="70">
        <f t="shared" si="38"/>
        <v>160.18799999999999</v>
      </c>
      <c r="CI464" s="70">
        <f t="shared" si="39"/>
        <v>914.38199999999995</v>
      </c>
      <c r="CJ464" s="70">
        <f t="shared" si="40"/>
        <v>5633.1660000000002</v>
      </c>
      <c r="CK464" s="70">
        <f t="shared" si="40"/>
        <v>4973.7659999999996</v>
      </c>
      <c r="CL464" s="70">
        <f t="shared" si="36"/>
        <v>4896.57</v>
      </c>
      <c r="CM464" s="61"/>
      <c r="CN464" s="61"/>
      <c r="CO464" s="61"/>
      <c r="CP464" s="61"/>
      <c r="CQ464" s="61"/>
      <c r="CR464" s="61"/>
      <c r="CS464" s="61"/>
      <c r="CT464" s="61"/>
      <c r="CU464" s="61"/>
      <c r="CV464" s="61"/>
      <c r="CW464" s="61"/>
      <c r="CX464" s="61"/>
      <c r="CY464" s="61"/>
      <c r="CZ464" s="61"/>
      <c r="DA464" s="61"/>
      <c r="DB464" s="61"/>
      <c r="DC464" s="61"/>
      <c r="DD464" s="61"/>
      <c r="DE464" s="61"/>
      <c r="DF464" s="61"/>
      <c r="DG464" s="61"/>
      <c r="DH464" s="61"/>
      <c r="DI464" s="61"/>
      <c r="DJ464" s="61"/>
      <c r="DK464" s="61"/>
      <c r="DL464" s="61"/>
      <c r="DM464" s="61"/>
      <c r="DN464" s="61"/>
      <c r="DO464" s="61"/>
      <c r="DP464" s="61"/>
      <c r="DQ464" s="61"/>
      <c r="DR464" s="61"/>
      <c r="DS464" s="61"/>
      <c r="DT464" s="61"/>
      <c r="DU464" s="61"/>
      <c r="DV464" s="61"/>
      <c r="DW464" s="61"/>
      <c r="DX464" s="61"/>
      <c r="DY464" s="61"/>
      <c r="DZ464" s="61"/>
      <c r="EA464" s="61"/>
      <c r="EB464" s="61"/>
      <c r="EC464" s="61"/>
      <c r="ED464" s="61"/>
      <c r="EE464" s="61"/>
      <c r="EF464" s="61"/>
      <c r="EG464" s="61"/>
      <c r="EH464" s="61"/>
      <c r="EI464" s="61"/>
      <c r="EJ464" s="61"/>
      <c r="EK464" s="61"/>
      <c r="EL464" s="61"/>
      <c r="EM464" s="61"/>
      <c r="EN464" s="61"/>
      <c r="EO464" s="61"/>
      <c r="EP464" s="61"/>
      <c r="EQ464" s="61"/>
      <c r="ER464" s="61"/>
      <c r="ES464" s="61"/>
      <c r="ET464" s="61"/>
      <c r="EU464" s="61"/>
      <c r="EV464" s="61"/>
      <c r="EW464" s="61"/>
    </row>
    <row r="465" spans="1:153">
      <c r="A465" s="56">
        <v>40725</v>
      </c>
      <c r="B465" s="57">
        <v>2011</v>
      </c>
      <c r="C465" s="71">
        <v>11.859</v>
      </c>
      <c r="D465" s="61">
        <v>0.16200000000000001</v>
      </c>
      <c r="E465" s="61">
        <v>2182.85</v>
      </c>
      <c r="F465" s="61">
        <v>91.68</v>
      </c>
      <c r="G465" s="61">
        <v>11.698</v>
      </c>
      <c r="H465" s="61">
        <v>64.320999999999998</v>
      </c>
      <c r="I465" s="61">
        <v>146.63300000000001</v>
      </c>
      <c r="J465" s="61">
        <v>-82.311000000000007</v>
      </c>
      <c r="K465" s="61">
        <v>1747.585</v>
      </c>
      <c r="L465" s="61">
        <v>224.00200000000001</v>
      </c>
      <c r="M465" s="61">
        <v>1876.537</v>
      </c>
      <c r="N465" s="61">
        <v>78.814999999999998</v>
      </c>
      <c r="O465" s="71">
        <v>10.055999999999999</v>
      </c>
      <c r="P465" s="60">
        <v>189.298</v>
      </c>
      <c r="Q465" s="61">
        <v>170.816</v>
      </c>
      <c r="R465" s="61">
        <v>399.45400000000001</v>
      </c>
      <c r="S465" s="61">
        <v>805.36699999999996</v>
      </c>
      <c r="T465" s="61">
        <v>303.96199999999999</v>
      </c>
      <c r="U465" s="61">
        <v>17.722999999999999</v>
      </c>
      <c r="V465" s="61">
        <v>11.468999999999999</v>
      </c>
      <c r="W465" s="61">
        <v>72.760000000000005</v>
      </c>
      <c r="X465" s="61">
        <v>189.298</v>
      </c>
      <c r="Y465" s="61">
        <v>39.340000000000003</v>
      </c>
      <c r="Z465" s="61">
        <v>161.191</v>
      </c>
      <c r="AA465" s="61">
        <v>389.82799999999997</v>
      </c>
      <c r="AB465" s="60">
        <v>795.74099999999999</v>
      </c>
      <c r="AC465" s="62">
        <v>153.96100000000001</v>
      </c>
      <c r="AD465" s="61">
        <v>6.4660000000000002</v>
      </c>
      <c r="AE465" s="61">
        <v>0.84599999999999997</v>
      </c>
      <c r="AF465" s="61"/>
      <c r="AG465" s="61"/>
      <c r="AH465" s="61"/>
      <c r="AI465" s="61">
        <v>153.96100000000001</v>
      </c>
      <c r="AJ465" s="61">
        <v>6.4660000000000002</v>
      </c>
      <c r="AK465" s="62">
        <v>0.84599999999999997</v>
      </c>
      <c r="AL465" s="63">
        <f t="shared" si="41"/>
        <v>6.4660000000000002</v>
      </c>
      <c r="AM465" s="64">
        <v>0.84599999999999997</v>
      </c>
      <c r="AN465" s="65" t="e">
        <v>#N/A</v>
      </c>
      <c r="AO465" s="61" t="e">
        <v>#N/A</v>
      </c>
      <c r="AP465" s="61" t="e">
        <v>#N/A</v>
      </c>
      <c r="AQ465" s="61" t="e">
        <v>#N/A</v>
      </c>
      <c r="AR465" s="61" t="e">
        <v>#N/A</v>
      </c>
      <c r="AS465" s="61" t="e">
        <v>#N/A</v>
      </c>
      <c r="AT465" s="61" t="e">
        <v>#N/A</v>
      </c>
      <c r="AU465" s="61" t="e">
        <v>#N/A</v>
      </c>
      <c r="AV465" s="61" t="e">
        <v>#N/A</v>
      </c>
      <c r="AW465" s="61" t="e">
        <v>#N/A</v>
      </c>
      <c r="AX465" s="65" t="e">
        <v>#N/A</v>
      </c>
      <c r="AY465" s="66">
        <v>3.363</v>
      </c>
      <c r="AZ465" s="61">
        <v>7.3410000000000002</v>
      </c>
      <c r="BA465" s="61">
        <v>44.526000000000003</v>
      </c>
      <c r="BB465" s="61">
        <v>55.231000000000002</v>
      </c>
      <c r="BC465" s="61">
        <v>2.1000000000000001E-2</v>
      </c>
      <c r="BD465" s="61">
        <v>1.673</v>
      </c>
      <c r="BE465" s="61">
        <v>1.9530000000000001</v>
      </c>
      <c r="BF465" s="61">
        <v>2.5999999999999999E-2</v>
      </c>
      <c r="BG465" s="61">
        <v>5.9009999999999998</v>
      </c>
      <c r="BH465" s="61">
        <v>3.73</v>
      </c>
      <c r="BI465" s="61">
        <v>0.23799999999999999</v>
      </c>
      <c r="BJ465" s="61">
        <v>9.8689999999999998</v>
      </c>
      <c r="BK465" s="66">
        <v>13.542</v>
      </c>
      <c r="BL465" s="67">
        <v>85.905000000000001</v>
      </c>
      <c r="BM465" s="61">
        <v>10.055999999999999</v>
      </c>
      <c r="BN465" s="61">
        <v>0.84599999999999997</v>
      </c>
      <c r="BO465" s="61" t="s">
        <v>121</v>
      </c>
      <c r="BP465" s="61">
        <v>96.808000000000007</v>
      </c>
      <c r="BQ465" s="61">
        <v>302.87799999999999</v>
      </c>
      <c r="BR465" s="61">
        <v>12.33</v>
      </c>
      <c r="BS465" s="61">
        <v>1.7549999999999999</v>
      </c>
      <c r="BT465" s="61">
        <v>72.730999999999995</v>
      </c>
      <c r="BU465" s="61">
        <v>16.96</v>
      </c>
      <c r="BV465" s="61">
        <v>22.358000000000001</v>
      </c>
      <c r="BW465" s="61">
        <v>39.317999999999998</v>
      </c>
      <c r="BX465" s="67">
        <v>429.012</v>
      </c>
      <c r="BY465" s="68">
        <v>144348</v>
      </c>
      <c r="BZ465" s="68">
        <v>110474</v>
      </c>
      <c r="CA465" s="69">
        <v>4867</v>
      </c>
      <c r="CB465" s="68">
        <v>154455</v>
      </c>
      <c r="CC465" s="68">
        <v>29464</v>
      </c>
      <c r="CD465" s="68">
        <v>124026</v>
      </c>
      <c r="CE465" s="64"/>
      <c r="CF465" s="64"/>
      <c r="CG465" s="70">
        <f t="shared" si="37"/>
        <v>6487.11</v>
      </c>
      <c r="CH465" s="70">
        <f t="shared" si="38"/>
        <v>204.41399999999999</v>
      </c>
      <c r="CI465" s="70">
        <f t="shared" si="39"/>
        <v>1237.4880000000001</v>
      </c>
      <c r="CJ465" s="70">
        <f t="shared" si="40"/>
        <v>6062.616</v>
      </c>
      <c r="CK465" s="70">
        <f t="shared" si="40"/>
        <v>4639.9080000000004</v>
      </c>
      <c r="CL465" s="70">
        <f t="shared" si="36"/>
        <v>5209.0919999999996</v>
      </c>
      <c r="CM465" s="61"/>
      <c r="CN465" s="61"/>
      <c r="CO465" s="61"/>
      <c r="CP465" s="61"/>
      <c r="CQ465" s="61"/>
      <c r="CR465" s="61"/>
      <c r="CS465" s="61"/>
      <c r="CT465" s="61"/>
      <c r="CU465" s="61"/>
      <c r="CV465" s="61"/>
      <c r="CW465" s="61"/>
      <c r="CX465" s="61"/>
      <c r="CY465" s="61"/>
      <c r="CZ465" s="61"/>
      <c r="DA465" s="61"/>
      <c r="DB465" s="61"/>
      <c r="DC465" s="61"/>
      <c r="DD465" s="61"/>
      <c r="DE465" s="61"/>
      <c r="DF465" s="61"/>
      <c r="DG465" s="61"/>
      <c r="DH465" s="61"/>
      <c r="DI465" s="61"/>
      <c r="DJ465" s="61"/>
      <c r="DK465" s="61"/>
      <c r="DL465" s="61"/>
      <c r="DM465" s="61"/>
      <c r="DN465" s="61"/>
      <c r="DO465" s="61"/>
      <c r="DP465" s="61"/>
      <c r="DQ465" s="61"/>
      <c r="DR465" s="61"/>
      <c r="DS465" s="61"/>
      <c r="DT465" s="61"/>
      <c r="DU465" s="61"/>
      <c r="DV465" s="61"/>
      <c r="DW465" s="61"/>
      <c r="DX465" s="61"/>
      <c r="DY465" s="61"/>
      <c r="DZ465" s="61"/>
      <c r="EA465" s="61"/>
      <c r="EB465" s="61"/>
      <c r="EC465" s="61"/>
      <c r="ED465" s="61"/>
      <c r="EE465" s="61"/>
      <c r="EF465" s="61"/>
      <c r="EG465" s="61"/>
      <c r="EH465" s="61"/>
      <c r="EI465" s="61"/>
      <c r="EJ465" s="61"/>
      <c r="EK465" s="61"/>
      <c r="EL465" s="61"/>
      <c r="EM465" s="61"/>
      <c r="EN465" s="61"/>
      <c r="EO465" s="61"/>
      <c r="EP465" s="61"/>
      <c r="EQ465" s="61"/>
      <c r="ER465" s="61"/>
      <c r="ES465" s="61"/>
      <c r="ET465" s="61"/>
      <c r="EU465" s="61"/>
      <c r="EV465" s="61"/>
      <c r="EW465" s="61"/>
    </row>
    <row r="466" spans="1:153">
      <c r="A466" s="56">
        <v>40756</v>
      </c>
      <c r="B466" s="57">
        <v>2011</v>
      </c>
      <c r="C466" s="71">
        <v>12.352</v>
      </c>
      <c r="D466" s="61">
        <v>0.16800000000000001</v>
      </c>
      <c r="E466" s="61">
        <v>2273.4499999999998</v>
      </c>
      <c r="F466" s="61">
        <v>95.484999999999999</v>
      </c>
      <c r="G466" s="61">
        <v>12.183</v>
      </c>
      <c r="H466" s="61">
        <v>66.7</v>
      </c>
      <c r="I466" s="61">
        <v>73.825999999999993</v>
      </c>
      <c r="J466" s="61">
        <v>-7.125</v>
      </c>
      <c r="K466" s="61">
        <v>1833.597</v>
      </c>
      <c r="L466" s="61">
        <v>86.012</v>
      </c>
      <c r="M466" s="61">
        <v>2180.3130000000001</v>
      </c>
      <c r="N466" s="61">
        <v>91.572999999999993</v>
      </c>
      <c r="O466" s="71">
        <v>11.683999999999999</v>
      </c>
      <c r="P466" s="60">
        <v>189.48500000000001</v>
      </c>
      <c r="Q466" s="61">
        <v>173.999</v>
      </c>
      <c r="R466" s="61">
        <v>402.93099999999998</v>
      </c>
      <c r="S466" s="61">
        <v>755.38</v>
      </c>
      <c r="T466" s="61">
        <v>250.31899999999999</v>
      </c>
      <c r="U466" s="61">
        <v>17.777000000000001</v>
      </c>
      <c r="V466" s="61">
        <v>11.739000000000001</v>
      </c>
      <c r="W466" s="61">
        <v>72.613</v>
      </c>
      <c r="X466" s="61">
        <v>189.48500000000001</v>
      </c>
      <c r="Y466" s="61">
        <v>39.447000000000003</v>
      </c>
      <c r="Z466" s="61">
        <v>173.499</v>
      </c>
      <c r="AA466" s="61">
        <v>402.43200000000002</v>
      </c>
      <c r="AB466" s="60">
        <v>754.88</v>
      </c>
      <c r="AC466" s="62">
        <v>201.08</v>
      </c>
      <c r="AD466" s="61">
        <v>8.4450000000000003</v>
      </c>
      <c r="AE466" s="61">
        <v>1.105</v>
      </c>
      <c r="AF466" s="61"/>
      <c r="AG466" s="61"/>
      <c r="AH466" s="61"/>
      <c r="AI466" s="61">
        <v>201.08</v>
      </c>
      <c r="AJ466" s="61">
        <v>8.4450000000000003</v>
      </c>
      <c r="AK466" s="62">
        <v>1.105</v>
      </c>
      <c r="AL466" s="63">
        <f t="shared" si="41"/>
        <v>8.4450000000000003</v>
      </c>
      <c r="AM466" s="64">
        <v>1.105</v>
      </c>
      <c r="AN466" s="65" t="e">
        <v>#N/A</v>
      </c>
      <c r="AO466" s="61" t="e">
        <v>#N/A</v>
      </c>
      <c r="AP466" s="61" t="e">
        <v>#N/A</v>
      </c>
      <c r="AQ466" s="61" t="e">
        <v>#N/A</v>
      </c>
      <c r="AR466" s="61" t="e">
        <v>#N/A</v>
      </c>
      <c r="AS466" s="61" t="e">
        <v>#N/A</v>
      </c>
      <c r="AT466" s="61" t="e">
        <v>#N/A</v>
      </c>
      <c r="AU466" s="61" t="e">
        <v>#N/A</v>
      </c>
      <c r="AV466" s="61" t="e">
        <v>#N/A</v>
      </c>
      <c r="AW466" s="61" t="e">
        <v>#N/A</v>
      </c>
      <c r="AX466" s="65" t="e">
        <v>#N/A</v>
      </c>
      <c r="AY466" s="66">
        <v>3.363</v>
      </c>
      <c r="AZ466" s="61">
        <v>7.2649999999999997</v>
      </c>
      <c r="BA466" s="61">
        <v>44.526000000000003</v>
      </c>
      <c r="BB466" s="61">
        <v>55.155000000000001</v>
      </c>
      <c r="BC466" s="61">
        <v>1.7000000000000001E-2</v>
      </c>
      <c r="BD466" s="61">
        <v>1.673</v>
      </c>
      <c r="BE466" s="61">
        <v>1.9430000000000001</v>
      </c>
      <c r="BF466" s="61">
        <v>2.5000000000000001E-2</v>
      </c>
      <c r="BG466" s="61">
        <v>5.8739999999999997</v>
      </c>
      <c r="BH466" s="61">
        <v>3.8490000000000002</v>
      </c>
      <c r="BI466" s="61">
        <v>0.26400000000000001</v>
      </c>
      <c r="BJ466" s="61">
        <v>9.9870000000000001</v>
      </c>
      <c r="BK466" s="66">
        <v>13.645</v>
      </c>
      <c r="BL466" s="67">
        <v>95.183000000000007</v>
      </c>
      <c r="BM466" s="61">
        <v>11.683999999999999</v>
      </c>
      <c r="BN466" s="61">
        <v>1.105</v>
      </c>
      <c r="BO466" s="61" t="s">
        <v>121</v>
      </c>
      <c r="BP466" s="61">
        <v>107.97199999999999</v>
      </c>
      <c r="BQ466" s="61">
        <v>249.37100000000001</v>
      </c>
      <c r="BR466" s="61">
        <v>12.384</v>
      </c>
      <c r="BS466" s="61">
        <v>2.1150000000000002</v>
      </c>
      <c r="BT466" s="61">
        <v>72.584999999999994</v>
      </c>
      <c r="BU466" s="61">
        <v>17.169</v>
      </c>
      <c r="BV466" s="61">
        <v>22.251999999999999</v>
      </c>
      <c r="BW466" s="61">
        <v>39.42</v>
      </c>
      <c r="BX466" s="67">
        <v>375.875</v>
      </c>
      <c r="BY466" s="68">
        <v>144700</v>
      </c>
      <c r="BZ466" s="68">
        <v>124277</v>
      </c>
      <c r="CA466" s="69">
        <v>4581</v>
      </c>
      <c r="CB466" s="68">
        <v>155064</v>
      </c>
      <c r="CC466" s="68">
        <v>25886</v>
      </c>
      <c r="CD466" s="68">
        <v>124788</v>
      </c>
      <c r="CE466" s="64"/>
      <c r="CF466" s="64"/>
      <c r="CG466" s="70">
        <f t="shared" si="37"/>
        <v>6512.6880000000001</v>
      </c>
      <c r="CH466" s="70">
        <f t="shared" si="38"/>
        <v>192.40199999999999</v>
      </c>
      <c r="CI466" s="70">
        <f t="shared" si="39"/>
        <v>1087.212</v>
      </c>
      <c r="CJ466" s="70">
        <f t="shared" si="40"/>
        <v>6077.4</v>
      </c>
      <c r="CK466" s="70">
        <f t="shared" si="40"/>
        <v>5219.634</v>
      </c>
      <c r="CL466" s="70">
        <f t="shared" si="36"/>
        <v>5241.0959999999995</v>
      </c>
      <c r="CM466" s="61"/>
      <c r="CN466" s="61"/>
      <c r="CO466" s="61"/>
      <c r="CP466" s="61"/>
      <c r="CQ466" s="61"/>
      <c r="CR466" s="61"/>
      <c r="CS466" s="61"/>
      <c r="CT466" s="61"/>
      <c r="CU466" s="61"/>
      <c r="CV466" s="61"/>
      <c r="CW466" s="61"/>
      <c r="CX466" s="61"/>
      <c r="CY466" s="61"/>
      <c r="CZ466" s="61"/>
      <c r="DA466" s="61"/>
      <c r="DB466" s="61"/>
      <c r="DC466" s="61"/>
      <c r="DD466" s="61"/>
      <c r="DE466" s="61"/>
      <c r="DF466" s="61"/>
      <c r="DG466" s="61"/>
      <c r="DH466" s="61"/>
      <c r="DI466" s="61"/>
      <c r="DJ466" s="61"/>
      <c r="DK466" s="61"/>
      <c r="DL466" s="61"/>
      <c r="DM466" s="61"/>
      <c r="DN466" s="61"/>
      <c r="DO466" s="61"/>
      <c r="DP466" s="61"/>
      <c r="DQ466" s="61"/>
      <c r="DR466" s="61"/>
      <c r="DS466" s="61"/>
      <c r="DT466" s="61"/>
      <c r="DU466" s="61"/>
      <c r="DV466" s="61"/>
      <c r="DW466" s="61"/>
      <c r="DX466" s="61"/>
      <c r="DY466" s="61"/>
      <c r="DZ466" s="61"/>
      <c r="EA466" s="61"/>
      <c r="EB466" s="61"/>
      <c r="EC466" s="61"/>
      <c r="ED466" s="61"/>
      <c r="EE466" s="61"/>
      <c r="EF466" s="61"/>
      <c r="EG466" s="61"/>
      <c r="EH466" s="61"/>
      <c r="EI466" s="61"/>
      <c r="EJ466" s="61"/>
      <c r="EK466" s="61"/>
      <c r="EL466" s="61"/>
      <c r="EM466" s="61"/>
      <c r="EN466" s="61"/>
      <c r="EO466" s="61"/>
      <c r="EP466" s="61"/>
      <c r="EQ466" s="61"/>
      <c r="ER466" s="61"/>
      <c r="ES466" s="61"/>
      <c r="ET466" s="61"/>
      <c r="EU466" s="61"/>
      <c r="EV466" s="61"/>
      <c r="EW466" s="61"/>
    </row>
    <row r="467" spans="1:153">
      <c r="A467" s="56">
        <v>40787</v>
      </c>
      <c r="B467" s="57">
        <v>2011</v>
      </c>
      <c r="C467" s="71">
        <v>12.411</v>
      </c>
      <c r="D467" s="61">
        <v>0.16900000000000001</v>
      </c>
      <c r="E467" s="61">
        <v>2284.337</v>
      </c>
      <c r="F467" s="61">
        <v>95.941999999999993</v>
      </c>
      <c r="G467" s="61">
        <v>12.242000000000001</v>
      </c>
      <c r="H467" s="61">
        <v>67.478999999999999</v>
      </c>
      <c r="I467" s="61">
        <v>199.261</v>
      </c>
      <c r="J467" s="61">
        <v>-131.78200000000001</v>
      </c>
      <c r="K467" s="61">
        <v>1617.43</v>
      </c>
      <c r="L467" s="61">
        <v>-216.167</v>
      </c>
      <c r="M467" s="61">
        <v>2368.7220000000002</v>
      </c>
      <c r="N467" s="61">
        <v>99.486000000000004</v>
      </c>
      <c r="O467" s="71">
        <v>12.694000000000001</v>
      </c>
      <c r="P467" s="60">
        <v>183.60300000000001</v>
      </c>
      <c r="Q467" s="61">
        <v>165.886</v>
      </c>
      <c r="R467" s="61">
        <v>387.21800000000002</v>
      </c>
      <c r="S467" s="61">
        <v>689.26900000000001</v>
      </c>
      <c r="T467" s="61">
        <v>207.70500000000001</v>
      </c>
      <c r="U467" s="61">
        <v>17.126999999999999</v>
      </c>
      <c r="V467" s="61">
        <v>10.48</v>
      </c>
      <c r="W467" s="61">
        <v>66.739000000000004</v>
      </c>
      <c r="X467" s="61">
        <v>183.60300000000001</v>
      </c>
      <c r="Y467" s="61">
        <v>37.729999999999997</v>
      </c>
      <c r="Z467" s="61">
        <v>159.09899999999999</v>
      </c>
      <c r="AA467" s="61">
        <v>380.43200000000002</v>
      </c>
      <c r="AB467" s="60">
        <v>682.48299999999995</v>
      </c>
      <c r="AC467" s="62">
        <v>140.45400000000001</v>
      </c>
      <c r="AD467" s="61">
        <v>5.899</v>
      </c>
      <c r="AE467" s="61">
        <v>0.77200000000000002</v>
      </c>
      <c r="AF467" s="61"/>
      <c r="AG467" s="61"/>
      <c r="AH467" s="61"/>
      <c r="AI467" s="61">
        <v>140.45400000000001</v>
      </c>
      <c r="AJ467" s="61">
        <v>5.899</v>
      </c>
      <c r="AK467" s="62">
        <v>0.77200000000000002</v>
      </c>
      <c r="AL467" s="63">
        <f t="shared" si="41"/>
        <v>5.899</v>
      </c>
      <c r="AM467" s="64">
        <v>0.77200000000000002</v>
      </c>
      <c r="AN467" s="65" t="e">
        <v>#N/A</v>
      </c>
      <c r="AO467" s="61" t="e">
        <v>#N/A</v>
      </c>
      <c r="AP467" s="61" t="e">
        <v>#N/A</v>
      </c>
      <c r="AQ467" s="61" t="e">
        <v>#N/A</v>
      </c>
      <c r="AR467" s="61" t="e">
        <v>#N/A</v>
      </c>
      <c r="AS467" s="61" t="e">
        <v>#N/A</v>
      </c>
      <c r="AT467" s="61" t="e">
        <v>#N/A</v>
      </c>
      <c r="AU467" s="61" t="e">
        <v>#N/A</v>
      </c>
      <c r="AV467" s="61" t="e">
        <v>#N/A</v>
      </c>
      <c r="AW467" s="61" t="e">
        <v>#N/A</v>
      </c>
      <c r="AX467" s="65" t="e">
        <v>#N/A</v>
      </c>
      <c r="AY467" s="66">
        <v>3.2549999999999999</v>
      </c>
      <c r="AZ467" s="61">
        <v>6.6260000000000003</v>
      </c>
      <c r="BA467" s="61">
        <v>43.09</v>
      </c>
      <c r="BB467" s="61">
        <v>52.970999999999997</v>
      </c>
      <c r="BC467" s="61">
        <v>1.7999999999999999E-2</v>
      </c>
      <c r="BD467" s="61">
        <v>1.619</v>
      </c>
      <c r="BE467" s="61">
        <v>1.7529999999999999</v>
      </c>
      <c r="BF467" s="61">
        <v>0.03</v>
      </c>
      <c r="BG467" s="61">
        <v>5.665</v>
      </c>
      <c r="BH467" s="61">
        <v>3.5739999999999998</v>
      </c>
      <c r="BI467" s="61">
        <v>0.23100000000000001</v>
      </c>
      <c r="BJ467" s="61">
        <v>9.4700000000000006</v>
      </c>
      <c r="BK467" s="66">
        <v>12.89</v>
      </c>
      <c r="BL467" s="67">
        <v>83.430999999999997</v>
      </c>
      <c r="BM467" s="61">
        <v>12.694000000000001</v>
      </c>
      <c r="BN467" s="61">
        <v>0.77200000000000002</v>
      </c>
      <c r="BO467" s="61" t="s">
        <v>121</v>
      </c>
      <c r="BP467" s="61">
        <v>96.896000000000001</v>
      </c>
      <c r="BQ467" s="61">
        <v>206.50399999999999</v>
      </c>
      <c r="BR467" s="61">
        <v>11.907</v>
      </c>
      <c r="BS467" s="61">
        <v>1.7230000000000001</v>
      </c>
      <c r="BT467" s="61">
        <v>66.704999999999998</v>
      </c>
      <c r="BU467" s="61">
        <v>15.493</v>
      </c>
      <c r="BV467" s="61">
        <v>21.062000000000001</v>
      </c>
      <c r="BW467" s="61">
        <v>36.554000000000002</v>
      </c>
      <c r="BX467" s="67">
        <v>323.39400000000001</v>
      </c>
      <c r="BY467" s="68">
        <v>137294</v>
      </c>
      <c r="BZ467" s="68">
        <v>118081</v>
      </c>
      <c r="CA467" s="69">
        <v>5375</v>
      </c>
      <c r="CB467" s="68">
        <v>153399</v>
      </c>
      <c r="CC467" s="68">
        <v>27925</v>
      </c>
      <c r="CD467" s="68">
        <v>121092</v>
      </c>
      <c r="CE467" s="64"/>
      <c r="CF467" s="64"/>
      <c r="CG467" s="70">
        <f t="shared" si="37"/>
        <v>6442.7579999999998</v>
      </c>
      <c r="CH467" s="70">
        <f t="shared" si="38"/>
        <v>225.75</v>
      </c>
      <c r="CI467" s="70">
        <f t="shared" si="39"/>
        <v>1172.8499999999999</v>
      </c>
      <c r="CJ467" s="70">
        <f t="shared" si="40"/>
        <v>5766.348</v>
      </c>
      <c r="CK467" s="70">
        <f t="shared" si="40"/>
        <v>4959.402</v>
      </c>
      <c r="CL467" s="70">
        <f t="shared" si="36"/>
        <v>5085.8639999999996</v>
      </c>
      <c r="CM467" s="61"/>
      <c r="CN467" s="61"/>
      <c r="CO467" s="61"/>
      <c r="CP467" s="61"/>
      <c r="CQ467" s="61"/>
      <c r="CR467" s="61"/>
      <c r="CS467" s="61"/>
      <c r="CT467" s="61"/>
      <c r="CU467" s="61"/>
      <c r="CV467" s="61"/>
      <c r="CW467" s="61"/>
      <c r="CX467" s="61"/>
      <c r="CY467" s="61"/>
      <c r="CZ467" s="61"/>
      <c r="DA467" s="61"/>
      <c r="DB467" s="61"/>
      <c r="DC467" s="61"/>
      <c r="DD467" s="61"/>
      <c r="DE467" s="61"/>
      <c r="DF467" s="61"/>
      <c r="DG467" s="61"/>
      <c r="DH467" s="61"/>
      <c r="DI467" s="61"/>
      <c r="DJ467" s="61"/>
      <c r="DK467" s="61"/>
      <c r="DL467" s="61"/>
      <c r="DM467" s="61"/>
      <c r="DN467" s="61"/>
      <c r="DO467" s="61"/>
      <c r="DP467" s="61"/>
      <c r="DQ467" s="61"/>
      <c r="DR467" s="61"/>
      <c r="DS467" s="61"/>
      <c r="DT467" s="61"/>
      <c r="DU467" s="61"/>
      <c r="DV467" s="61"/>
      <c r="DW467" s="61"/>
      <c r="DX467" s="61"/>
      <c r="DY467" s="61"/>
      <c r="DZ467" s="61"/>
      <c r="EA467" s="61"/>
      <c r="EB467" s="61"/>
      <c r="EC467" s="61"/>
      <c r="ED467" s="61"/>
      <c r="EE467" s="61"/>
      <c r="EF467" s="61"/>
      <c r="EG467" s="61"/>
      <c r="EH467" s="61"/>
      <c r="EI467" s="61"/>
      <c r="EJ467" s="61"/>
      <c r="EK467" s="61"/>
      <c r="EL467" s="61"/>
      <c r="EM467" s="61"/>
      <c r="EN467" s="61"/>
      <c r="EO467" s="61"/>
      <c r="EP467" s="61"/>
      <c r="EQ467" s="61"/>
      <c r="ER467" s="61"/>
      <c r="ES467" s="61"/>
      <c r="ET467" s="61"/>
      <c r="EU467" s="61"/>
      <c r="EV467" s="61"/>
      <c r="EW467" s="61"/>
    </row>
    <row r="468" spans="1:153">
      <c r="A468" s="56">
        <v>40817</v>
      </c>
      <c r="B468" s="57">
        <v>2011</v>
      </c>
      <c r="C468" s="71">
        <v>13.627000000000001</v>
      </c>
      <c r="D468" s="61">
        <v>0.186</v>
      </c>
      <c r="E468" s="61">
        <v>2508.154</v>
      </c>
      <c r="F468" s="61">
        <v>105.342</v>
      </c>
      <c r="G468" s="61">
        <v>13.441000000000001</v>
      </c>
      <c r="H468" s="61">
        <v>85.009</v>
      </c>
      <c r="I468" s="61">
        <v>136.09200000000001</v>
      </c>
      <c r="J468" s="61">
        <v>-51.082999999999998</v>
      </c>
      <c r="K468" s="61">
        <v>1937.7660000000001</v>
      </c>
      <c r="L468" s="61">
        <v>320.33600000000001</v>
      </c>
      <c r="M468" s="61">
        <v>2136.7350000000001</v>
      </c>
      <c r="N468" s="61">
        <v>89.742999999999995</v>
      </c>
      <c r="O468" s="71">
        <v>11.451000000000001</v>
      </c>
      <c r="P468" s="60">
        <v>182.755</v>
      </c>
      <c r="Q468" s="61">
        <v>175.39599999999999</v>
      </c>
      <c r="R468" s="61">
        <v>397.99400000000003</v>
      </c>
      <c r="S468" s="61">
        <v>719.79899999999998</v>
      </c>
      <c r="T468" s="61">
        <v>192.25399999999999</v>
      </c>
      <c r="U468" s="61">
        <v>17.835999999999999</v>
      </c>
      <c r="V468" s="61">
        <v>9.4510000000000005</v>
      </c>
      <c r="W468" s="61">
        <v>102.265</v>
      </c>
      <c r="X468" s="61">
        <v>182.755</v>
      </c>
      <c r="Y468" s="61">
        <v>39.843000000000004</v>
      </c>
      <c r="Z468" s="61">
        <v>166.45400000000001</v>
      </c>
      <c r="AA468" s="61">
        <v>389.05200000000002</v>
      </c>
      <c r="AB468" s="60">
        <v>710.85699999999997</v>
      </c>
      <c r="AC468" s="62">
        <v>164.715</v>
      </c>
      <c r="AD468" s="61">
        <v>6.9180000000000001</v>
      </c>
      <c r="AE468" s="61">
        <v>0.90500000000000003</v>
      </c>
      <c r="AF468" s="61"/>
      <c r="AG468" s="61">
        <v>27</v>
      </c>
      <c r="AH468" s="61">
        <v>27</v>
      </c>
      <c r="AI468" s="61">
        <v>137.715</v>
      </c>
      <c r="AJ468" s="61">
        <v>5.7839999999999998</v>
      </c>
      <c r="AK468" s="62">
        <v>0.75700000000000001</v>
      </c>
      <c r="AL468" s="63">
        <f t="shared" si="41"/>
        <v>5.7839999999999998</v>
      </c>
      <c r="AM468" s="64">
        <v>0.75700000000000001</v>
      </c>
      <c r="AN468" s="65" t="e">
        <v>#N/A</v>
      </c>
      <c r="AO468" s="61" t="e">
        <v>#N/A</v>
      </c>
      <c r="AP468" s="61" t="e">
        <v>#N/A</v>
      </c>
      <c r="AQ468" s="61" t="e">
        <v>#N/A</v>
      </c>
      <c r="AR468" s="61" t="e">
        <v>#N/A</v>
      </c>
      <c r="AS468" s="61" t="e">
        <v>#N/A</v>
      </c>
      <c r="AT468" s="61" t="e">
        <v>#N/A</v>
      </c>
      <c r="AU468" s="61" t="e">
        <v>#N/A</v>
      </c>
      <c r="AV468" s="61" t="e">
        <v>#N/A</v>
      </c>
      <c r="AW468" s="61" t="e">
        <v>#N/A</v>
      </c>
      <c r="AX468" s="65" t="e">
        <v>#N/A</v>
      </c>
      <c r="AY468" s="66">
        <v>3.363</v>
      </c>
      <c r="AZ468" s="61">
        <v>6.0389999999999997</v>
      </c>
      <c r="BA468" s="61">
        <v>44.526000000000003</v>
      </c>
      <c r="BB468" s="61">
        <v>53.929000000000002</v>
      </c>
      <c r="BC468" s="61">
        <v>1.7999999999999999E-2</v>
      </c>
      <c r="BD468" s="61">
        <v>1.673</v>
      </c>
      <c r="BE468" s="61">
        <v>1.5980000000000001</v>
      </c>
      <c r="BF468" s="61">
        <v>5.5E-2</v>
      </c>
      <c r="BG468" s="61">
        <v>5.8209999999999997</v>
      </c>
      <c r="BH468" s="61">
        <v>3.5270000000000001</v>
      </c>
      <c r="BI468" s="61">
        <v>0.246</v>
      </c>
      <c r="BJ468" s="61">
        <v>9.5939999999999994</v>
      </c>
      <c r="BK468" s="66">
        <v>12.939</v>
      </c>
      <c r="BL468" s="67">
        <v>88.697000000000003</v>
      </c>
      <c r="BM468" s="61">
        <v>11.451000000000001</v>
      </c>
      <c r="BN468" s="61">
        <v>0.75700000000000001</v>
      </c>
      <c r="BO468" s="61" t="s">
        <v>121</v>
      </c>
      <c r="BP468" s="61">
        <v>100.904</v>
      </c>
      <c r="BQ468" s="61">
        <v>191.012</v>
      </c>
      <c r="BR468" s="61">
        <v>12.443</v>
      </c>
      <c r="BS468" s="61">
        <v>1.4690000000000001</v>
      </c>
      <c r="BT468" s="61">
        <v>102.20399999999999</v>
      </c>
      <c r="BU468" s="61">
        <v>14.041</v>
      </c>
      <c r="BV468" s="61">
        <v>21.53</v>
      </c>
      <c r="BW468" s="61">
        <v>35.570999999999998</v>
      </c>
      <c r="BX468" s="67">
        <v>342.69799999999998</v>
      </c>
      <c r="BY468" s="68">
        <v>140700</v>
      </c>
      <c r="BZ468" s="68">
        <v>124105</v>
      </c>
      <c r="CA468" s="69">
        <v>3966</v>
      </c>
      <c r="CB468" s="68">
        <v>142327</v>
      </c>
      <c r="CC468" s="68">
        <v>33064</v>
      </c>
      <c r="CD468" s="68">
        <v>122368</v>
      </c>
      <c r="CE468" s="64">
        <v>10000</v>
      </c>
      <c r="CF468" s="64"/>
      <c r="CG468" s="70">
        <f t="shared" si="37"/>
        <v>5977.7340000000004</v>
      </c>
      <c r="CH468" s="70">
        <f t="shared" si="38"/>
        <v>166.572</v>
      </c>
      <c r="CI468" s="70">
        <f t="shared" si="39"/>
        <v>1388.6880000000001</v>
      </c>
      <c r="CJ468" s="70">
        <f t="shared" si="40"/>
        <v>5909.4</v>
      </c>
      <c r="CK468" s="70">
        <f t="shared" si="40"/>
        <v>5212.41</v>
      </c>
      <c r="CL468" s="70">
        <f t="shared" si="36"/>
        <v>5139.4560000000001</v>
      </c>
      <c r="CM468" s="61"/>
      <c r="CN468" s="61"/>
      <c r="CO468" s="61"/>
      <c r="CP468" s="61"/>
      <c r="CQ468" s="61"/>
      <c r="CR468" s="61"/>
      <c r="CS468" s="61"/>
      <c r="CT468" s="61"/>
      <c r="CU468" s="61"/>
      <c r="CV468" s="61"/>
      <c r="CW468" s="61"/>
      <c r="CX468" s="61"/>
      <c r="CY468" s="61"/>
      <c r="CZ468" s="61"/>
      <c r="DA468" s="61"/>
      <c r="DB468" s="61"/>
      <c r="DC468" s="61"/>
      <c r="DD468" s="61"/>
      <c r="DE468" s="61"/>
      <c r="DF468" s="61"/>
      <c r="DG468" s="61"/>
      <c r="DH468" s="61"/>
      <c r="DI468" s="61"/>
      <c r="DJ468" s="61"/>
      <c r="DK468" s="61"/>
      <c r="DL468" s="61"/>
      <c r="DM468" s="61"/>
      <c r="DN468" s="61"/>
      <c r="DO468" s="61"/>
      <c r="DP468" s="61"/>
      <c r="DQ468" s="61"/>
      <c r="DR468" s="61"/>
      <c r="DS468" s="61"/>
      <c r="DT468" s="61"/>
      <c r="DU468" s="61"/>
      <c r="DV468" s="61"/>
      <c r="DW468" s="61"/>
      <c r="DX468" s="61"/>
      <c r="DY468" s="61"/>
      <c r="DZ468" s="61"/>
      <c r="EA468" s="61"/>
      <c r="EB468" s="61"/>
      <c r="EC468" s="61"/>
      <c r="ED468" s="61"/>
      <c r="EE468" s="61"/>
      <c r="EF468" s="61"/>
      <c r="EG468" s="61"/>
      <c r="EH468" s="61"/>
      <c r="EI468" s="61"/>
      <c r="EJ468" s="61"/>
      <c r="EK468" s="61"/>
      <c r="EL468" s="61"/>
      <c r="EM468" s="61"/>
      <c r="EN468" s="61"/>
      <c r="EO468" s="61"/>
      <c r="EP468" s="61"/>
      <c r="EQ468" s="61"/>
      <c r="ER468" s="61"/>
      <c r="ES468" s="61"/>
      <c r="ET468" s="61"/>
      <c r="EU468" s="61"/>
      <c r="EV468" s="61"/>
      <c r="EW468" s="61"/>
    </row>
    <row r="469" spans="1:153">
      <c r="A469" s="56">
        <v>40848</v>
      </c>
      <c r="B469" s="57">
        <v>2011</v>
      </c>
      <c r="C469" s="71">
        <v>13.55</v>
      </c>
      <c r="D469" s="61">
        <v>0.185</v>
      </c>
      <c r="E469" s="61">
        <v>2493.9839999999999</v>
      </c>
      <c r="F469" s="61">
        <v>104.747</v>
      </c>
      <c r="G469" s="61">
        <v>13.365</v>
      </c>
      <c r="H469" s="61">
        <v>68.537999999999997</v>
      </c>
      <c r="I469" s="61">
        <v>135.464</v>
      </c>
      <c r="J469" s="61">
        <v>-66.926000000000002</v>
      </c>
      <c r="K469" s="61">
        <v>1865.65</v>
      </c>
      <c r="L469" s="61">
        <v>-72.116</v>
      </c>
      <c r="M469" s="61">
        <v>2499.174</v>
      </c>
      <c r="N469" s="61">
        <v>104.965</v>
      </c>
      <c r="O469" s="71">
        <v>13.393000000000001</v>
      </c>
      <c r="P469" s="60">
        <v>183.36699999999999</v>
      </c>
      <c r="Q469" s="61">
        <v>177.173</v>
      </c>
      <c r="R469" s="61">
        <v>400.892</v>
      </c>
      <c r="S469" s="61">
        <v>747.77599999999995</v>
      </c>
      <c r="T469" s="61">
        <v>200.93199999999999</v>
      </c>
      <c r="U469" s="61">
        <v>17.57</v>
      </c>
      <c r="V469" s="61">
        <v>7.5289999999999999</v>
      </c>
      <c r="W469" s="61">
        <v>120.85299999999999</v>
      </c>
      <c r="X469" s="61">
        <v>183.36699999999999</v>
      </c>
      <c r="Y469" s="61">
        <v>40.351999999999997</v>
      </c>
      <c r="Z469" s="61">
        <v>166.25800000000001</v>
      </c>
      <c r="AA469" s="61">
        <v>389.976</v>
      </c>
      <c r="AB469" s="60">
        <v>736.86099999999999</v>
      </c>
      <c r="AC469" s="62">
        <v>124.617</v>
      </c>
      <c r="AD469" s="61">
        <v>5.234</v>
      </c>
      <c r="AE469" s="61">
        <v>0.68500000000000005</v>
      </c>
      <c r="AF469" s="61"/>
      <c r="AG469" s="61">
        <v>11</v>
      </c>
      <c r="AH469" s="61">
        <v>-16</v>
      </c>
      <c r="AI469" s="61">
        <v>140.61699999999999</v>
      </c>
      <c r="AJ469" s="61">
        <v>5.9059999999999997</v>
      </c>
      <c r="AK469" s="62">
        <v>0.77300000000000002</v>
      </c>
      <c r="AL469" s="63">
        <f t="shared" si="41"/>
        <v>5.9059999999999997</v>
      </c>
      <c r="AM469" s="64">
        <v>0.77300000000000002</v>
      </c>
      <c r="AN469" s="65" t="e">
        <v>#N/A</v>
      </c>
      <c r="AO469" s="61" t="e">
        <v>#N/A</v>
      </c>
      <c r="AP469" s="61" t="e">
        <v>#N/A</v>
      </c>
      <c r="AQ469" s="61" t="e">
        <v>#N/A</v>
      </c>
      <c r="AR469" s="61" t="e">
        <v>#N/A</v>
      </c>
      <c r="AS469" s="61" t="e">
        <v>#N/A</v>
      </c>
      <c r="AT469" s="61" t="e">
        <v>#N/A</v>
      </c>
      <c r="AU469" s="61" t="e">
        <v>#N/A</v>
      </c>
      <c r="AV469" s="61" t="e">
        <v>#N/A</v>
      </c>
      <c r="AW469" s="61" t="e">
        <v>#N/A</v>
      </c>
      <c r="AX469" s="65" t="e">
        <v>#N/A</v>
      </c>
      <c r="AY469" s="66">
        <v>3.2549999999999999</v>
      </c>
      <c r="AZ469" s="61">
        <v>4.9539999999999997</v>
      </c>
      <c r="BA469" s="61">
        <v>43.09</v>
      </c>
      <c r="BB469" s="61">
        <v>51.298999999999999</v>
      </c>
      <c r="BC469" s="61">
        <v>1.6E-2</v>
      </c>
      <c r="BD469" s="61">
        <v>1.619</v>
      </c>
      <c r="BE469" s="61">
        <v>1.2929999999999999</v>
      </c>
      <c r="BF469" s="61">
        <v>6.3E-2</v>
      </c>
      <c r="BG469" s="61">
        <v>5.6769999999999996</v>
      </c>
      <c r="BH469" s="61">
        <v>3.694</v>
      </c>
      <c r="BI469" s="61">
        <v>0.23799999999999999</v>
      </c>
      <c r="BJ469" s="61">
        <v>9.609</v>
      </c>
      <c r="BK469" s="66">
        <v>12.6</v>
      </c>
      <c r="BL469" s="67">
        <v>85.777000000000001</v>
      </c>
      <c r="BM469" s="61">
        <v>13.393000000000001</v>
      </c>
      <c r="BN469" s="61">
        <v>0.77300000000000002</v>
      </c>
      <c r="BO469" s="61" t="s">
        <v>121</v>
      </c>
      <c r="BP469" s="61">
        <v>99.941999999999993</v>
      </c>
      <c r="BQ469" s="61">
        <v>199.495</v>
      </c>
      <c r="BR469" s="61">
        <v>12.351000000000001</v>
      </c>
      <c r="BS469" s="61">
        <v>1.0009999999999999</v>
      </c>
      <c r="BT469" s="61">
        <v>120.782</v>
      </c>
      <c r="BU469" s="61">
        <v>13.667</v>
      </c>
      <c r="BV469" s="61">
        <v>22.021999999999998</v>
      </c>
      <c r="BW469" s="61">
        <v>35.69</v>
      </c>
      <c r="BX469" s="67">
        <v>369.31900000000002</v>
      </c>
      <c r="BY469" s="68">
        <v>147072</v>
      </c>
      <c r="BZ469" s="68">
        <v>123283</v>
      </c>
      <c r="CA469" s="69">
        <v>4145</v>
      </c>
      <c r="CB469" s="68">
        <v>143857</v>
      </c>
      <c r="CC469" s="68">
        <v>28286</v>
      </c>
      <c r="CD469" s="68">
        <v>126564</v>
      </c>
      <c r="CE469" s="64"/>
      <c r="CF469" s="64"/>
      <c r="CG469" s="70">
        <f t="shared" si="37"/>
        <v>6041.9939999999997</v>
      </c>
      <c r="CH469" s="70">
        <f t="shared" si="38"/>
        <v>174.09</v>
      </c>
      <c r="CI469" s="70">
        <f t="shared" si="39"/>
        <v>1188.0119999999999</v>
      </c>
      <c r="CJ469" s="70">
        <f t="shared" si="40"/>
        <v>6177.0240000000003</v>
      </c>
      <c r="CK469" s="70">
        <f t="shared" si="40"/>
        <v>5177.8860000000004</v>
      </c>
      <c r="CL469" s="70">
        <f t="shared" si="36"/>
        <v>5315.6880000000001</v>
      </c>
      <c r="CM469" s="61"/>
      <c r="CN469" s="61"/>
      <c r="CO469" s="61"/>
      <c r="CP469" s="61"/>
      <c r="CQ469" s="61"/>
      <c r="CR469" s="61"/>
      <c r="CS469" s="61"/>
      <c r="CT469" s="61"/>
      <c r="CU469" s="61"/>
      <c r="CV469" s="61"/>
      <c r="CW469" s="61"/>
      <c r="CX469" s="61"/>
      <c r="CY469" s="61"/>
      <c r="CZ469" s="61"/>
      <c r="DA469" s="61"/>
      <c r="DB469" s="61"/>
      <c r="DC469" s="61"/>
      <c r="DD469" s="61"/>
      <c r="DE469" s="61"/>
      <c r="DF469" s="61"/>
      <c r="DG469" s="61"/>
      <c r="DH469" s="61"/>
      <c r="DI469" s="61"/>
      <c r="DJ469" s="61"/>
      <c r="DK469" s="61"/>
      <c r="DL469" s="61"/>
      <c r="DM469" s="61"/>
      <c r="DN469" s="61"/>
      <c r="DO469" s="61"/>
      <c r="DP469" s="61"/>
      <c r="DQ469" s="61"/>
      <c r="DR469" s="61"/>
      <c r="DS469" s="61"/>
      <c r="DT469" s="61"/>
      <c r="DU469" s="61"/>
      <c r="DV469" s="61"/>
      <c r="DW469" s="61"/>
      <c r="DX469" s="61"/>
      <c r="DY469" s="61"/>
      <c r="DZ469" s="61"/>
      <c r="EA469" s="61"/>
      <c r="EB469" s="61"/>
      <c r="EC469" s="61"/>
      <c r="ED469" s="61"/>
      <c r="EE469" s="61"/>
      <c r="EF469" s="61"/>
      <c r="EG469" s="61"/>
      <c r="EH469" s="61"/>
      <c r="EI469" s="61"/>
      <c r="EJ469" s="61"/>
      <c r="EK469" s="61"/>
      <c r="EL469" s="61"/>
      <c r="EM469" s="61"/>
      <c r="EN469" s="61"/>
      <c r="EO469" s="61"/>
      <c r="EP469" s="61"/>
      <c r="EQ469" s="61"/>
      <c r="ER469" s="61"/>
      <c r="ES469" s="61"/>
      <c r="ET469" s="61"/>
      <c r="EU469" s="61"/>
      <c r="EV469" s="61"/>
      <c r="EW469" s="61"/>
    </row>
    <row r="470" spans="1:153">
      <c r="A470" s="56">
        <v>40878</v>
      </c>
      <c r="B470" s="57">
        <v>2011</v>
      </c>
      <c r="C470" s="71">
        <v>14.146000000000001</v>
      </c>
      <c r="D470" s="61">
        <v>0.193</v>
      </c>
      <c r="E470" s="61">
        <v>2603.7460000000001</v>
      </c>
      <c r="F470" s="61">
        <v>109.357</v>
      </c>
      <c r="G470" s="61">
        <v>13.952999999999999</v>
      </c>
      <c r="H470" s="61">
        <v>241.43</v>
      </c>
      <c r="I470" s="61">
        <v>39.832000000000001</v>
      </c>
      <c r="J470" s="61">
        <v>201.59700000000001</v>
      </c>
      <c r="K470" s="61">
        <v>2004.6220000000001</v>
      </c>
      <c r="L470" s="61">
        <v>138.97200000000001</v>
      </c>
      <c r="M470" s="61">
        <v>2666.3710000000001</v>
      </c>
      <c r="N470" s="61">
        <v>111.988</v>
      </c>
      <c r="O470" s="71">
        <v>14.289</v>
      </c>
      <c r="P470" s="60">
        <v>193.62299999999999</v>
      </c>
      <c r="Q470" s="61">
        <v>185.58500000000001</v>
      </c>
      <c r="R470" s="61">
        <v>420.52499999999998</v>
      </c>
      <c r="S470" s="61">
        <v>780.226</v>
      </c>
      <c r="T470" s="61">
        <v>230.58</v>
      </c>
      <c r="U470" s="61">
        <v>18.260999999999999</v>
      </c>
      <c r="V470" s="61">
        <v>7.3289999999999997</v>
      </c>
      <c r="W470" s="61">
        <v>103.532</v>
      </c>
      <c r="X470" s="61">
        <v>193.62299999999999</v>
      </c>
      <c r="Y470" s="61">
        <v>41.317</v>
      </c>
      <c r="Z470" s="61">
        <v>175.792</v>
      </c>
      <c r="AA470" s="61">
        <v>410.73200000000003</v>
      </c>
      <c r="AB470" s="60">
        <v>770.43299999999999</v>
      </c>
      <c r="AC470" s="62">
        <v>154.30600000000001</v>
      </c>
      <c r="AD470" s="61">
        <v>6.4809999999999999</v>
      </c>
      <c r="AE470" s="61">
        <v>0.84799999999999998</v>
      </c>
      <c r="AF470" s="61"/>
      <c r="AG470" s="61">
        <v>7</v>
      </c>
      <c r="AH470" s="61">
        <v>-4</v>
      </c>
      <c r="AI470" s="61">
        <v>158.30600000000001</v>
      </c>
      <c r="AJ470" s="61">
        <v>6.649</v>
      </c>
      <c r="AK470" s="62">
        <v>0.87</v>
      </c>
      <c r="AL470" s="63">
        <f t="shared" si="41"/>
        <v>6.649</v>
      </c>
      <c r="AM470" s="64">
        <v>0.87</v>
      </c>
      <c r="AN470" s="65" t="e">
        <v>#N/A</v>
      </c>
      <c r="AO470" s="61" t="e">
        <v>#N/A</v>
      </c>
      <c r="AP470" s="61" t="e">
        <v>#N/A</v>
      </c>
      <c r="AQ470" s="61" t="e">
        <v>#N/A</v>
      </c>
      <c r="AR470" s="61" t="e">
        <v>#N/A</v>
      </c>
      <c r="AS470" s="61" t="e">
        <v>#N/A</v>
      </c>
      <c r="AT470" s="61" t="e">
        <v>#N/A</v>
      </c>
      <c r="AU470" s="61" t="e">
        <v>#N/A</v>
      </c>
      <c r="AV470" s="61" t="e">
        <v>#N/A</v>
      </c>
      <c r="AW470" s="61" t="e">
        <v>#N/A</v>
      </c>
      <c r="AX470" s="65" t="e">
        <v>#N/A</v>
      </c>
      <c r="AY470" s="66">
        <v>3.363</v>
      </c>
      <c r="AZ470" s="61">
        <v>4.702</v>
      </c>
      <c r="BA470" s="61">
        <v>44.526000000000003</v>
      </c>
      <c r="BB470" s="61">
        <v>52.591999999999999</v>
      </c>
      <c r="BC470" s="61">
        <v>2.1000000000000001E-2</v>
      </c>
      <c r="BD470" s="61">
        <v>1.673</v>
      </c>
      <c r="BE470" s="61">
        <v>1.2270000000000001</v>
      </c>
      <c r="BF470" s="61">
        <v>5.6000000000000001E-2</v>
      </c>
      <c r="BG470" s="61">
        <v>5.8920000000000003</v>
      </c>
      <c r="BH470" s="61">
        <v>3.6659999999999999</v>
      </c>
      <c r="BI470" s="61">
        <v>0.253</v>
      </c>
      <c r="BJ470" s="61">
        <v>9.81</v>
      </c>
      <c r="BK470" s="66">
        <v>12.787000000000001</v>
      </c>
      <c r="BL470" s="67">
        <v>91.177999999999997</v>
      </c>
      <c r="BM470" s="61">
        <v>14.289</v>
      </c>
      <c r="BN470" s="61">
        <v>0.87</v>
      </c>
      <c r="BO470" s="61" t="s">
        <v>121</v>
      </c>
      <c r="BP470" s="61">
        <v>106.337</v>
      </c>
      <c r="BQ470" s="61">
        <v>228.833</v>
      </c>
      <c r="BR470" s="61">
        <v>12.868</v>
      </c>
      <c r="BS470" s="61">
        <v>1.133</v>
      </c>
      <c r="BT470" s="61">
        <v>103.468</v>
      </c>
      <c r="BU470" s="61">
        <v>16.318000000000001</v>
      </c>
      <c r="BV470" s="61">
        <v>22.864000000000001</v>
      </c>
      <c r="BW470" s="61">
        <v>39.182000000000002</v>
      </c>
      <c r="BX470" s="67">
        <v>385.48500000000001</v>
      </c>
      <c r="BY470" s="68">
        <v>152484</v>
      </c>
      <c r="BZ470" s="68">
        <v>119448</v>
      </c>
      <c r="CA470" s="69">
        <v>5410</v>
      </c>
      <c r="CB470" s="68">
        <v>149212</v>
      </c>
      <c r="CC470" s="68">
        <v>34969</v>
      </c>
      <c r="CD470" s="68">
        <v>131789</v>
      </c>
      <c r="CE470" s="64"/>
      <c r="CF470" s="64"/>
      <c r="CG470" s="70">
        <f t="shared" si="37"/>
        <v>6266.9040000000005</v>
      </c>
      <c r="CH470" s="70">
        <f t="shared" si="38"/>
        <v>227.22</v>
      </c>
      <c r="CI470" s="70">
        <f t="shared" si="39"/>
        <v>1468.6980000000001</v>
      </c>
      <c r="CJ470" s="70">
        <f t="shared" si="40"/>
        <v>6404.3280000000004</v>
      </c>
      <c r="CK470" s="70">
        <f t="shared" si="40"/>
        <v>5016.8159999999998</v>
      </c>
      <c r="CL470" s="70">
        <f t="shared" si="36"/>
        <v>5535.1379999999999</v>
      </c>
      <c r="CM470" s="61"/>
      <c r="CN470" s="61"/>
      <c r="CO470" s="61"/>
      <c r="CP470" s="61"/>
      <c r="CQ470" s="61"/>
      <c r="CR470" s="61"/>
      <c r="CS470" s="61"/>
      <c r="CT470" s="61"/>
      <c r="CU470" s="61"/>
      <c r="CV470" s="61"/>
      <c r="CW470" s="61"/>
      <c r="CX470" s="61"/>
      <c r="CY470" s="61"/>
      <c r="CZ470" s="61"/>
      <c r="DA470" s="61"/>
      <c r="DB470" s="61"/>
      <c r="DC470" s="61"/>
      <c r="DD470" s="61"/>
      <c r="DE470" s="61"/>
      <c r="DF470" s="61"/>
      <c r="DG470" s="61"/>
      <c r="DH470" s="61"/>
      <c r="DI470" s="61"/>
      <c r="DJ470" s="61"/>
      <c r="DK470" s="61"/>
      <c r="DL470" s="61"/>
      <c r="DM470" s="61"/>
      <c r="DN470" s="61"/>
      <c r="DO470" s="61"/>
      <c r="DP470" s="61"/>
      <c r="DQ470" s="61"/>
      <c r="DR470" s="61"/>
      <c r="DS470" s="61"/>
      <c r="DT470" s="61"/>
      <c r="DU470" s="61"/>
      <c r="DV470" s="61"/>
      <c r="DW470" s="61"/>
      <c r="DX470" s="61"/>
      <c r="DY470" s="61"/>
      <c r="DZ470" s="61"/>
      <c r="EA470" s="61"/>
      <c r="EB470" s="61"/>
      <c r="EC470" s="61"/>
      <c r="ED470" s="61"/>
      <c r="EE470" s="61"/>
      <c r="EF470" s="61"/>
      <c r="EG470" s="61"/>
      <c r="EH470" s="61"/>
      <c r="EI470" s="61"/>
      <c r="EJ470" s="61"/>
      <c r="EK470" s="61"/>
      <c r="EL470" s="61"/>
      <c r="EM470" s="61"/>
      <c r="EN470" s="61"/>
      <c r="EO470" s="61"/>
      <c r="EP470" s="61"/>
      <c r="EQ470" s="61"/>
      <c r="ER470" s="61"/>
      <c r="ES470" s="61"/>
      <c r="ET470" s="61"/>
      <c r="EU470" s="61"/>
      <c r="EV470" s="61"/>
      <c r="EW470" s="61"/>
    </row>
    <row r="471" spans="1:153">
      <c r="A471" s="56">
        <v>40909</v>
      </c>
      <c r="B471" s="57">
        <v>2012</v>
      </c>
      <c r="C471" s="71">
        <v>9.5139999999999993</v>
      </c>
      <c r="D471" s="61">
        <v>0.13</v>
      </c>
      <c r="E471" s="61">
        <v>1751.085</v>
      </c>
      <c r="F471" s="61">
        <v>73.546000000000006</v>
      </c>
      <c r="G471" s="61">
        <v>9.3840000000000003</v>
      </c>
      <c r="H471" s="61">
        <v>48</v>
      </c>
      <c r="I471" s="61">
        <v>258.39100000000002</v>
      </c>
      <c r="J471" s="61">
        <v>-210.39099999999999</v>
      </c>
      <c r="K471" s="61">
        <v>2503.4070000000002</v>
      </c>
      <c r="L471" s="61">
        <v>498.78500000000003</v>
      </c>
      <c r="M471" s="61">
        <v>1041.9090000000001</v>
      </c>
      <c r="N471" s="61">
        <v>43.76</v>
      </c>
      <c r="O471" s="71">
        <v>5.5839999999999996</v>
      </c>
      <c r="P471" s="60">
        <v>184.80799999999999</v>
      </c>
      <c r="Q471" s="61">
        <v>176.18</v>
      </c>
      <c r="R471" s="61">
        <v>399.38499999999999</v>
      </c>
      <c r="S471" s="61">
        <v>773.50300000000004</v>
      </c>
      <c r="T471" s="61">
        <v>219.88800000000001</v>
      </c>
      <c r="U471" s="61">
        <v>17.399999999999999</v>
      </c>
      <c r="V471" s="61">
        <v>7.1059999999999999</v>
      </c>
      <c r="W471" s="61">
        <v>129.726</v>
      </c>
      <c r="X471" s="61">
        <v>184.80799999999999</v>
      </c>
      <c r="Y471" s="61">
        <v>38.396999999999998</v>
      </c>
      <c r="Z471" s="61">
        <v>155.006</v>
      </c>
      <c r="AA471" s="61">
        <v>378.21100000000001</v>
      </c>
      <c r="AB471" s="60">
        <v>752.32899999999995</v>
      </c>
      <c r="AC471" s="62">
        <v>100.413</v>
      </c>
      <c r="AD471" s="61">
        <v>4.2169999999999996</v>
      </c>
      <c r="AE471" s="61">
        <v>0.55200000000000005</v>
      </c>
      <c r="AF471" s="61"/>
      <c r="AG471" s="61">
        <v>7</v>
      </c>
      <c r="AH471" s="61">
        <v>0</v>
      </c>
      <c r="AI471" s="61">
        <v>100.413</v>
      </c>
      <c r="AJ471" s="61">
        <v>4.2169999999999996</v>
      </c>
      <c r="AK471" s="62">
        <v>0.55200000000000005</v>
      </c>
      <c r="AL471" s="63">
        <f t="shared" si="41"/>
        <v>4.2169999999999996</v>
      </c>
      <c r="AM471" s="64">
        <v>0.55200000000000005</v>
      </c>
      <c r="AN471" s="65" t="e">
        <v>#N/A</v>
      </c>
      <c r="AO471" s="61" t="e">
        <v>#N/A</v>
      </c>
      <c r="AP471" s="61" t="e">
        <v>#N/A</v>
      </c>
      <c r="AQ471" s="61" t="e">
        <v>#N/A</v>
      </c>
      <c r="AR471" s="61" t="e">
        <v>#N/A</v>
      </c>
      <c r="AS471" s="61" t="e">
        <v>#N/A</v>
      </c>
      <c r="AT471" s="61" t="e">
        <v>#N/A</v>
      </c>
      <c r="AU471" s="61" t="e">
        <v>#N/A</v>
      </c>
      <c r="AV471" s="61" t="e">
        <v>#N/A</v>
      </c>
      <c r="AW471" s="61" t="e">
        <v>#N/A</v>
      </c>
      <c r="AX471" s="65" t="e">
        <v>#N/A</v>
      </c>
      <c r="AY471" s="66">
        <v>3.3540000000000001</v>
      </c>
      <c r="AZ471" s="61">
        <v>4.2709999999999999</v>
      </c>
      <c r="BA471" s="61">
        <v>37.106000000000002</v>
      </c>
      <c r="BB471" s="61">
        <v>44.731000000000002</v>
      </c>
      <c r="BC471" s="61">
        <v>2.7E-2</v>
      </c>
      <c r="BD471" s="61">
        <v>1.669</v>
      </c>
      <c r="BE471" s="61">
        <v>1.611</v>
      </c>
      <c r="BF471" s="61">
        <v>5.6000000000000001E-2</v>
      </c>
      <c r="BG471" s="61">
        <v>5.1379999999999999</v>
      </c>
      <c r="BH471" s="61">
        <v>3.7770000000000001</v>
      </c>
      <c r="BI471" s="61">
        <v>0.2</v>
      </c>
      <c r="BJ471" s="61">
        <v>9.1150000000000002</v>
      </c>
      <c r="BK471" s="66">
        <v>12.478999999999999</v>
      </c>
      <c r="BL471" s="67">
        <v>81.817999999999998</v>
      </c>
      <c r="BM471" s="61">
        <v>5.5839999999999996</v>
      </c>
      <c r="BN471" s="61">
        <v>0.55200000000000005</v>
      </c>
      <c r="BO471" s="61" t="s">
        <v>121</v>
      </c>
      <c r="BP471" s="61">
        <v>87.953000000000003</v>
      </c>
      <c r="BQ471" s="61">
        <v>217.24600000000001</v>
      </c>
      <c r="BR471" s="61">
        <v>12.021000000000001</v>
      </c>
      <c r="BS471" s="61">
        <v>0.86799999999999999</v>
      </c>
      <c r="BT471" s="61">
        <v>129.649</v>
      </c>
      <c r="BU471" s="61">
        <v>16.837</v>
      </c>
      <c r="BV471" s="61">
        <v>21.706</v>
      </c>
      <c r="BW471" s="61">
        <v>38.542999999999999</v>
      </c>
      <c r="BX471" s="67">
        <v>398.327</v>
      </c>
      <c r="BY471" s="68">
        <v>139512</v>
      </c>
      <c r="BZ471" s="68">
        <v>119689</v>
      </c>
      <c r="CA471" s="69">
        <v>4863</v>
      </c>
      <c r="CB471" s="68">
        <v>147210</v>
      </c>
      <c r="CC471" s="68">
        <v>27049</v>
      </c>
      <c r="CD471" s="68">
        <v>121619</v>
      </c>
      <c r="CE471" s="64"/>
      <c r="CF471" s="64"/>
      <c r="CG471" s="70">
        <f t="shared" si="37"/>
        <v>6182.82</v>
      </c>
      <c r="CH471" s="70">
        <f t="shared" si="38"/>
        <v>204.24600000000001</v>
      </c>
      <c r="CI471" s="70">
        <f t="shared" si="39"/>
        <v>1136.058</v>
      </c>
      <c r="CJ471" s="70">
        <f t="shared" si="40"/>
        <v>5859.5039999999999</v>
      </c>
      <c r="CK471" s="70">
        <f t="shared" si="40"/>
        <v>5026.9380000000001</v>
      </c>
      <c r="CL471" s="70">
        <f t="shared" si="36"/>
        <v>5107.9979999999996</v>
      </c>
      <c r="CM471" s="61"/>
      <c r="CN471" s="61"/>
      <c r="CO471" s="61"/>
      <c r="CP471" s="61"/>
      <c r="CQ471" s="61"/>
      <c r="CR471" s="61"/>
      <c r="CS471" s="61"/>
      <c r="CT471" s="61"/>
      <c r="CU471" s="61"/>
      <c r="CV471" s="61"/>
      <c r="CW471" s="61"/>
      <c r="CX471" s="61"/>
      <c r="CY471" s="61"/>
      <c r="CZ471" s="61"/>
      <c r="DA471" s="61"/>
      <c r="DB471" s="61"/>
      <c r="DC471" s="61"/>
      <c r="DD471" s="61"/>
      <c r="DE471" s="61"/>
      <c r="DF471" s="61"/>
      <c r="DG471" s="61"/>
      <c r="DH471" s="61"/>
      <c r="DI471" s="61"/>
      <c r="DJ471" s="61"/>
      <c r="DK471" s="61"/>
      <c r="DL471" s="61"/>
      <c r="DM471" s="61"/>
      <c r="DN471" s="61"/>
      <c r="DO471" s="61"/>
      <c r="DP471" s="61"/>
      <c r="DQ471" s="61"/>
      <c r="DR471" s="61"/>
      <c r="DS471" s="61"/>
      <c r="DT471" s="61"/>
      <c r="DU471" s="61"/>
      <c r="DV471" s="61"/>
      <c r="DW471" s="61"/>
      <c r="DX471" s="61"/>
      <c r="DY471" s="61"/>
      <c r="DZ471" s="61"/>
      <c r="EA471" s="61"/>
      <c r="EB471" s="61"/>
      <c r="EC471" s="61"/>
      <c r="ED471" s="61"/>
      <c r="EE471" s="61"/>
      <c r="EF471" s="61"/>
      <c r="EG471" s="61"/>
      <c r="EH471" s="61"/>
      <c r="EI471" s="61"/>
      <c r="EJ471" s="61"/>
      <c r="EK471" s="61"/>
      <c r="EL471" s="61"/>
      <c r="EM471" s="61"/>
      <c r="EN471" s="61"/>
      <c r="EO471" s="61"/>
      <c r="EP471" s="61"/>
      <c r="EQ471" s="61"/>
      <c r="ER471" s="61"/>
      <c r="ES471" s="61"/>
      <c r="ET471" s="61"/>
      <c r="EU471" s="61"/>
      <c r="EV471" s="61"/>
      <c r="EW471" s="61"/>
    </row>
    <row r="472" spans="1:153">
      <c r="A472" s="56">
        <v>40940</v>
      </c>
      <c r="B472" s="57">
        <v>2012</v>
      </c>
      <c r="C472" s="71">
        <v>10.25</v>
      </c>
      <c r="D472" s="61">
        <v>0.14000000000000001</v>
      </c>
      <c r="E472" s="61">
        <v>1886.5609999999999</v>
      </c>
      <c r="F472" s="61">
        <v>79.236000000000004</v>
      </c>
      <c r="G472" s="61">
        <v>10.11</v>
      </c>
      <c r="H472" s="61">
        <v>72</v>
      </c>
      <c r="I472" s="61">
        <v>124.622</v>
      </c>
      <c r="J472" s="61">
        <v>-52.622</v>
      </c>
      <c r="K472" s="61">
        <v>2887.6779999999999</v>
      </c>
      <c r="L472" s="61">
        <v>384.27100000000002</v>
      </c>
      <c r="M472" s="61">
        <v>1449.6679999999999</v>
      </c>
      <c r="N472" s="61">
        <v>60.886000000000003</v>
      </c>
      <c r="O472" s="71">
        <v>7.7690000000000001</v>
      </c>
      <c r="P472" s="60">
        <v>173.56899999999999</v>
      </c>
      <c r="Q472" s="61">
        <v>163.13200000000001</v>
      </c>
      <c r="R472" s="61">
        <v>373.02800000000002</v>
      </c>
      <c r="S472" s="61">
        <v>695.572</v>
      </c>
      <c r="T472" s="61">
        <v>193.017</v>
      </c>
      <c r="U472" s="61">
        <v>16.387</v>
      </c>
      <c r="V472" s="61">
        <v>7.9690000000000003</v>
      </c>
      <c r="W472" s="61">
        <v>105.17100000000001</v>
      </c>
      <c r="X472" s="61">
        <v>173.56899999999999</v>
      </c>
      <c r="Y472" s="61">
        <v>36.328000000000003</v>
      </c>
      <c r="Z472" s="61">
        <v>151.441</v>
      </c>
      <c r="AA472" s="61">
        <v>361.33699999999999</v>
      </c>
      <c r="AB472" s="60">
        <v>683.88</v>
      </c>
      <c r="AC472" s="62">
        <v>75.94</v>
      </c>
      <c r="AD472" s="61">
        <v>3.1890000000000001</v>
      </c>
      <c r="AE472" s="61">
        <v>0.41699999999999998</v>
      </c>
      <c r="AF472" s="61"/>
      <c r="AG472" s="61">
        <v>7</v>
      </c>
      <c r="AH472" s="61">
        <v>0</v>
      </c>
      <c r="AI472" s="61">
        <v>75.94</v>
      </c>
      <c r="AJ472" s="61">
        <v>3.1890000000000001</v>
      </c>
      <c r="AK472" s="62">
        <v>0.41699999999999998</v>
      </c>
      <c r="AL472" s="63">
        <f t="shared" si="41"/>
        <v>3.1890000000000001</v>
      </c>
      <c r="AM472" s="64">
        <v>0.41699999999999998</v>
      </c>
      <c r="AN472" s="65" t="e">
        <v>#N/A</v>
      </c>
      <c r="AO472" s="61" t="e">
        <v>#N/A</v>
      </c>
      <c r="AP472" s="61" t="e">
        <v>#N/A</v>
      </c>
      <c r="AQ472" s="61" t="e">
        <v>#N/A</v>
      </c>
      <c r="AR472" s="61" t="e">
        <v>#N/A</v>
      </c>
      <c r="AS472" s="61" t="e">
        <v>#N/A</v>
      </c>
      <c r="AT472" s="61" t="e">
        <v>#N/A</v>
      </c>
      <c r="AU472" s="61" t="e">
        <v>#N/A</v>
      </c>
      <c r="AV472" s="61" t="e">
        <v>#N/A</v>
      </c>
      <c r="AW472" s="61" t="e">
        <v>#N/A</v>
      </c>
      <c r="AX472" s="65" t="e">
        <v>#N/A</v>
      </c>
      <c r="AY472" s="66">
        <v>3.1379999999999999</v>
      </c>
      <c r="AZ472" s="61">
        <v>4.6040000000000001</v>
      </c>
      <c r="BA472" s="61">
        <v>34.712000000000003</v>
      </c>
      <c r="BB472" s="61">
        <v>42.454000000000001</v>
      </c>
      <c r="BC472" s="61">
        <v>2.1999999999999999E-2</v>
      </c>
      <c r="BD472" s="61">
        <v>1.5609999999999999</v>
      </c>
      <c r="BE472" s="61">
        <v>1.752</v>
      </c>
      <c r="BF472" s="61">
        <v>4.4999999999999998E-2</v>
      </c>
      <c r="BG472" s="61">
        <v>4.8120000000000003</v>
      </c>
      <c r="BH472" s="61">
        <v>3.6219999999999999</v>
      </c>
      <c r="BI472" s="61">
        <v>0.19900000000000001</v>
      </c>
      <c r="BJ472" s="61">
        <v>8.6329999999999991</v>
      </c>
      <c r="BK472" s="66">
        <v>12.013</v>
      </c>
      <c r="BL472" s="67">
        <v>81.572000000000003</v>
      </c>
      <c r="BM472" s="61">
        <v>7.7690000000000001</v>
      </c>
      <c r="BN472" s="61">
        <v>0.41699999999999998</v>
      </c>
      <c r="BO472" s="61" t="s">
        <v>121</v>
      </c>
      <c r="BP472" s="61">
        <v>89.757999999999996</v>
      </c>
      <c r="BQ472" s="61">
        <v>190.709</v>
      </c>
      <c r="BR472" s="61">
        <v>11.356</v>
      </c>
      <c r="BS472" s="61">
        <v>1.2290000000000001</v>
      </c>
      <c r="BT472" s="61">
        <v>105.10899999999999</v>
      </c>
      <c r="BU472" s="61">
        <v>16.026</v>
      </c>
      <c r="BV472" s="61">
        <v>19.89</v>
      </c>
      <c r="BW472" s="61">
        <v>35.915999999999997</v>
      </c>
      <c r="BX472" s="67">
        <v>344.31799999999998</v>
      </c>
      <c r="BY472" s="68">
        <v>127823</v>
      </c>
      <c r="BZ472" s="68">
        <v>113763</v>
      </c>
      <c r="CA472" s="69">
        <v>4127</v>
      </c>
      <c r="CB472" s="68">
        <v>139289</v>
      </c>
      <c r="CC472" s="68">
        <v>26880</v>
      </c>
      <c r="CD472" s="68">
        <v>110048</v>
      </c>
      <c r="CE472" s="64"/>
      <c r="CF472" s="64"/>
      <c r="CG472" s="70">
        <f t="shared" si="37"/>
        <v>5850.1379999999999</v>
      </c>
      <c r="CH472" s="70">
        <f t="shared" si="38"/>
        <v>173.334</v>
      </c>
      <c r="CI472" s="70">
        <f t="shared" si="39"/>
        <v>1128.96</v>
      </c>
      <c r="CJ472" s="70">
        <f t="shared" si="40"/>
        <v>5368.5659999999998</v>
      </c>
      <c r="CK472" s="70">
        <f t="shared" si="40"/>
        <v>4778.0460000000003</v>
      </c>
      <c r="CL472" s="70">
        <f t="shared" si="36"/>
        <v>4622.0159999999996</v>
      </c>
      <c r="CM472" s="61"/>
      <c r="CN472" s="61"/>
      <c r="CO472" s="61"/>
      <c r="CP472" s="61"/>
      <c r="CQ472" s="61"/>
      <c r="CR472" s="61"/>
      <c r="CS472" s="61"/>
      <c r="CT472" s="61"/>
      <c r="CU472" s="61"/>
      <c r="CV472" s="61"/>
      <c r="CW472" s="61"/>
      <c r="CX472" s="61"/>
      <c r="CY472" s="61"/>
      <c r="CZ472" s="61"/>
      <c r="DA472" s="61"/>
      <c r="DB472" s="61"/>
      <c r="DC472" s="61"/>
      <c r="DD472" s="61"/>
      <c r="DE472" s="61"/>
      <c r="DF472" s="61"/>
      <c r="DG472" s="61"/>
      <c r="DH472" s="61"/>
      <c r="DI472" s="61"/>
      <c r="DJ472" s="61"/>
      <c r="DK472" s="61"/>
      <c r="DL472" s="61"/>
      <c r="DM472" s="61"/>
      <c r="DN472" s="61"/>
      <c r="DO472" s="61"/>
      <c r="DP472" s="61"/>
      <c r="DQ472" s="61"/>
      <c r="DR472" s="61"/>
      <c r="DS472" s="61"/>
      <c r="DT472" s="61"/>
      <c r="DU472" s="61"/>
      <c r="DV472" s="61"/>
      <c r="DW472" s="61"/>
      <c r="DX472" s="61"/>
      <c r="DY472" s="61"/>
      <c r="DZ472" s="61"/>
      <c r="EA472" s="61"/>
      <c r="EB472" s="61"/>
      <c r="EC472" s="61"/>
      <c r="ED472" s="61"/>
      <c r="EE472" s="61"/>
      <c r="EF472" s="61"/>
      <c r="EG472" s="61"/>
      <c r="EH472" s="61"/>
      <c r="EI472" s="61"/>
      <c r="EJ472" s="61"/>
      <c r="EK472" s="61"/>
      <c r="EL472" s="61"/>
      <c r="EM472" s="61"/>
      <c r="EN472" s="61"/>
      <c r="EO472" s="61"/>
      <c r="EP472" s="61"/>
      <c r="EQ472" s="61"/>
      <c r="ER472" s="61"/>
      <c r="ES472" s="61"/>
      <c r="ET472" s="61"/>
      <c r="EU472" s="61"/>
      <c r="EV472" s="61"/>
      <c r="EW472" s="61"/>
    </row>
    <row r="473" spans="1:153">
      <c r="A473" s="56">
        <v>40969</v>
      </c>
      <c r="B473" s="57">
        <v>2012</v>
      </c>
      <c r="C473" s="71">
        <v>12.227</v>
      </c>
      <c r="D473" s="61">
        <v>0.16700000000000001</v>
      </c>
      <c r="E473" s="61">
        <v>2250.578</v>
      </c>
      <c r="F473" s="61">
        <v>94.524000000000001</v>
      </c>
      <c r="G473" s="61">
        <v>12.061</v>
      </c>
      <c r="H473" s="61">
        <v>25</v>
      </c>
      <c r="I473" s="61">
        <v>189.28</v>
      </c>
      <c r="J473" s="61">
        <v>-164.28</v>
      </c>
      <c r="K473" s="61">
        <v>2886.4450000000002</v>
      </c>
      <c r="L473" s="61">
        <v>-1.2330000000000001</v>
      </c>
      <c r="M473" s="61">
        <v>2087.5309999999999</v>
      </c>
      <c r="N473" s="61">
        <v>87.676000000000002</v>
      </c>
      <c r="O473" s="71">
        <v>11.186999999999999</v>
      </c>
      <c r="P473" s="60">
        <v>177.46700000000001</v>
      </c>
      <c r="Q473" s="61">
        <v>170.72900000000001</v>
      </c>
      <c r="R473" s="61">
        <v>388.07400000000001</v>
      </c>
      <c r="S473" s="61">
        <v>797.11</v>
      </c>
      <c r="T473" s="61">
        <v>246.54599999999999</v>
      </c>
      <c r="U473" s="61">
        <v>17.608000000000001</v>
      </c>
      <c r="V473" s="61">
        <v>11.407</v>
      </c>
      <c r="W473" s="61">
        <v>133.476</v>
      </c>
      <c r="X473" s="61">
        <v>177.46700000000001</v>
      </c>
      <c r="Y473" s="61">
        <v>39.878</v>
      </c>
      <c r="Z473" s="61">
        <v>163.67099999999999</v>
      </c>
      <c r="AA473" s="61">
        <v>381.01600000000002</v>
      </c>
      <c r="AB473" s="60">
        <v>790.05200000000002</v>
      </c>
      <c r="AC473" s="62">
        <v>127.483</v>
      </c>
      <c r="AD473" s="61">
        <v>5.3540000000000001</v>
      </c>
      <c r="AE473" s="61">
        <v>0.7</v>
      </c>
      <c r="AF473" s="61"/>
      <c r="AG473" s="61">
        <v>7</v>
      </c>
      <c r="AH473" s="61">
        <v>0</v>
      </c>
      <c r="AI473" s="61">
        <v>127.483</v>
      </c>
      <c r="AJ473" s="61">
        <v>5.3540000000000001</v>
      </c>
      <c r="AK473" s="62">
        <v>0.7</v>
      </c>
      <c r="AL473" s="63">
        <f t="shared" si="41"/>
        <v>5.3540000000000001</v>
      </c>
      <c r="AM473" s="64">
        <v>0.7</v>
      </c>
      <c r="AN473" s="65" t="e">
        <v>#N/A</v>
      </c>
      <c r="AO473" s="61" t="e">
        <v>#N/A</v>
      </c>
      <c r="AP473" s="61" t="e">
        <v>#N/A</v>
      </c>
      <c r="AQ473" s="61" t="e">
        <v>#N/A</v>
      </c>
      <c r="AR473" s="61" t="e">
        <v>#N/A</v>
      </c>
      <c r="AS473" s="61" t="e">
        <v>#N/A</v>
      </c>
      <c r="AT473" s="61" t="e">
        <v>#N/A</v>
      </c>
      <c r="AU473" s="61" t="e">
        <v>#N/A</v>
      </c>
      <c r="AV473" s="61" t="e">
        <v>#N/A</v>
      </c>
      <c r="AW473" s="61" t="e">
        <v>#N/A</v>
      </c>
      <c r="AX473" s="65" t="e">
        <v>#N/A</v>
      </c>
      <c r="AY473" s="66">
        <v>3.3540000000000001</v>
      </c>
      <c r="AZ473" s="61">
        <v>6.343</v>
      </c>
      <c r="BA473" s="61">
        <v>37.106000000000002</v>
      </c>
      <c r="BB473" s="61">
        <v>46.804000000000002</v>
      </c>
      <c r="BC473" s="61">
        <v>2.1999999999999999E-2</v>
      </c>
      <c r="BD473" s="61">
        <v>1.669</v>
      </c>
      <c r="BE473" s="61">
        <v>2.4279999999999999</v>
      </c>
      <c r="BF473" s="61">
        <v>4.8000000000000001E-2</v>
      </c>
      <c r="BG473" s="61">
        <v>5.1219999999999999</v>
      </c>
      <c r="BH473" s="61">
        <v>3.6960000000000002</v>
      </c>
      <c r="BI473" s="61">
        <v>0.215</v>
      </c>
      <c r="BJ473" s="61">
        <v>9.0329999999999995</v>
      </c>
      <c r="BK473" s="66">
        <v>13.2</v>
      </c>
      <c r="BL473" s="67">
        <v>87.856999999999999</v>
      </c>
      <c r="BM473" s="61">
        <v>11.186999999999999</v>
      </c>
      <c r="BN473" s="61">
        <v>0.7</v>
      </c>
      <c r="BO473" s="61" t="s">
        <v>121</v>
      </c>
      <c r="BP473" s="61">
        <v>99.744</v>
      </c>
      <c r="BQ473" s="61">
        <v>244.29599999999999</v>
      </c>
      <c r="BR473" s="61">
        <v>12.228999999999999</v>
      </c>
      <c r="BS473" s="61">
        <v>2.1059999999999999</v>
      </c>
      <c r="BT473" s="61">
        <v>133.40700000000001</v>
      </c>
      <c r="BU473" s="61">
        <v>15.606999999999999</v>
      </c>
      <c r="BV473" s="61">
        <v>21.808</v>
      </c>
      <c r="BW473" s="61">
        <v>37.414999999999999</v>
      </c>
      <c r="BX473" s="67">
        <v>429.45400000000001</v>
      </c>
      <c r="BY473" s="68">
        <v>132146</v>
      </c>
      <c r="BZ473" s="68">
        <v>115160</v>
      </c>
      <c r="CA473" s="69">
        <v>4237</v>
      </c>
      <c r="CB473" s="68">
        <v>133697</v>
      </c>
      <c r="CC473" s="68">
        <v>28243</v>
      </c>
      <c r="CD473" s="68">
        <v>115184</v>
      </c>
      <c r="CE473" s="64"/>
      <c r="CF473" s="64"/>
      <c r="CG473" s="70">
        <f t="shared" si="37"/>
        <v>5615.2740000000003</v>
      </c>
      <c r="CH473" s="70">
        <f t="shared" si="38"/>
        <v>177.95400000000001</v>
      </c>
      <c r="CI473" s="70">
        <f t="shared" si="39"/>
        <v>1186.2059999999999</v>
      </c>
      <c r="CJ473" s="70">
        <f t="shared" si="40"/>
        <v>5550.1319999999996</v>
      </c>
      <c r="CK473" s="70">
        <f t="shared" si="40"/>
        <v>4836.72</v>
      </c>
      <c r="CL473" s="70">
        <f t="shared" si="36"/>
        <v>4837.7280000000001</v>
      </c>
      <c r="CM473" s="61"/>
      <c r="CN473" s="61"/>
      <c r="CO473" s="61"/>
      <c r="CP473" s="61"/>
      <c r="CQ473" s="61"/>
      <c r="CR473" s="61"/>
      <c r="CS473" s="61"/>
      <c r="CT473" s="61"/>
      <c r="CU473" s="61"/>
      <c r="CV473" s="61"/>
      <c r="CW473" s="61"/>
      <c r="CX473" s="61"/>
      <c r="CY473" s="61"/>
      <c r="CZ473" s="61"/>
      <c r="DA473" s="61"/>
      <c r="DB473" s="61"/>
      <c r="DC473" s="61"/>
      <c r="DD473" s="61"/>
      <c r="DE473" s="61"/>
      <c r="DF473" s="61"/>
      <c r="DG473" s="61"/>
      <c r="DH473" s="61"/>
      <c r="DI473" s="61"/>
      <c r="DJ473" s="61"/>
      <c r="DK473" s="61"/>
      <c r="DL473" s="61"/>
      <c r="DM473" s="61"/>
      <c r="DN473" s="61"/>
      <c r="DO473" s="61"/>
      <c r="DP473" s="61"/>
      <c r="DQ473" s="61"/>
      <c r="DR473" s="61"/>
      <c r="DS473" s="61"/>
      <c r="DT473" s="61"/>
      <c r="DU473" s="61"/>
      <c r="DV473" s="61"/>
      <c r="DW473" s="61"/>
      <c r="DX473" s="61"/>
      <c r="DY473" s="61"/>
      <c r="DZ473" s="61"/>
      <c r="EA473" s="61"/>
      <c r="EB473" s="61"/>
      <c r="EC473" s="61"/>
      <c r="ED473" s="61"/>
      <c r="EE473" s="61"/>
      <c r="EF473" s="61"/>
      <c r="EG473" s="61"/>
      <c r="EH473" s="61"/>
      <c r="EI473" s="61"/>
      <c r="EJ473" s="61"/>
      <c r="EK473" s="61"/>
      <c r="EL473" s="61"/>
      <c r="EM473" s="61"/>
      <c r="EN473" s="61"/>
      <c r="EO473" s="61"/>
      <c r="EP473" s="61"/>
      <c r="EQ473" s="61"/>
      <c r="ER473" s="61"/>
      <c r="ES473" s="61"/>
      <c r="ET473" s="61"/>
      <c r="EU473" s="61"/>
      <c r="EV473" s="61"/>
      <c r="EW473" s="61"/>
    </row>
    <row r="474" spans="1:153">
      <c r="A474" s="56">
        <v>41000</v>
      </c>
      <c r="B474" s="57">
        <v>2012</v>
      </c>
      <c r="C474" s="71">
        <v>12.151999999999999</v>
      </c>
      <c r="D474" s="61">
        <v>0.16600000000000001</v>
      </c>
      <c r="E474" s="61">
        <v>2236.7420000000002</v>
      </c>
      <c r="F474" s="61">
        <v>93.942999999999998</v>
      </c>
      <c r="G474" s="61">
        <v>11.987</v>
      </c>
      <c r="H474" s="61">
        <v>32</v>
      </c>
      <c r="I474" s="61">
        <v>230.38800000000001</v>
      </c>
      <c r="J474" s="61">
        <v>-198.38800000000001</v>
      </c>
      <c r="K474" s="61">
        <v>2772.6</v>
      </c>
      <c r="L474" s="61">
        <v>-113.845</v>
      </c>
      <c r="M474" s="61">
        <v>2152.1990000000001</v>
      </c>
      <c r="N474" s="61">
        <v>90.391999999999996</v>
      </c>
      <c r="O474" s="71">
        <v>11.534000000000001</v>
      </c>
      <c r="P474" s="60">
        <v>168.21299999999999</v>
      </c>
      <c r="Q474" s="61">
        <v>163.535</v>
      </c>
      <c r="R474" s="61">
        <v>368.98099999999999</v>
      </c>
      <c r="S474" s="61">
        <v>770.4</v>
      </c>
      <c r="T474" s="61">
        <v>250.215</v>
      </c>
      <c r="U474" s="61">
        <v>17.084</v>
      </c>
      <c r="V474" s="61">
        <v>13.179</v>
      </c>
      <c r="W474" s="61">
        <v>120.941</v>
      </c>
      <c r="X474" s="61">
        <v>168.21299999999999</v>
      </c>
      <c r="Y474" s="61">
        <v>37.231999999999999</v>
      </c>
      <c r="Z474" s="61">
        <v>159.81200000000001</v>
      </c>
      <c r="AA474" s="61">
        <v>365.25799999999998</v>
      </c>
      <c r="AB474" s="60">
        <v>766.67700000000002</v>
      </c>
      <c r="AC474" s="62">
        <v>84.58</v>
      </c>
      <c r="AD474" s="61">
        <v>3.552</v>
      </c>
      <c r="AE474" s="61">
        <v>0.46500000000000002</v>
      </c>
      <c r="AF474" s="61">
        <v>50</v>
      </c>
      <c r="AG474" s="61">
        <v>10</v>
      </c>
      <c r="AH474" s="61">
        <v>3</v>
      </c>
      <c r="AI474" s="61">
        <v>131.58000000000001</v>
      </c>
      <c r="AJ474" s="61">
        <v>5.5259999999999998</v>
      </c>
      <c r="AK474" s="62">
        <v>0.72299999999999998</v>
      </c>
      <c r="AL474" s="63">
        <f t="shared" si="41"/>
        <v>5.5259999999999998</v>
      </c>
      <c r="AM474" s="64">
        <v>0.72299999999999998</v>
      </c>
      <c r="AN474" s="65" t="e">
        <v>#N/A</v>
      </c>
      <c r="AO474" s="61" t="e">
        <v>#N/A</v>
      </c>
      <c r="AP474" s="61" t="e">
        <v>#N/A</v>
      </c>
      <c r="AQ474" s="61" t="e">
        <v>#N/A</v>
      </c>
      <c r="AR474" s="61" t="e">
        <v>#N/A</v>
      </c>
      <c r="AS474" s="61" t="e">
        <v>#N/A</v>
      </c>
      <c r="AT474" s="61" t="e">
        <v>#N/A</v>
      </c>
      <c r="AU474" s="61" t="e">
        <v>#N/A</v>
      </c>
      <c r="AV474" s="61" t="e">
        <v>#N/A</v>
      </c>
      <c r="AW474" s="61" t="e">
        <v>#N/A</v>
      </c>
      <c r="AX474" s="65" t="e">
        <v>#N/A</v>
      </c>
      <c r="AY474" s="66">
        <v>3.246</v>
      </c>
      <c r="AZ474" s="61">
        <v>6.9909999999999997</v>
      </c>
      <c r="BA474" s="61">
        <v>35.908999999999999</v>
      </c>
      <c r="BB474" s="61">
        <v>46.146999999999998</v>
      </c>
      <c r="BC474" s="61">
        <v>2.1999999999999999E-2</v>
      </c>
      <c r="BD474" s="61">
        <v>1.615</v>
      </c>
      <c r="BE474" s="61">
        <v>2.7029999999999998</v>
      </c>
      <c r="BF474" s="61">
        <v>0.05</v>
      </c>
      <c r="BG474" s="61">
        <v>4.9729999999999999</v>
      </c>
      <c r="BH474" s="61">
        <v>3.67</v>
      </c>
      <c r="BI474" s="61">
        <v>0.21099999999999999</v>
      </c>
      <c r="BJ474" s="61">
        <v>8.8539999999999992</v>
      </c>
      <c r="BK474" s="66">
        <v>13.243</v>
      </c>
      <c r="BL474" s="67">
        <v>86.367999999999995</v>
      </c>
      <c r="BM474" s="61">
        <v>11.534000000000001</v>
      </c>
      <c r="BN474" s="61">
        <v>0.72299999999999998</v>
      </c>
      <c r="BO474" s="61" t="s">
        <v>121</v>
      </c>
      <c r="BP474" s="61">
        <v>98.625</v>
      </c>
      <c r="BQ474" s="61">
        <v>248.495</v>
      </c>
      <c r="BR474" s="61">
        <v>11.879</v>
      </c>
      <c r="BS474" s="61">
        <v>2.9009999999999998</v>
      </c>
      <c r="BT474" s="61">
        <v>120.872</v>
      </c>
      <c r="BU474" s="61">
        <v>12.707000000000001</v>
      </c>
      <c r="BV474" s="61">
        <v>20.507999999999999</v>
      </c>
      <c r="BW474" s="61">
        <v>33.216000000000001</v>
      </c>
      <c r="BX474" s="67">
        <v>417.363</v>
      </c>
      <c r="BY474" s="68">
        <v>130551</v>
      </c>
      <c r="BZ474" s="68">
        <v>111568</v>
      </c>
      <c r="CA474" s="69">
        <v>2937</v>
      </c>
      <c r="CB474" s="68">
        <v>124665</v>
      </c>
      <c r="CC474" s="68">
        <v>32346</v>
      </c>
      <c r="CD474" s="68">
        <v>116092</v>
      </c>
      <c r="CE474" s="64"/>
      <c r="CF474" s="64"/>
      <c r="CG474" s="70">
        <f t="shared" si="37"/>
        <v>5235.93</v>
      </c>
      <c r="CH474" s="70">
        <f t="shared" si="38"/>
        <v>123.354</v>
      </c>
      <c r="CI474" s="70">
        <f t="shared" si="39"/>
        <v>1358.5319999999999</v>
      </c>
      <c r="CJ474" s="70">
        <f t="shared" si="40"/>
        <v>5483.1419999999998</v>
      </c>
      <c r="CK474" s="70">
        <f t="shared" si="40"/>
        <v>4685.8559999999998</v>
      </c>
      <c r="CL474" s="70">
        <f t="shared" si="36"/>
        <v>4875.8639999999996</v>
      </c>
      <c r="CM474" s="61"/>
      <c r="CN474" s="61"/>
      <c r="CO474" s="61"/>
      <c r="CP474" s="61"/>
      <c r="CQ474" s="61"/>
      <c r="CR474" s="61"/>
      <c r="CS474" s="61"/>
      <c r="CT474" s="61"/>
      <c r="CU474" s="61"/>
      <c r="CV474" s="61"/>
      <c r="CW474" s="61"/>
      <c r="CX474" s="61"/>
      <c r="CY474" s="61"/>
      <c r="CZ474" s="61"/>
      <c r="DA474" s="61"/>
      <c r="DB474" s="61"/>
      <c r="DC474" s="61"/>
      <c r="DD474" s="61"/>
      <c r="DE474" s="61"/>
      <c r="DF474" s="61"/>
      <c r="DG474" s="61"/>
      <c r="DH474" s="61"/>
      <c r="DI474" s="61"/>
      <c r="DJ474" s="61"/>
      <c r="DK474" s="61"/>
      <c r="DL474" s="61"/>
      <c r="DM474" s="61"/>
      <c r="DN474" s="61"/>
      <c r="DO474" s="61"/>
      <c r="DP474" s="61"/>
      <c r="DQ474" s="61"/>
      <c r="DR474" s="61"/>
      <c r="DS474" s="61"/>
      <c r="DT474" s="61"/>
      <c r="DU474" s="61"/>
      <c r="DV474" s="61"/>
      <c r="DW474" s="61"/>
      <c r="DX474" s="61"/>
      <c r="DY474" s="61"/>
      <c r="DZ474" s="61"/>
      <c r="EA474" s="61"/>
      <c r="EB474" s="61"/>
      <c r="EC474" s="61"/>
      <c r="ED474" s="61"/>
      <c r="EE474" s="61"/>
      <c r="EF474" s="61"/>
      <c r="EG474" s="61"/>
      <c r="EH474" s="61"/>
      <c r="EI474" s="61"/>
      <c r="EJ474" s="61"/>
      <c r="EK474" s="61"/>
      <c r="EL474" s="61"/>
      <c r="EM474" s="61"/>
      <c r="EN474" s="61"/>
      <c r="EO474" s="61"/>
      <c r="EP474" s="61"/>
      <c r="EQ474" s="61"/>
      <c r="ER474" s="61"/>
      <c r="ES474" s="61"/>
      <c r="ET474" s="61"/>
      <c r="EU474" s="61"/>
      <c r="EV474" s="61"/>
      <c r="EW474" s="61"/>
    </row>
    <row r="475" spans="1:153">
      <c r="A475" s="56">
        <v>41030</v>
      </c>
      <c r="B475" s="57">
        <v>2012</v>
      </c>
      <c r="C475" s="71">
        <v>13.19</v>
      </c>
      <c r="D475" s="61">
        <v>0.18</v>
      </c>
      <c r="E475" s="61">
        <v>2427.846</v>
      </c>
      <c r="F475" s="61">
        <v>101.97</v>
      </c>
      <c r="G475" s="61">
        <v>13.010999999999999</v>
      </c>
      <c r="H475" s="61">
        <v>75</v>
      </c>
      <c r="I475" s="61">
        <v>319.56</v>
      </c>
      <c r="J475" s="61">
        <v>-244.56</v>
      </c>
      <c r="K475" s="61">
        <v>2709.8519999999999</v>
      </c>
      <c r="L475" s="61">
        <v>-62.747999999999998</v>
      </c>
      <c r="M475" s="61">
        <v>2246.0340000000001</v>
      </c>
      <c r="N475" s="61">
        <v>94.332999999999998</v>
      </c>
      <c r="O475" s="71">
        <v>12.036</v>
      </c>
      <c r="P475" s="60">
        <v>177.25</v>
      </c>
      <c r="Q475" s="61">
        <v>171.87</v>
      </c>
      <c r="R475" s="61">
        <v>387.31799999999998</v>
      </c>
      <c r="S475" s="61">
        <v>812.60599999999999</v>
      </c>
      <c r="T475" s="61">
        <v>272.56200000000001</v>
      </c>
      <c r="U475" s="61">
        <v>17.786999999999999</v>
      </c>
      <c r="V475" s="61">
        <v>15.603</v>
      </c>
      <c r="W475" s="61">
        <v>119.336</v>
      </c>
      <c r="X475" s="61">
        <v>177.25</v>
      </c>
      <c r="Y475" s="61">
        <v>38.198</v>
      </c>
      <c r="Z475" s="61">
        <v>169.17500000000001</v>
      </c>
      <c r="AA475" s="61">
        <v>384.62299999999999</v>
      </c>
      <c r="AB475" s="60">
        <v>809.91099999999994</v>
      </c>
      <c r="AC475" s="62">
        <v>89.673000000000002</v>
      </c>
      <c r="AD475" s="61">
        <v>3.766</v>
      </c>
      <c r="AE475" s="61">
        <v>0.49299999999999999</v>
      </c>
      <c r="AF475" s="61">
        <v>55</v>
      </c>
      <c r="AG475" s="61">
        <v>0</v>
      </c>
      <c r="AH475" s="61">
        <v>-10</v>
      </c>
      <c r="AI475" s="61">
        <v>154.673</v>
      </c>
      <c r="AJ475" s="61">
        <v>6.4960000000000004</v>
      </c>
      <c r="AK475" s="62">
        <v>0.85</v>
      </c>
      <c r="AL475" s="63">
        <f t="shared" si="41"/>
        <v>6.4960000000000004</v>
      </c>
      <c r="AM475" s="64">
        <v>0.85</v>
      </c>
      <c r="AN475" s="65" t="e">
        <v>#N/A</v>
      </c>
      <c r="AO475" s="61" t="e">
        <v>#N/A</v>
      </c>
      <c r="AP475" s="61" t="e">
        <v>#N/A</v>
      </c>
      <c r="AQ475" s="61" t="e">
        <v>#N/A</v>
      </c>
      <c r="AR475" s="61" t="e">
        <v>#N/A</v>
      </c>
      <c r="AS475" s="61" t="e">
        <v>#N/A</v>
      </c>
      <c r="AT475" s="61" t="e">
        <v>#N/A</v>
      </c>
      <c r="AU475" s="61" t="e">
        <v>#N/A</v>
      </c>
      <c r="AV475" s="61" t="e">
        <v>#N/A</v>
      </c>
      <c r="AW475" s="61" t="e">
        <v>#N/A</v>
      </c>
      <c r="AX475" s="65" t="e">
        <v>#N/A</v>
      </c>
      <c r="AY475" s="66">
        <v>3.3540000000000001</v>
      </c>
      <c r="AZ475" s="61">
        <v>7.718</v>
      </c>
      <c r="BA475" s="61">
        <v>37.106000000000002</v>
      </c>
      <c r="BB475" s="61">
        <v>48.179000000000002</v>
      </c>
      <c r="BC475" s="61">
        <v>2.8000000000000001E-2</v>
      </c>
      <c r="BD475" s="61">
        <v>1.669</v>
      </c>
      <c r="BE475" s="61">
        <v>3.0059999999999998</v>
      </c>
      <c r="BF475" s="61">
        <v>4.2000000000000003E-2</v>
      </c>
      <c r="BG475" s="61">
        <v>5.1180000000000003</v>
      </c>
      <c r="BH475" s="61">
        <v>3.8170000000000002</v>
      </c>
      <c r="BI475" s="61">
        <v>0.22500000000000001</v>
      </c>
      <c r="BJ475" s="61">
        <v>9.1609999999999996</v>
      </c>
      <c r="BK475" s="66">
        <v>13.906000000000001</v>
      </c>
      <c r="BL475" s="67">
        <v>92.117999999999995</v>
      </c>
      <c r="BM475" s="61">
        <v>12.036</v>
      </c>
      <c r="BN475" s="61">
        <v>0.85</v>
      </c>
      <c r="BO475" s="61" t="s">
        <v>121</v>
      </c>
      <c r="BP475" s="61">
        <v>105.005</v>
      </c>
      <c r="BQ475" s="61">
        <v>270.51600000000002</v>
      </c>
      <c r="BR475" s="61">
        <v>12.409000000000001</v>
      </c>
      <c r="BS475" s="61">
        <v>4.2359999999999998</v>
      </c>
      <c r="BT475" s="61">
        <v>119.283</v>
      </c>
      <c r="BU475" s="61">
        <v>14.018000000000001</v>
      </c>
      <c r="BV475" s="61">
        <v>21.806000000000001</v>
      </c>
      <c r="BW475" s="61">
        <v>35.823999999999998</v>
      </c>
      <c r="BX475" s="67">
        <v>442.26799999999997</v>
      </c>
      <c r="BY475" s="68">
        <v>140966</v>
      </c>
      <c r="BZ475" s="68">
        <v>116445</v>
      </c>
      <c r="CA475" s="69">
        <v>3498</v>
      </c>
      <c r="CB475" s="68">
        <v>121445</v>
      </c>
      <c r="CC475" s="68">
        <v>32623</v>
      </c>
      <c r="CD475" s="68">
        <v>124769</v>
      </c>
      <c r="CE475" s="64"/>
      <c r="CF475" s="64"/>
      <c r="CG475" s="70">
        <f t="shared" si="37"/>
        <v>5100.6899999999996</v>
      </c>
      <c r="CH475" s="70">
        <f t="shared" si="38"/>
        <v>146.916</v>
      </c>
      <c r="CI475" s="70">
        <f t="shared" si="39"/>
        <v>1370.1659999999999</v>
      </c>
      <c r="CJ475" s="70">
        <f t="shared" si="40"/>
        <v>5920.5720000000001</v>
      </c>
      <c r="CK475" s="70">
        <f t="shared" si="40"/>
        <v>4890.6899999999996</v>
      </c>
      <c r="CL475" s="70">
        <f t="shared" si="36"/>
        <v>5240.2979999999998</v>
      </c>
      <c r="CM475" s="61"/>
      <c r="CN475" s="61"/>
      <c r="CO475" s="61"/>
      <c r="CP475" s="61"/>
      <c r="CQ475" s="61"/>
      <c r="CR475" s="61"/>
      <c r="CS475" s="61"/>
      <c r="CT475" s="61"/>
      <c r="CU475" s="61"/>
      <c r="CV475" s="61"/>
      <c r="CW475" s="61"/>
      <c r="CX475" s="61"/>
      <c r="CY475" s="61"/>
      <c r="CZ475" s="61"/>
      <c r="DA475" s="61"/>
      <c r="DB475" s="61"/>
      <c r="DC475" s="61"/>
      <c r="DD475" s="61"/>
      <c r="DE475" s="61"/>
      <c r="DF475" s="61"/>
      <c r="DG475" s="61"/>
      <c r="DH475" s="61"/>
      <c r="DI475" s="61"/>
      <c r="DJ475" s="61"/>
      <c r="DK475" s="61"/>
      <c r="DL475" s="61"/>
      <c r="DM475" s="61"/>
      <c r="DN475" s="61"/>
      <c r="DO475" s="61"/>
      <c r="DP475" s="61"/>
      <c r="DQ475" s="61"/>
      <c r="DR475" s="61"/>
      <c r="DS475" s="61"/>
      <c r="DT475" s="61"/>
      <c r="DU475" s="61"/>
      <c r="DV475" s="61"/>
      <c r="DW475" s="61"/>
      <c r="DX475" s="61"/>
      <c r="DY475" s="61"/>
      <c r="DZ475" s="61"/>
      <c r="EA475" s="61"/>
      <c r="EB475" s="61"/>
      <c r="EC475" s="61"/>
      <c r="ED475" s="61"/>
      <c r="EE475" s="61"/>
      <c r="EF475" s="61"/>
      <c r="EG475" s="61"/>
      <c r="EH475" s="61"/>
      <c r="EI475" s="61"/>
      <c r="EJ475" s="61"/>
      <c r="EK475" s="61"/>
      <c r="EL475" s="61"/>
      <c r="EM475" s="61"/>
      <c r="EN475" s="61"/>
      <c r="EO475" s="61"/>
      <c r="EP475" s="61"/>
      <c r="EQ475" s="61"/>
      <c r="ER475" s="61"/>
      <c r="ES475" s="61"/>
      <c r="ET475" s="61"/>
      <c r="EU475" s="61"/>
      <c r="EV475" s="61"/>
      <c r="EW475" s="61"/>
    </row>
    <row r="476" spans="1:153">
      <c r="A476" s="56">
        <v>41061</v>
      </c>
      <c r="B476" s="57">
        <v>2012</v>
      </c>
      <c r="C476" s="71">
        <v>12.079000000000001</v>
      </c>
      <c r="D476" s="61">
        <v>0.16500000000000001</v>
      </c>
      <c r="E476" s="61">
        <v>2223.2020000000002</v>
      </c>
      <c r="F476" s="61">
        <v>93.373999999999995</v>
      </c>
      <c r="G476" s="61">
        <v>11.914</v>
      </c>
      <c r="H476" s="61">
        <v>132</v>
      </c>
      <c r="I476" s="61">
        <v>391.86099999999999</v>
      </c>
      <c r="J476" s="61">
        <v>-259.86099999999999</v>
      </c>
      <c r="K476" s="61">
        <v>2347.895</v>
      </c>
      <c r="L476" s="61">
        <v>-361.95800000000003</v>
      </c>
      <c r="M476" s="61">
        <v>2325.299</v>
      </c>
      <c r="N476" s="61">
        <v>97.662999999999997</v>
      </c>
      <c r="O476" s="71">
        <v>12.461</v>
      </c>
      <c r="P476" s="60">
        <v>176.38499999999999</v>
      </c>
      <c r="Q476" s="61">
        <v>164.40100000000001</v>
      </c>
      <c r="R476" s="61">
        <v>377.79199999999997</v>
      </c>
      <c r="S476" s="61">
        <v>779.08500000000004</v>
      </c>
      <c r="T476" s="61">
        <v>253.685</v>
      </c>
      <c r="U476" s="61">
        <v>17.361000000000001</v>
      </c>
      <c r="V476" s="61">
        <v>16.318000000000001</v>
      </c>
      <c r="W476" s="61">
        <v>113.928</v>
      </c>
      <c r="X476" s="61">
        <v>176.38499999999999</v>
      </c>
      <c r="Y476" s="61">
        <v>37.006</v>
      </c>
      <c r="Z476" s="61">
        <v>164.56899999999999</v>
      </c>
      <c r="AA476" s="61">
        <v>377.96100000000001</v>
      </c>
      <c r="AB476" s="60">
        <v>779.25300000000004</v>
      </c>
      <c r="AC476" s="62">
        <v>85.539000000000001</v>
      </c>
      <c r="AD476" s="61">
        <v>3.593</v>
      </c>
      <c r="AE476" s="61">
        <v>0.47</v>
      </c>
      <c r="AF476" s="61">
        <v>58</v>
      </c>
      <c r="AG476" s="61">
        <v>0</v>
      </c>
      <c r="AH476" s="61">
        <v>0</v>
      </c>
      <c r="AI476" s="61">
        <v>143.53899999999999</v>
      </c>
      <c r="AJ476" s="61">
        <v>6.0289999999999999</v>
      </c>
      <c r="AK476" s="62">
        <v>0.78900000000000003</v>
      </c>
      <c r="AL476" s="63">
        <f t="shared" si="41"/>
        <v>6.0289999999999999</v>
      </c>
      <c r="AM476" s="64">
        <v>0.78900000000000003</v>
      </c>
      <c r="AN476" s="65" t="e">
        <v>#N/A</v>
      </c>
      <c r="AO476" s="61" t="e">
        <v>#N/A</v>
      </c>
      <c r="AP476" s="61" t="e">
        <v>#N/A</v>
      </c>
      <c r="AQ476" s="61" t="e">
        <v>#N/A</v>
      </c>
      <c r="AR476" s="61" t="e">
        <v>#N/A</v>
      </c>
      <c r="AS476" s="61" t="e">
        <v>#N/A</v>
      </c>
      <c r="AT476" s="61" t="e">
        <v>#N/A</v>
      </c>
      <c r="AU476" s="61" t="e">
        <v>#N/A</v>
      </c>
      <c r="AV476" s="61" t="e">
        <v>#N/A</v>
      </c>
      <c r="AW476" s="61" t="e">
        <v>#N/A</v>
      </c>
      <c r="AX476" s="65" t="e">
        <v>#N/A</v>
      </c>
      <c r="AY476" s="66">
        <v>3.246</v>
      </c>
      <c r="AZ476" s="61">
        <v>7.7880000000000003</v>
      </c>
      <c r="BA476" s="61">
        <v>35.908999999999999</v>
      </c>
      <c r="BB476" s="61">
        <v>46.942999999999998</v>
      </c>
      <c r="BC476" s="61">
        <v>2.1999999999999999E-2</v>
      </c>
      <c r="BD476" s="61">
        <v>1.615</v>
      </c>
      <c r="BE476" s="61">
        <v>3.0459999999999998</v>
      </c>
      <c r="BF476" s="61">
        <v>3.7999999999999999E-2</v>
      </c>
      <c r="BG476" s="61">
        <v>4.9850000000000003</v>
      </c>
      <c r="BH476" s="61">
        <v>3.63</v>
      </c>
      <c r="BI476" s="61">
        <v>0.219</v>
      </c>
      <c r="BJ476" s="61">
        <v>8.8339999999999996</v>
      </c>
      <c r="BK476" s="66">
        <v>13.554</v>
      </c>
      <c r="BL476" s="67">
        <v>89.703000000000003</v>
      </c>
      <c r="BM476" s="61">
        <v>12.461</v>
      </c>
      <c r="BN476" s="61">
        <v>0.78900000000000003</v>
      </c>
      <c r="BO476" s="61" t="s">
        <v>121</v>
      </c>
      <c r="BP476" s="61">
        <v>102.953</v>
      </c>
      <c r="BQ476" s="61">
        <v>252.00200000000001</v>
      </c>
      <c r="BR476" s="61">
        <v>12.157</v>
      </c>
      <c r="BS476" s="61">
        <v>4.8339999999999996</v>
      </c>
      <c r="BT476" s="61">
        <v>113.877</v>
      </c>
      <c r="BU476" s="61">
        <v>16.376999999999999</v>
      </c>
      <c r="BV476" s="61">
        <v>21.54</v>
      </c>
      <c r="BW476" s="61">
        <v>37.917999999999999</v>
      </c>
      <c r="BX476" s="67">
        <v>420.78699999999998</v>
      </c>
      <c r="BY476" s="68">
        <v>138954</v>
      </c>
      <c r="BZ476" s="68">
        <v>111974</v>
      </c>
      <c r="CA476" s="69">
        <v>2616</v>
      </c>
      <c r="CB476" s="68">
        <v>119890</v>
      </c>
      <c r="CC476" s="68">
        <v>32592</v>
      </c>
      <c r="CD476" s="68">
        <v>123455</v>
      </c>
      <c r="CE476" s="64"/>
      <c r="CF476" s="64"/>
      <c r="CG476" s="70">
        <f t="shared" si="37"/>
        <v>5035.38</v>
      </c>
      <c r="CH476" s="70">
        <f t="shared" si="38"/>
        <v>109.872</v>
      </c>
      <c r="CI476" s="70">
        <f t="shared" si="39"/>
        <v>1368.864</v>
      </c>
      <c r="CJ476" s="70">
        <f t="shared" si="40"/>
        <v>5836.0680000000002</v>
      </c>
      <c r="CK476" s="70">
        <f t="shared" si="40"/>
        <v>4702.9080000000004</v>
      </c>
      <c r="CL476" s="70">
        <f t="shared" si="36"/>
        <v>5185.1099999999997</v>
      </c>
      <c r="CM476" s="61"/>
      <c r="CN476" s="61"/>
      <c r="CO476" s="61"/>
      <c r="CP476" s="61"/>
      <c r="CQ476" s="61"/>
      <c r="CR476" s="61"/>
      <c r="CS476" s="61"/>
      <c r="CT476" s="61"/>
      <c r="CU476" s="61"/>
      <c r="CV476" s="61"/>
      <c r="CW476" s="61"/>
      <c r="CX476" s="61"/>
      <c r="CY476" s="61"/>
      <c r="CZ476" s="61"/>
      <c r="DA476" s="61"/>
      <c r="DB476" s="61"/>
      <c r="DC476" s="61"/>
      <c r="DD476" s="61"/>
      <c r="DE476" s="61"/>
      <c r="DF476" s="61"/>
      <c r="DG476" s="61"/>
      <c r="DH476" s="61"/>
      <c r="DI476" s="61"/>
      <c r="DJ476" s="61"/>
      <c r="DK476" s="61"/>
      <c r="DL476" s="61"/>
      <c r="DM476" s="61"/>
      <c r="DN476" s="61"/>
      <c r="DO476" s="61"/>
      <c r="DP476" s="61"/>
      <c r="DQ476" s="61"/>
      <c r="DR476" s="61"/>
      <c r="DS476" s="61"/>
      <c r="DT476" s="61"/>
      <c r="DU476" s="61"/>
      <c r="DV476" s="61"/>
      <c r="DW476" s="61"/>
      <c r="DX476" s="61"/>
      <c r="DY476" s="61"/>
      <c r="DZ476" s="61"/>
      <c r="EA476" s="61"/>
      <c r="EB476" s="61"/>
      <c r="EC476" s="61"/>
      <c r="ED476" s="61"/>
      <c r="EE476" s="61"/>
      <c r="EF476" s="61"/>
      <c r="EG476" s="61"/>
      <c r="EH476" s="61"/>
      <c r="EI476" s="61"/>
      <c r="EJ476" s="61"/>
      <c r="EK476" s="61"/>
      <c r="EL476" s="61"/>
      <c r="EM476" s="61"/>
      <c r="EN476" s="61"/>
      <c r="EO476" s="61"/>
      <c r="EP476" s="61"/>
      <c r="EQ476" s="61"/>
      <c r="ER476" s="61"/>
      <c r="ES476" s="61"/>
      <c r="ET476" s="61"/>
      <c r="EU476" s="61"/>
      <c r="EV476" s="61"/>
      <c r="EW476" s="61"/>
    </row>
    <row r="477" spans="1:153">
      <c r="A477" s="56">
        <v>41091</v>
      </c>
      <c r="B477" s="57">
        <v>2012</v>
      </c>
      <c r="C477" s="71">
        <v>11.554</v>
      </c>
      <c r="D477" s="61">
        <v>0.157</v>
      </c>
      <c r="E477" s="61">
        <v>2126.596</v>
      </c>
      <c r="F477" s="61">
        <v>89.316999999999993</v>
      </c>
      <c r="G477" s="61">
        <v>11.396000000000001</v>
      </c>
      <c r="H477" s="61">
        <v>166</v>
      </c>
      <c r="I477" s="61">
        <v>426.255</v>
      </c>
      <c r="J477" s="61">
        <v>-260.255</v>
      </c>
      <c r="K477" s="61">
        <v>2261.5929999999998</v>
      </c>
      <c r="L477" s="61">
        <v>-86.301000000000002</v>
      </c>
      <c r="M477" s="61">
        <v>1952.6420000000001</v>
      </c>
      <c r="N477" s="61">
        <v>82.010999999999996</v>
      </c>
      <c r="O477" s="71">
        <v>10.464</v>
      </c>
      <c r="P477" s="60">
        <v>183.79</v>
      </c>
      <c r="Q477" s="61">
        <v>156.76599999999999</v>
      </c>
      <c r="R477" s="61">
        <v>379.86200000000002</v>
      </c>
      <c r="S477" s="61">
        <v>750.55799999999999</v>
      </c>
      <c r="T477" s="61">
        <v>252.09100000000001</v>
      </c>
      <c r="U477" s="61">
        <v>17.946000000000002</v>
      </c>
      <c r="V477" s="61">
        <v>16.713000000000001</v>
      </c>
      <c r="W477" s="61">
        <v>83.945999999999998</v>
      </c>
      <c r="X477" s="61">
        <v>183.79</v>
      </c>
      <c r="Y477" s="61">
        <v>39.305999999999997</v>
      </c>
      <c r="Z477" s="61">
        <v>157.65700000000001</v>
      </c>
      <c r="AA477" s="61">
        <v>380.75299999999999</v>
      </c>
      <c r="AB477" s="60">
        <v>751.44899999999996</v>
      </c>
      <c r="AC477" s="62">
        <v>149.49299999999999</v>
      </c>
      <c r="AD477" s="61">
        <v>6.2789999999999999</v>
      </c>
      <c r="AE477" s="61">
        <v>0.82099999999999995</v>
      </c>
      <c r="AF477" s="61"/>
      <c r="AG477" s="61">
        <v>0</v>
      </c>
      <c r="AH477" s="61">
        <v>0</v>
      </c>
      <c r="AI477" s="61">
        <v>149.49299999999999</v>
      </c>
      <c r="AJ477" s="61">
        <v>6.2789999999999999</v>
      </c>
      <c r="AK477" s="62">
        <v>0.82099999999999995</v>
      </c>
      <c r="AL477" s="63">
        <f t="shared" si="41"/>
        <v>6.2789999999999999</v>
      </c>
      <c r="AM477" s="64">
        <v>0.82099999999999995</v>
      </c>
      <c r="AN477" s="65" t="e">
        <v>#N/A</v>
      </c>
      <c r="AO477" s="61" t="e">
        <v>#N/A</v>
      </c>
      <c r="AP477" s="61" t="e">
        <v>#N/A</v>
      </c>
      <c r="AQ477" s="61" t="e">
        <v>#N/A</v>
      </c>
      <c r="AR477" s="61" t="e">
        <v>#N/A</v>
      </c>
      <c r="AS477" s="61" t="e">
        <v>#N/A</v>
      </c>
      <c r="AT477" s="61" t="e">
        <v>#N/A</v>
      </c>
      <c r="AU477" s="61" t="e">
        <v>#N/A</v>
      </c>
      <c r="AV477" s="61" t="e">
        <v>#N/A</v>
      </c>
      <c r="AW477" s="61" t="e">
        <v>#N/A</v>
      </c>
      <c r="AX477" s="65" t="e">
        <v>#N/A</v>
      </c>
      <c r="AY477" s="66">
        <v>3.3540000000000001</v>
      </c>
      <c r="AZ477" s="61">
        <v>8.1750000000000007</v>
      </c>
      <c r="BA477" s="61">
        <v>37.106000000000002</v>
      </c>
      <c r="BB477" s="61">
        <v>48.636000000000003</v>
      </c>
      <c r="BC477" s="61">
        <v>1.9E-2</v>
      </c>
      <c r="BD477" s="61">
        <v>1.669</v>
      </c>
      <c r="BE477" s="61">
        <v>3.1749999999999998</v>
      </c>
      <c r="BF477" s="61">
        <v>2.7E-2</v>
      </c>
      <c r="BG477" s="61">
        <v>5.1580000000000004</v>
      </c>
      <c r="BH477" s="61">
        <v>3.8180000000000001</v>
      </c>
      <c r="BI477" s="61">
        <v>0.214</v>
      </c>
      <c r="BJ477" s="61">
        <v>9.19</v>
      </c>
      <c r="BK477" s="66">
        <v>14.079000000000001</v>
      </c>
      <c r="BL477" s="67">
        <v>87.736999999999995</v>
      </c>
      <c r="BM477" s="61">
        <v>10.464</v>
      </c>
      <c r="BN477" s="61">
        <v>0.82099999999999995</v>
      </c>
      <c r="BO477" s="61" t="s">
        <v>121</v>
      </c>
      <c r="BP477" s="61">
        <v>99.022000000000006</v>
      </c>
      <c r="BQ477" s="61">
        <v>250.76400000000001</v>
      </c>
      <c r="BR477" s="61">
        <v>12.567</v>
      </c>
      <c r="BS477" s="61">
        <v>4.6779999999999999</v>
      </c>
      <c r="BT477" s="61">
        <v>83.91</v>
      </c>
      <c r="BU477" s="61">
        <v>17.736000000000001</v>
      </c>
      <c r="BV477" s="61">
        <v>22.667999999999999</v>
      </c>
      <c r="BW477" s="61">
        <v>40.404000000000003</v>
      </c>
      <c r="BX477" s="67">
        <v>392.32299999999998</v>
      </c>
      <c r="BY477" s="68">
        <v>144462</v>
      </c>
      <c r="BZ477" s="68">
        <v>110254</v>
      </c>
      <c r="CA477" s="69">
        <v>3618</v>
      </c>
      <c r="CB477" s="68">
        <v>126454</v>
      </c>
      <c r="CC477" s="68">
        <v>32425</v>
      </c>
      <c r="CD477" s="68">
        <v>129322</v>
      </c>
      <c r="CE477" s="64"/>
      <c r="CF477" s="64"/>
      <c r="CG477" s="70">
        <f t="shared" si="37"/>
        <v>5311.0680000000002</v>
      </c>
      <c r="CH477" s="70">
        <f t="shared" si="38"/>
        <v>151.95599999999999</v>
      </c>
      <c r="CI477" s="70">
        <f t="shared" si="39"/>
        <v>1361.85</v>
      </c>
      <c r="CJ477" s="70">
        <f t="shared" si="40"/>
        <v>6067.4040000000005</v>
      </c>
      <c r="CK477" s="70">
        <f t="shared" si="40"/>
        <v>4630.6679999999997</v>
      </c>
      <c r="CL477" s="70">
        <f t="shared" si="36"/>
        <v>5431.5240000000003</v>
      </c>
      <c r="CM477" s="61"/>
      <c r="CN477" s="61"/>
      <c r="CO477" s="61"/>
      <c r="CP477" s="61"/>
      <c r="CQ477" s="61"/>
      <c r="CR477" s="61"/>
      <c r="CS477" s="61"/>
      <c r="CT477" s="61"/>
      <c r="CU477" s="61"/>
      <c r="CV477" s="61"/>
      <c r="CW477" s="61"/>
      <c r="CX477" s="61"/>
      <c r="CY477" s="61"/>
      <c r="CZ477" s="61"/>
      <c r="DA477" s="61"/>
      <c r="DB477" s="61"/>
      <c r="DC477" s="61"/>
      <c r="DD477" s="61"/>
      <c r="DE477" s="61"/>
      <c r="DF477" s="61"/>
      <c r="DG477" s="61"/>
      <c r="DH477" s="61"/>
      <c r="DI477" s="61"/>
      <c r="DJ477" s="61"/>
      <c r="DK477" s="61"/>
      <c r="DL477" s="61"/>
      <c r="DM477" s="61"/>
      <c r="DN477" s="61"/>
      <c r="DO477" s="61"/>
      <c r="DP477" s="61"/>
      <c r="DQ477" s="61"/>
      <c r="DR477" s="61"/>
      <c r="DS477" s="61"/>
      <c r="DT477" s="61"/>
      <c r="DU477" s="61"/>
      <c r="DV477" s="61"/>
      <c r="DW477" s="61"/>
      <c r="DX477" s="61"/>
      <c r="DY477" s="61"/>
      <c r="DZ477" s="61"/>
      <c r="EA477" s="61"/>
      <c r="EB477" s="61"/>
      <c r="EC477" s="61"/>
      <c r="ED477" s="61"/>
      <c r="EE477" s="61"/>
      <c r="EF477" s="61"/>
      <c r="EG477" s="61"/>
      <c r="EH477" s="61"/>
      <c r="EI477" s="61"/>
      <c r="EJ477" s="61"/>
      <c r="EK477" s="61"/>
      <c r="EL477" s="61"/>
      <c r="EM477" s="61"/>
      <c r="EN477" s="61"/>
      <c r="EO477" s="61"/>
      <c r="EP477" s="61"/>
      <c r="EQ477" s="61"/>
      <c r="ER477" s="61"/>
      <c r="ES477" s="61"/>
      <c r="ET477" s="61"/>
      <c r="EU477" s="61"/>
      <c r="EV477" s="61"/>
      <c r="EW477" s="61"/>
    </row>
    <row r="478" spans="1:153">
      <c r="A478" s="56">
        <v>41122</v>
      </c>
      <c r="B478" s="57">
        <v>2012</v>
      </c>
      <c r="C478" s="71">
        <v>11.824</v>
      </c>
      <c r="D478" s="61">
        <v>0.161</v>
      </c>
      <c r="E478" s="61">
        <v>2176.3049999999998</v>
      </c>
      <c r="F478" s="61">
        <v>91.405000000000001</v>
      </c>
      <c r="G478" s="61">
        <v>11.663</v>
      </c>
      <c r="H478" s="61">
        <v>55</v>
      </c>
      <c r="I478" s="61">
        <v>402.75099999999998</v>
      </c>
      <c r="J478" s="61">
        <v>-347.75099999999998</v>
      </c>
      <c r="K478" s="61">
        <v>2011.4549999999999</v>
      </c>
      <c r="L478" s="61">
        <v>-250.13800000000001</v>
      </c>
      <c r="M478" s="61">
        <v>2078.692</v>
      </c>
      <c r="N478" s="61">
        <v>87.305000000000007</v>
      </c>
      <c r="O478" s="71">
        <v>11.14</v>
      </c>
      <c r="P478" s="60">
        <v>185.19800000000001</v>
      </c>
      <c r="Q478" s="61">
        <v>161.79499999999999</v>
      </c>
      <c r="R478" s="61">
        <v>386.26900000000001</v>
      </c>
      <c r="S478" s="61">
        <v>719.96900000000005</v>
      </c>
      <c r="T478" s="61">
        <v>219.19200000000001</v>
      </c>
      <c r="U478" s="61">
        <v>17.786000000000001</v>
      </c>
      <c r="V478" s="61">
        <v>16.132000000000001</v>
      </c>
      <c r="W478" s="61">
        <v>80.59</v>
      </c>
      <c r="X478" s="61">
        <v>185.19800000000001</v>
      </c>
      <c r="Y478" s="61">
        <v>39.276000000000003</v>
      </c>
      <c r="Z478" s="61">
        <v>167.16</v>
      </c>
      <c r="AA478" s="61">
        <v>391.63400000000001</v>
      </c>
      <c r="AB478" s="60">
        <v>725.33399999999995</v>
      </c>
      <c r="AC478" s="62">
        <v>130.50200000000001</v>
      </c>
      <c r="AD478" s="61">
        <v>5.4809999999999999</v>
      </c>
      <c r="AE478" s="61">
        <v>0.71699999999999997</v>
      </c>
      <c r="AF478" s="61"/>
      <c r="AG478" s="61">
        <v>0</v>
      </c>
      <c r="AH478" s="61">
        <v>0</v>
      </c>
      <c r="AI478" s="61">
        <v>130.50200000000001</v>
      </c>
      <c r="AJ478" s="61">
        <v>5.4809999999999999</v>
      </c>
      <c r="AK478" s="62">
        <v>0.71699999999999997</v>
      </c>
      <c r="AL478" s="63">
        <f t="shared" si="41"/>
        <v>5.4809999999999999</v>
      </c>
      <c r="AM478" s="64">
        <v>0.71699999999999997</v>
      </c>
      <c r="AN478" s="65" t="e">
        <v>#N/A</v>
      </c>
      <c r="AO478" s="61" t="e">
        <v>#N/A</v>
      </c>
      <c r="AP478" s="61" t="e">
        <v>#N/A</v>
      </c>
      <c r="AQ478" s="61" t="e">
        <v>#N/A</v>
      </c>
      <c r="AR478" s="61" t="e">
        <v>#N/A</v>
      </c>
      <c r="AS478" s="61" t="e">
        <v>#N/A</v>
      </c>
      <c r="AT478" s="61" t="e">
        <v>#N/A</v>
      </c>
      <c r="AU478" s="61" t="e">
        <v>#N/A</v>
      </c>
      <c r="AV478" s="61" t="e">
        <v>#N/A</v>
      </c>
      <c r="AW478" s="61" t="e">
        <v>#N/A</v>
      </c>
      <c r="AX478" s="65" t="e">
        <v>#N/A</v>
      </c>
      <c r="AY478" s="66">
        <v>3.3540000000000001</v>
      </c>
      <c r="AZ478" s="61">
        <v>8.09</v>
      </c>
      <c r="BA478" s="61">
        <v>37.106000000000002</v>
      </c>
      <c r="BB478" s="61">
        <v>48.551000000000002</v>
      </c>
      <c r="BC478" s="61">
        <v>0.02</v>
      </c>
      <c r="BD478" s="61">
        <v>1.669</v>
      </c>
      <c r="BE478" s="61">
        <v>3.13</v>
      </c>
      <c r="BF478" s="61">
        <v>2.7E-2</v>
      </c>
      <c r="BG478" s="61">
        <v>5.1559999999999997</v>
      </c>
      <c r="BH478" s="61">
        <v>3.94</v>
      </c>
      <c r="BI478" s="61">
        <v>0.23100000000000001</v>
      </c>
      <c r="BJ478" s="61">
        <v>9.3279999999999994</v>
      </c>
      <c r="BK478" s="66">
        <v>14.173999999999999</v>
      </c>
      <c r="BL478" s="67">
        <v>94.623000000000005</v>
      </c>
      <c r="BM478" s="61">
        <v>11.14</v>
      </c>
      <c r="BN478" s="61">
        <v>0.71699999999999997</v>
      </c>
      <c r="BO478" s="61" t="s">
        <v>121</v>
      </c>
      <c r="BP478" s="61">
        <v>106.48</v>
      </c>
      <c r="BQ478" s="61">
        <v>217.727</v>
      </c>
      <c r="BR478" s="61">
        <v>12.407</v>
      </c>
      <c r="BS478" s="61">
        <v>4.234</v>
      </c>
      <c r="BT478" s="61">
        <v>80.555000000000007</v>
      </c>
      <c r="BU478" s="61">
        <v>17.931000000000001</v>
      </c>
      <c r="BV478" s="61">
        <v>22.54</v>
      </c>
      <c r="BW478" s="61">
        <v>40.470999999999997</v>
      </c>
      <c r="BX478" s="67">
        <v>355.39400000000001</v>
      </c>
      <c r="BY478" s="68">
        <v>142591</v>
      </c>
      <c r="BZ478" s="68">
        <v>116032</v>
      </c>
      <c r="CA478" s="69">
        <v>3459</v>
      </c>
      <c r="CB478" s="68">
        <v>127309</v>
      </c>
      <c r="CC478" s="68">
        <v>30352</v>
      </c>
      <c r="CD478" s="68">
        <v>126371</v>
      </c>
      <c r="CE478" s="64"/>
      <c r="CF478" s="64"/>
      <c r="CG478" s="70">
        <f t="shared" si="37"/>
        <v>5346.9780000000001</v>
      </c>
      <c r="CH478" s="70">
        <f t="shared" si="38"/>
        <v>145.27799999999999</v>
      </c>
      <c r="CI478" s="70">
        <f t="shared" si="39"/>
        <v>1274.7840000000001</v>
      </c>
      <c r="CJ478" s="70">
        <f t="shared" si="40"/>
        <v>5988.8220000000001</v>
      </c>
      <c r="CK478" s="70">
        <f t="shared" si="40"/>
        <v>4873.3440000000001</v>
      </c>
      <c r="CL478" s="70">
        <f t="shared" si="36"/>
        <v>5307.5820000000003</v>
      </c>
      <c r="CM478" s="61"/>
      <c r="CN478" s="61"/>
      <c r="CO478" s="61"/>
      <c r="CP478" s="61"/>
      <c r="CQ478" s="61"/>
      <c r="CR478" s="61"/>
      <c r="CS478" s="61"/>
      <c r="CT478" s="61"/>
      <c r="CU478" s="61"/>
      <c r="CV478" s="61"/>
      <c r="CW478" s="61"/>
      <c r="CX478" s="61"/>
      <c r="CY478" s="61"/>
      <c r="CZ478" s="61"/>
      <c r="DA478" s="61"/>
      <c r="DB478" s="61"/>
      <c r="DC478" s="61"/>
      <c r="DD478" s="61"/>
      <c r="DE478" s="61"/>
      <c r="DF478" s="61"/>
      <c r="DG478" s="61"/>
      <c r="DH478" s="61"/>
      <c r="DI478" s="61"/>
      <c r="DJ478" s="61"/>
      <c r="DK478" s="61"/>
      <c r="DL478" s="61"/>
      <c r="DM478" s="61"/>
      <c r="DN478" s="61"/>
      <c r="DO478" s="61"/>
      <c r="DP478" s="61"/>
      <c r="DQ478" s="61"/>
      <c r="DR478" s="61"/>
      <c r="DS478" s="61"/>
      <c r="DT478" s="61"/>
      <c r="DU478" s="61"/>
      <c r="DV478" s="61"/>
      <c r="DW478" s="61"/>
      <c r="DX478" s="61"/>
      <c r="DY478" s="61"/>
      <c r="DZ478" s="61"/>
      <c r="EA478" s="61"/>
      <c r="EB478" s="61"/>
      <c r="EC478" s="61"/>
      <c r="ED478" s="61"/>
      <c r="EE478" s="61"/>
      <c r="EF478" s="61"/>
      <c r="EG478" s="61"/>
      <c r="EH478" s="61"/>
      <c r="EI478" s="61"/>
      <c r="EJ478" s="61"/>
      <c r="EK478" s="61"/>
      <c r="EL478" s="61"/>
      <c r="EM478" s="61"/>
      <c r="EN478" s="61"/>
      <c r="EO478" s="61"/>
      <c r="EP478" s="61"/>
      <c r="EQ478" s="61"/>
      <c r="ER478" s="61"/>
      <c r="ES478" s="61"/>
      <c r="ET478" s="61"/>
      <c r="EU478" s="61"/>
      <c r="EV478" s="61"/>
      <c r="EW478" s="61"/>
    </row>
    <row r="479" spans="1:153">
      <c r="A479" s="56">
        <v>41153</v>
      </c>
      <c r="B479" s="57">
        <v>2012</v>
      </c>
      <c r="C479" s="71">
        <v>10.587999999999999</v>
      </c>
      <c r="D479" s="61">
        <v>0.14399999999999999</v>
      </c>
      <c r="E479" s="61">
        <v>1948.88</v>
      </c>
      <c r="F479" s="61">
        <v>81.852999999999994</v>
      </c>
      <c r="G479" s="61">
        <v>10.444000000000001</v>
      </c>
      <c r="H479" s="61">
        <v>108</v>
      </c>
      <c r="I479" s="61">
        <v>294.85599999999999</v>
      </c>
      <c r="J479" s="61">
        <v>-186.85599999999999</v>
      </c>
      <c r="K479" s="61">
        <v>2048.5140000000001</v>
      </c>
      <c r="L479" s="61">
        <v>37.058</v>
      </c>
      <c r="M479" s="61">
        <v>1724.9659999999999</v>
      </c>
      <c r="N479" s="61">
        <v>72.448999999999998</v>
      </c>
      <c r="O479" s="71">
        <v>9.2439999999999998</v>
      </c>
      <c r="P479" s="60">
        <v>179.203</v>
      </c>
      <c r="Q479" s="61">
        <v>150.489</v>
      </c>
      <c r="R479" s="61">
        <v>366.95499999999998</v>
      </c>
      <c r="S479" s="61">
        <v>650.75800000000004</v>
      </c>
      <c r="T479" s="61">
        <v>167.517</v>
      </c>
      <c r="U479" s="61">
        <v>17.576000000000001</v>
      </c>
      <c r="V479" s="61">
        <v>15.068</v>
      </c>
      <c r="W479" s="61">
        <v>83.641999999999996</v>
      </c>
      <c r="X479" s="61">
        <v>179.203</v>
      </c>
      <c r="Y479" s="61">
        <v>37.262999999999998</v>
      </c>
      <c r="Z479" s="61">
        <v>149.452</v>
      </c>
      <c r="AA479" s="61">
        <v>365.91800000000001</v>
      </c>
      <c r="AB479" s="60">
        <v>649.72199999999998</v>
      </c>
      <c r="AC479" s="62">
        <v>89.022000000000006</v>
      </c>
      <c r="AD479" s="61">
        <v>3.7389999999999999</v>
      </c>
      <c r="AE479" s="61">
        <v>0.48899999999999999</v>
      </c>
      <c r="AF479" s="61">
        <v>56</v>
      </c>
      <c r="AG479" s="61">
        <v>0</v>
      </c>
      <c r="AH479" s="61">
        <v>0</v>
      </c>
      <c r="AI479" s="61">
        <v>145.02199999999999</v>
      </c>
      <c r="AJ479" s="61">
        <v>6.0910000000000002</v>
      </c>
      <c r="AK479" s="62">
        <v>0.79700000000000004</v>
      </c>
      <c r="AL479" s="63">
        <f t="shared" si="41"/>
        <v>6.0910000000000002</v>
      </c>
      <c r="AM479" s="64">
        <v>0.79700000000000004</v>
      </c>
      <c r="AN479" s="65" t="e">
        <v>#N/A</v>
      </c>
      <c r="AO479" s="61" t="e">
        <v>#N/A</v>
      </c>
      <c r="AP479" s="61" t="e">
        <v>#N/A</v>
      </c>
      <c r="AQ479" s="61" t="e">
        <v>#N/A</v>
      </c>
      <c r="AR479" s="61" t="e">
        <v>#N/A</v>
      </c>
      <c r="AS479" s="61" t="e">
        <v>#N/A</v>
      </c>
      <c r="AT479" s="61" t="e">
        <v>#N/A</v>
      </c>
      <c r="AU479" s="61" t="e">
        <v>#N/A</v>
      </c>
      <c r="AV479" s="61" t="e">
        <v>#N/A</v>
      </c>
      <c r="AW479" s="61" t="e">
        <v>#N/A</v>
      </c>
      <c r="AX479" s="65" t="e">
        <v>#N/A</v>
      </c>
      <c r="AY479" s="66">
        <v>3.246</v>
      </c>
      <c r="AZ479" s="61">
        <v>7.3789999999999996</v>
      </c>
      <c r="BA479" s="61">
        <v>35.908999999999999</v>
      </c>
      <c r="BB479" s="61">
        <v>46.533999999999999</v>
      </c>
      <c r="BC479" s="61">
        <v>1.7999999999999999E-2</v>
      </c>
      <c r="BD479" s="61">
        <v>1.615</v>
      </c>
      <c r="BE479" s="61">
        <v>2.8940000000000001</v>
      </c>
      <c r="BF479" s="61">
        <v>3.3000000000000002E-2</v>
      </c>
      <c r="BG479" s="61">
        <v>4.9660000000000002</v>
      </c>
      <c r="BH479" s="61">
        <v>3.7629999999999999</v>
      </c>
      <c r="BI479" s="61">
        <v>0.20200000000000001</v>
      </c>
      <c r="BJ479" s="61">
        <v>8.9320000000000004</v>
      </c>
      <c r="BK479" s="66">
        <v>13.491</v>
      </c>
      <c r="BL479" s="67">
        <v>82.840999999999994</v>
      </c>
      <c r="BM479" s="61">
        <v>9.2439999999999998</v>
      </c>
      <c r="BN479" s="61">
        <v>0.79700000000000004</v>
      </c>
      <c r="BO479" s="61" t="s">
        <v>121</v>
      </c>
      <c r="BP479" s="61">
        <v>92.882000000000005</v>
      </c>
      <c r="BQ479" s="61">
        <v>165.98699999999999</v>
      </c>
      <c r="BR479" s="61">
        <v>12.371</v>
      </c>
      <c r="BS479" s="61">
        <v>4.1769999999999996</v>
      </c>
      <c r="BT479" s="61">
        <v>83.6</v>
      </c>
      <c r="BU479" s="61">
        <v>16.489999999999998</v>
      </c>
      <c r="BV479" s="61">
        <v>21.24</v>
      </c>
      <c r="BW479" s="61">
        <v>37.729999999999997</v>
      </c>
      <c r="BX479" s="67">
        <v>303.86500000000001</v>
      </c>
      <c r="BY479" s="68">
        <v>136965</v>
      </c>
      <c r="BZ479" s="68">
        <v>110228</v>
      </c>
      <c r="CA479" s="69">
        <v>2572</v>
      </c>
      <c r="CB479" s="68">
        <v>127384</v>
      </c>
      <c r="CC479" s="68">
        <v>30099</v>
      </c>
      <c r="CD479" s="68">
        <v>123206</v>
      </c>
      <c r="CE479" s="64"/>
      <c r="CF479" s="64"/>
      <c r="CG479" s="70">
        <f t="shared" si="37"/>
        <v>5350.1279999999997</v>
      </c>
      <c r="CH479" s="70">
        <f t="shared" si="38"/>
        <v>108.024</v>
      </c>
      <c r="CI479" s="70">
        <f t="shared" si="39"/>
        <v>1264.1579999999999</v>
      </c>
      <c r="CJ479" s="70">
        <f t="shared" si="40"/>
        <v>5752.53</v>
      </c>
      <c r="CK479" s="70">
        <f t="shared" si="40"/>
        <v>4629.576</v>
      </c>
      <c r="CL479" s="70">
        <f t="shared" si="36"/>
        <v>5174.652</v>
      </c>
      <c r="CM479" s="61"/>
      <c r="CN479" s="61"/>
      <c r="CO479" s="61"/>
      <c r="CP479" s="61"/>
      <c r="CQ479" s="61"/>
      <c r="CR479" s="61"/>
      <c r="CS479" s="61"/>
      <c r="CT479" s="61"/>
      <c r="CU479" s="61"/>
      <c r="CV479" s="61"/>
      <c r="CW479" s="61"/>
      <c r="CX479" s="61"/>
      <c r="CY479" s="61"/>
      <c r="CZ479" s="61"/>
      <c r="DA479" s="61"/>
      <c r="DB479" s="61"/>
      <c r="DC479" s="61"/>
      <c r="DD479" s="61"/>
      <c r="DE479" s="61"/>
      <c r="DF479" s="61"/>
      <c r="DG479" s="61"/>
      <c r="DH479" s="61"/>
      <c r="DI479" s="61"/>
      <c r="DJ479" s="61"/>
      <c r="DK479" s="61"/>
      <c r="DL479" s="61"/>
      <c r="DM479" s="61"/>
      <c r="DN479" s="61"/>
      <c r="DO479" s="61"/>
      <c r="DP479" s="61"/>
      <c r="DQ479" s="61"/>
      <c r="DR479" s="61"/>
      <c r="DS479" s="61"/>
      <c r="DT479" s="61"/>
      <c r="DU479" s="61"/>
      <c r="DV479" s="61"/>
      <c r="DW479" s="61"/>
      <c r="DX479" s="61"/>
      <c r="DY479" s="61"/>
      <c r="DZ479" s="61"/>
      <c r="EA479" s="61"/>
      <c r="EB479" s="61"/>
      <c r="EC479" s="61"/>
      <c r="ED479" s="61"/>
      <c r="EE479" s="61"/>
      <c r="EF479" s="61"/>
      <c r="EG479" s="61"/>
      <c r="EH479" s="61"/>
      <c r="EI479" s="61"/>
      <c r="EJ479" s="61"/>
      <c r="EK479" s="61"/>
      <c r="EL479" s="61"/>
      <c r="EM479" s="61"/>
      <c r="EN479" s="61"/>
      <c r="EO479" s="61"/>
      <c r="EP479" s="61"/>
      <c r="EQ479" s="61"/>
      <c r="ER479" s="61"/>
      <c r="ES479" s="61"/>
      <c r="ET479" s="61"/>
      <c r="EU479" s="61"/>
      <c r="EV479" s="61"/>
      <c r="EW479" s="61"/>
    </row>
    <row r="480" spans="1:153">
      <c r="A480" s="56">
        <v>41183</v>
      </c>
      <c r="B480" s="57">
        <v>2012</v>
      </c>
      <c r="C480" s="71">
        <v>9.7379999999999995</v>
      </c>
      <c r="D480" s="61">
        <v>0.13300000000000001</v>
      </c>
      <c r="E480" s="61">
        <v>1792.4480000000001</v>
      </c>
      <c r="F480" s="61">
        <v>75.283000000000001</v>
      </c>
      <c r="G480" s="61">
        <v>9.6059999999999999</v>
      </c>
      <c r="H480" s="61">
        <v>60</v>
      </c>
      <c r="I480" s="61">
        <v>209.08699999999999</v>
      </c>
      <c r="J480" s="61">
        <v>-149.08699999999999</v>
      </c>
      <c r="K480" s="61">
        <v>2175.7350000000001</v>
      </c>
      <c r="L480" s="61">
        <v>127.221</v>
      </c>
      <c r="M480" s="61">
        <v>1516.14</v>
      </c>
      <c r="N480" s="61">
        <v>63.677999999999997</v>
      </c>
      <c r="O480" s="71">
        <v>8.125</v>
      </c>
      <c r="P480" s="60">
        <v>180.24</v>
      </c>
      <c r="Q480" s="61">
        <v>152.97</v>
      </c>
      <c r="R480" s="61">
        <v>373.976</v>
      </c>
      <c r="S480" s="61">
        <v>683.12800000000004</v>
      </c>
      <c r="T480" s="61">
        <v>157.02000000000001</v>
      </c>
      <c r="U480" s="61">
        <v>18.027000000000001</v>
      </c>
      <c r="V480" s="61">
        <v>13.866</v>
      </c>
      <c r="W480" s="61">
        <v>120.241</v>
      </c>
      <c r="X480" s="61">
        <v>180.24</v>
      </c>
      <c r="Y480" s="61">
        <v>40.765999999999998</v>
      </c>
      <c r="Z480" s="61">
        <v>158.72900000000001</v>
      </c>
      <c r="AA480" s="61">
        <v>379.73500000000001</v>
      </c>
      <c r="AB480" s="60">
        <v>688.88699999999994</v>
      </c>
      <c r="AC480" s="62">
        <v>91.757999999999996</v>
      </c>
      <c r="AD480" s="61">
        <v>3.8540000000000001</v>
      </c>
      <c r="AE480" s="61">
        <v>0.504</v>
      </c>
      <c r="AF480" s="61">
        <v>114</v>
      </c>
      <c r="AG480" s="61">
        <v>0</v>
      </c>
      <c r="AH480" s="61">
        <v>0</v>
      </c>
      <c r="AI480" s="61">
        <v>205.75800000000001</v>
      </c>
      <c r="AJ480" s="61">
        <v>8.6419999999999995</v>
      </c>
      <c r="AK480" s="62">
        <v>1.1299999999999999</v>
      </c>
      <c r="AL480" s="63">
        <f t="shared" si="41"/>
        <v>8.6419999999999995</v>
      </c>
      <c r="AM480" s="64">
        <v>1.1299999999999999</v>
      </c>
      <c r="AN480" s="65" t="e">
        <v>#N/A</v>
      </c>
      <c r="AO480" s="61" t="e">
        <v>#N/A</v>
      </c>
      <c r="AP480" s="61" t="e">
        <v>#N/A</v>
      </c>
      <c r="AQ480" s="61" t="e">
        <v>#N/A</v>
      </c>
      <c r="AR480" s="61" t="e">
        <v>#N/A</v>
      </c>
      <c r="AS480" s="61" t="e">
        <v>#N/A</v>
      </c>
      <c r="AT480" s="61" t="e">
        <v>#N/A</v>
      </c>
      <c r="AU480" s="61" t="e">
        <v>#N/A</v>
      </c>
      <c r="AV480" s="61" t="e">
        <v>#N/A</v>
      </c>
      <c r="AW480" s="61" t="e">
        <v>#N/A</v>
      </c>
      <c r="AX480" s="65" t="e">
        <v>#N/A</v>
      </c>
      <c r="AY480" s="66">
        <v>3.3540000000000001</v>
      </c>
      <c r="AZ480" s="61">
        <v>6.7249999999999996</v>
      </c>
      <c r="BA480" s="61">
        <v>37.106000000000002</v>
      </c>
      <c r="BB480" s="61">
        <v>47.186</v>
      </c>
      <c r="BC480" s="61">
        <v>2.1000000000000001E-2</v>
      </c>
      <c r="BD480" s="61">
        <v>1.669</v>
      </c>
      <c r="BE480" s="61">
        <v>2.629</v>
      </c>
      <c r="BF480" s="61">
        <v>0.05</v>
      </c>
      <c r="BG480" s="61">
        <v>5.12</v>
      </c>
      <c r="BH480" s="61">
        <v>3.8980000000000001</v>
      </c>
      <c r="BI480" s="61">
        <v>0.223</v>
      </c>
      <c r="BJ480" s="61">
        <v>9.2409999999999997</v>
      </c>
      <c r="BK480" s="66">
        <v>13.61</v>
      </c>
      <c r="BL480" s="67">
        <v>91.45</v>
      </c>
      <c r="BM480" s="61">
        <v>8.125</v>
      </c>
      <c r="BN480" s="61">
        <v>1.1299999999999999</v>
      </c>
      <c r="BO480" s="61" t="s">
        <v>121</v>
      </c>
      <c r="BP480" s="61">
        <v>100.706</v>
      </c>
      <c r="BQ480" s="61">
        <v>155.16900000000001</v>
      </c>
      <c r="BR480" s="61">
        <v>12.648</v>
      </c>
      <c r="BS480" s="61">
        <v>3.9489999999999998</v>
      </c>
      <c r="BT480" s="61">
        <v>120.17100000000001</v>
      </c>
      <c r="BU480" s="61">
        <v>15.106</v>
      </c>
      <c r="BV480" s="61">
        <v>22.484999999999999</v>
      </c>
      <c r="BW480" s="61">
        <v>37.591000000000001</v>
      </c>
      <c r="BX480" s="67">
        <v>329.529</v>
      </c>
      <c r="BY480" s="68">
        <v>139805</v>
      </c>
      <c r="BZ480" s="68">
        <v>119424</v>
      </c>
      <c r="CA480" s="69">
        <v>2722</v>
      </c>
      <c r="CB480" s="68">
        <v>118653</v>
      </c>
      <c r="CC480" s="68">
        <v>32471</v>
      </c>
      <c r="CD480" s="68">
        <v>124263</v>
      </c>
      <c r="CE480" s="64"/>
      <c r="CF480" s="64"/>
      <c r="CG480" s="70">
        <f t="shared" si="37"/>
        <v>4983.4260000000004</v>
      </c>
      <c r="CH480" s="70">
        <f t="shared" si="38"/>
        <v>114.324</v>
      </c>
      <c r="CI480" s="70">
        <f t="shared" si="39"/>
        <v>1363.7819999999999</v>
      </c>
      <c r="CJ480" s="70">
        <f t="shared" si="40"/>
        <v>5871.81</v>
      </c>
      <c r="CK480" s="70">
        <f t="shared" si="40"/>
        <v>5015.808</v>
      </c>
      <c r="CL480" s="70">
        <f t="shared" si="36"/>
        <v>5219.0460000000003</v>
      </c>
      <c r="CM480" s="61"/>
      <c r="CN480" s="61"/>
      <c r="CO480" s="61"/>
      <c r="CP480" s="61"/>
      <c r="CQ480" s="61"/>
      <c r="CR480" s="61"/>
      <c r="CS480" s="61"/>
      <c r="CT480" s="61"/>
      <c r="CU480" s="61"/>
      <c r="CV480" s="61"/>
      <c r="CW480" s="61"/>
      <c r="CX480" s="61"/>
      <c r="CY480" s="61"/>
      <c r="CZ480" s="61"/>
      <c r="DA480" s="61"/>
      <c r="DB480" s="61"/>
      <c r="DC480" s="61"/>
      <c r="DD480" s="61"/>
      <c r="DE480" s="61"/>
      <c r="DF480" s="61"/>
      <c r="DG480" s="61"/>
      <c r="DH480" s="61"/>
      <c r="DI480" s="61"/>
      <c r="DJ480" s="61"/>
      <c r="DK480" s="61"/>
      <c r="DL480" s="61"/>
      <c r="DM480" s="61"/>
      <c r="DN480" s="61"/>
      <c r="DO480" s="61"/>
      <c r="DP480" s="61"/>
      <c r="DQ480" s="61"/>
      <c r="DR480" s="61"/>
      <c r="DS480" s="61"/>
      <c r="DT480" s="61"/>
      <c r="DU480" s="61"/>
      <c r="DV480" s="61"/>
      <c r="DW480" s="61"/>
      <c r="DX480" s="61"/>
      <c r="DY480" s="61"/>
      <c r="DZ480" s="61"/>
      <c r="EA480" s="61"/>
      <c r="EB480" s="61"/>
      <c r="EC480" s="61"/>
      <c r="ED480" s="61"/>
      <c r="EE480" s="61"/>
      <c r="EF480" s="61"/>
      <c r="EG480" s="61"/>
      <c r="EH480" s="61"/>
      <c r="EI480" s="61"/>
      <c r="EJ480" s="61"/>
      <c r="EK480" s="61"/>
      <c r="EL480" s="61"/>
      <c r="EM480" s="61"/>
      <c r="EN480" s="61"/>
      <c r="EO480" s="61"/>
      <c r="EP480" s="61"/>
      <c r="EQ480" s="61"/>
      <c r="ER480" s="61"/>
      <c r="ES480" s="61"/>
      <c r="ET480" s="61"/>
      <c r="EU480" s="61"/>
      <c r="EV480" s="61"/>
      <c r="EW480" s="61"/>
    </row>
    <row r="481" spans="1:153">
      <c r="A481" s="56">
        <v>41214</v>
      </c>
      <c r="B481" s="57">
        <v>2012</v>
      </c>
      <c r="C481" s="71">
        <v>7.4029999999999996</v>
      </c>
      <c r="D481" s="61">
        <v>0.10100000000000001</v>
      </c>
      <c r="E481" s="61">
        <v>1362.585</v>
      </c>
      <c r="F481" s="61">
        <v>57.228999999999999</v>
      </c>
      <c r="G481" s="61">
        <v>7.3019999999999996</v>
      </c>
      <c r="H481" s="61">
        <v>9</v>
      </c>
      <c r="I481" s="61">
        <v>65.251000000000005</v>
      </c>
      <c r="J481" s="61">
        <v>-56.250999999999998</v>
      </c>
      <c r="K481" s="61">
        <v>1861.77</v>
      </c>
      <c r="L481" s="61">
        <v>-313.964</v>
      </c>
      <c r="M481" s="61">
        <v>1620.298</v>
      </c>
      <c r="N481" s="61">
        <v>68.052999999999997</v>
      </c>
      <c r="O481" s="71">
        <v>8.6829999999999998</v>
      </c>
      <c r="P481" s="60">
        <v>178.71899999999999</v>
      </c>
      <c r="Q481" s="61">
        <v>149.512</v>
      </c>
      <c r="R481" s="61">
        <v>368.90199999999999</v>
      </c>
      <c r="S481" s="61">
        <v>687.34100000000001</v>
      </c>
      <c r="T481" s="61">
        <v>178.25700000000001</v>
      </c>
      <c r="U481" s="61">
        <v>18.023</v>
      </c>
      <c r="V481" s="61">
        <v>11.311</v>
      </c>
      <c r="W481" s="61">
        <v>110.848</v>
      </c>
      <c r="X481" s="61">
        <v>178.71899999999999</v>
      </c>
      <c r="Y481" s="61">
        <v>40.670999999999999</v>
      </c>
      <c r="Z481" s="61">
        <v>149.976</v>
      </c>
      <c r="AA481" s="61">
        <v>369.36700000000002</v>
      </c>
      <c r="AB481" s="60">
        <v>687.80600000000004</v>
      </c>
      <c r="AC481" s="62">
        <v>132.874</v>
      </c>
      <c r="AD481" s="61">
        <v>5.5810000000000004</v>
      </c>
      <c r="AE481" s="61">
        <v>0.73</v>
      </c>
      <c r="AF481" s="61">
        <v>57</v>
      </c>
      <c r="AG481" s="61">
        <v>0</v>
      </c>
      <c r="AH481" s="61">
        <v>0</v>
      </c>
      <c r="AI481" s="61">
        <v>189.874</v>
      </c>
      <c r="AJ481" s="61">
        <v>7.9749999999999996</v>
      </c>
      <c r="AK481" s="62">
        <v>1.0429999999999999</v>
      </c>
      <c r="AL481" s="63">
        <f t="shared" si="41"/>
        <v>7.9749999999999996</v>
      </c>
      <c r="AM481" s="64">
        <v>1.0429999999999999</v>
      </c>
      <c r="AN481" s="65" t="e">
        <v>#N/A</v>
      </c>
      <c r="AO481" s="61" t="e">
        <v>#N/A</v>
      </c>
      <c r="AP481" s="61" t="e">
        <v>#N/A</v>
      </c>
      <c r="AQ481" s="61" t="e">
        <v>#N/A</v>
      </c>
      <c r="AR481" s="61" t="e">
        <v>#N/A</v>
      </c>
      <c r="AS481" s="61" t="e">
        <v>#N/A</v>
      </c>
      <c r="AT481" s="61" t="e">
        <v>#N/A</v>
      </c>
      <c r="AU481" s="61" t="e">
        <v>#N/A</v>
      </c>
      <c r="AV481" s="61" t="e">
        <v>#N/A</v>
      </c>
      <c r="AW481" s="61" t="e">
        <v>#N/A</v>
      </c>
      <c r="AX481" s="65" t="e">
        <v>#N/A</v>
      </c>
      <c r="AY481" s="66">
        <v>3.246</v>
      </c>
      <c r="AZ481" s="61">
        <v>5.5170000000000003</v>
      </c>
      <c r="BA481" s="61">
        <v>35.908999999999999</v>
      </c>
      <c r="BB481" s="61">
        <v>44.671999999999997</v>
      </c>
      <c r="BC481" s="61">
        <v>0.02</v>
      </c>
      <c r="BD481" s="61">
        <v>1.615</v>
      </c>
      <c r="BE481" s="61">
        <v>2.1440000000000001</v>
      </c>
      <c r="BF481" s="61">
        <v>4.5999999999999999E-2</v>
      </c>
      <c r="BG481" s="61">
        <v>4.9859999999999998</v>
      </c>
      <c r="BH481" s="61">
        <v>3.71</v>
      </c>
      <c r="BI481" s="61">
        <v>0.20300000000000001</v>
      </c>
      <c r="BJ481" s="61">
        <v>8.8989999999999991</v>
      </c>
      <c r="BK481" s="66">
        <v>12.724</v>
      </c>
      <c r="BL481" s="67">
        <v>82.945999999999998</v>
      </c>
      <c r="BM481" s="61">
        <v>8.6829999999999998</v>
      </c>
      <c r="BN481" s="61">
        <v>1.0429999999999999</v>
      </c>
      <c r="BO481" s="61" t="s">
        <v>121</v>
      </c>
      <c r="BP481" s="61">
        <v>92.673000000000002</v>
      </c>
      <c r="BQ481" s="61">
        <v>176.215</v>
      </c>
      <c r="BR481" s="61">
        <v>12.819000000000001</v>
      </c>
      <c r="BS481" s="61">
        <v>3.1890000000000001</v>
      </c>
      <c r="BT481" s="61">
        <v>110.788</v>
      </c>
      <c r="BU481" s="61">
        <v>15.019</v>
      </c>
      <c r="BV481" s="61">
        <v>22.542000000000002</v>
      </c>
      <c r="BW481" s="61">
        <v>37.561</v>
      </c>
      <c r="BX481" s="67">
        <v>340.57100000000003</v>
      </c>
      <c r="BY481" s="68">
        <v>140064</v>
      </c>
      <c r="BZ481" s="68">
        <v>115427</v>
      </c>
      <c r="CA481" s="69">
        <v>5650</v>
      </c>
      <c r="CB481" s="68">
        <v>117993</v>
      </c>
      <c r="CC481" s="68">
        <v>31828</v>
      </c>
      <c r="CD481" s="68">
        <v>124692</v>
      </c>
      <c r="CE481" s="64"/>
      <c r="CF481" s="64"/>
      <c r="CG481" s="70">
        <f t="shared" si="37"/>
        <v>4955.7060000000001</v>
      </c>
      <c r="CH481" s="70">
        <f t="shared" si="38"/>
        <v>237.3</v>
      </c>
      <c r="CI481" s="70">
        <f t="shared" si="39"/>
        <v>1336.7760000000001</v>
      </c>
      <c r="CJ481" s="70">
        <f t="shared" si="40"/>
        <v>5882.6880000000001</v>
      </c>
      <c r="CK481" s="70">
        <f t="shared" si="40"/>
        <v>4847.9340000000002</v>
      </c>
      <c r="CL481" s="70">
        <f t="shared" si="36"/>
        <v>5237.0640000000003</v>
      </c>
      <c r="CM481" s="61"/>
      <c r="CN481" s="61"/>
      <c r="CO481" s="61"/>
      <c r="CP481" s="61"/>
      <c r="CQ481" s="61"/>
      <c r="CR481" s="61"/>
      <c r="CS481" s="61"/>
      <c r="CT481" s="61"/>
      <c r="CU481" s="61"/>
      <c r="CV481" s="61"/>
      <c r="CW481" s="61"/>
      <c r="CX481" s="61"/>
      <c r="CY481" s="61"/>
      <c r="CZ481" s="61"/>
      <c r="DA481" s="61"/>
      <c r="DB481" s="61"/>
      <c r="DC481" s="61"/>
      <c r="DD481" s="61"/>
      <c r="DE481" s="61"/>
      <c r="DF481" s="61"/>
      <c r="DG481" s="61"/>
      <c r="DH481" s="61"/>
      <c r="DI481" s="61"/>
      <c r="DJ481" s="61"/>
      <c r="DK481" s="61"/>
      <c r="DL481" s="61"/>
      <c r="DM481" s="61"/>
      <c r="DN481" s="61"/>
      <c r="DO481" s="61"/>
      <c r="DP481" s="61"/>
      <c r="DQ481" s="61"/>
      <c r="DR481" s="61"/>
      <c r="DS481" s="61"/>
      <c r="DT481" s="61"/>
      <c r="DU481" s="61"/>
      <c r="DV481" s="61"/>
      <c r="DW481" s="61"/>
      <c r="DX481" s="61"/>
      <c r="DY481" s="61"/>
      <c r="DZ481" s="61"/>
      <c r="EA481" s="61"/>
      <c r="EB481" s="61"/>
      <c r="EC481" s="61"/>
      <c r="ED481" s="61"/>
      <c r="EE481" s="61"/>
      <c r="EF481" s="61"/>
      <c r="EG481" s="61"/>
      <c r="EH481" s="61"/>
      <c r="EI481" s="61"/>
      <c r="EJ481" s="61"/>
      <c r="EK481" s="61"/>
      <c r="EL481" s="61"/>
      <c r="EM481" s="61"/>
      <c r="EN481" s="61"/>
      <c r="EO481" s="61"/>
      <c r="EP481" s="61"/>
      <c r="EQ481" s="61"/>
      <c r="ER481" s="61"/>
      <c r="ES481" s="61"/>
      <c r="ET481" s="61"/>
      <c r="EU481" s="61"/>
      <c r="EV481" s="61"/>
      <c r="EW481" s="61"/>
    </row>
    <row r="482" spans="1:153">
      <c r="A482" s="56">
        <v>41244</v>
      </c>
      <c r="B482" s="57">
        <v>2012</v>
      </c>
      <c r="C482" s="71">
        <v>7.6360000000000001</v>
      </c>
      <c r="D482" s="61">
        <v>0.104</v>
      </c>
      <c r="E482" s="61">
        <v>1405.5319999999999</v>
      </c>
      <c r="F482" s="61">
        <v>59.031999999999996</v>
      </c>
      <c r="G482" s="61">
        <v>7.532</v>
      </c>
      <c r="H482" s="61">
        <v>71</v>
      </c>
      <c r="I482" s="61">
        <v>143.46</v>
      </c>
      <c r="J482" s="61">
        <v>-72.459999999999994</v>
      </c>
      <c r="K482" s="61">
        <v>1984.356</v>
      </c>
      <c r="L482" s="61">
        <v>122.586</v>
      </c>
      <c r="M482" s="61">
        <v>1210.4860000000001</v>
      </c>
      <c r="N482" s="61">
        <v>50.84</v>
      </c>
      <c r="O482" s="71">
        <v>6.4870000000000001</v>
      </c>
      <c r="P482" s="60">
        <v>186.37100000000001</v>
      </c>
      <c r="Q482" s="61">
        <v>154.363</v>
      </c>
      <c r="R482" s="61">
        <v>383.017</v>
      </c>
      <c r="S482" s="61">
        <v>769.471</v>
      </c>
      <c r="T482" s="61">
        <v>218.71299999999999</v>
      </c>
      <c r="U482" s="61">
        <v>18.608000000000001</v>
      </c>
      <c r="V482" s="61">
        <v>10.919</v>
      </c>
      <c r="W482" s="61">
        <v>138.215</v>
      </c>
      <c r="X482" s="61">
        <v>186.37100000000001</v>
      </c>
      <c r="Y482" s="61">
        <v>42.283000000000001</v>
      </c>
      <c r="Z482" s="61">
        <v>152.46799999999999</v>
      </c>
      <c r="AA482" s="61">
        <v>381.12299999999999</v>
      </c>
      <c r="AB482" s="60">
        <v>767.577</v>
      </c>
      <c r="AC482" s="62">
        <v>90.367999999999995</v>
      </c>
      <c r="AD482" s="61">
        <v>3.7949999999999999</v>
      </c>
      <c r="AE482" s="61">
        <v>0.496</v>
      </c>
      <c r="AF482" s="61">
        <v>215</v>
      </c>
      <c r="AG482" s="61">
        <v>94</v>
      </c>
      <c r="AH482" s="61">
        <v>94</v>
      </c>
      <c r="AI482" s="61">
        <v>211.36799999999999</v>
      </c>
      <c r="AJ482" s="61">
        <v>8.8770000000000007</v>
      </c>
      <c r="AK482" s="62">
        <v>1.161</v>
      </c>
      <c r="AL482" s="63">
        <f t="shared" si="41"/>
        <v>8.8770000000000007</v>
      </c>
      <c r="AM482" s="64">
        <v>1.161</v>
      </c>
      <c r="AN482" s="65" t="e">
        <v>#N/A</v>
      </c>
      <c r="AO482" s="61" t="e">
        <v>#N/A</v>
      </c>
      <c r="AP482" s="61" t="e">
        <v>#N/A</v>
      </c>
      <c r="AQ482" s="61" t="e">
        <v>#N/A</v>
      </c>
      <c r="AR482" s="61" t="e">
        <v>#N/A</v>
      </c>
      <c r="AS482" s="61" t="e">
        <v>#N/A</v>
      </c>
      <c r="AT482" s="61" t="e">
        <v>#N/A</v>
      </c>
      <c r="AU482" s="61" t="e">
        <v>#N/A</v>
      </c>
      <c r="AV482" s="61" t="e">
        <v>#N/A</v>
      </c>
      <c r="AW482" s="61" t="e">
        <v>#N/A</v>
      </c>
      <c r="AX482" s="65" t="e">
        <v>#N/A</v>
      </c>
      <c r="AY482" s="66">
        <v>3.3540000000000001</v>
      </c>
      <c r="AZ482" s="61">
        <v>5.2359999999999998</v>
      </c>
      <c r="BA482" s="61">
        <v>37.106000000000002</v>
      </c>
      <c r="BB482" s="61">
        <v>45.697000000000003</v>
      </c>
      <c r="BC482" s="61">
        <v>2.1000000000000001E-2</v>
      </c>
      <c r="BD482" s="61">
        <v>1.669</v>
      </c>
      <c r="BE482" s="61">
        <v>2.024</v>
      </c>
      <c r="BF482" s="61">
        <v>0.05</v>
      </c>
      <c r="BG482" s="61">
        <v>5.1479999999999997</v>
      </c>
      <c r="BH482" s="61">
        <v>3.907</v>
      </c>
      <c r="BI482" s="61">
        <v>0.20899999999999999</v>
      </c>
      <c r="BJ482" s="61">
        <v>9.2639999999999993</v>
      </c>
      <c r="BK482" s="66">
        <v>13.026999999999999</v>
      </c>
      <c r="BL482" s="67">
        <v>85.555000000000007</v>
      </c>
      <c r="BM482" s="61">
        <v>6.4870000000000001</v>
      </c>
      <c r="BN482" s="61">
        <v>1.161</v>
      </c>
      <c r="BO482" s="61" t="s">
        <v>121</v>
      </c>
      <c r="BP482" s="61">
        <v>93.203000000000003</v>
      </c>
      <c r="BQ482" s="61">
        <v>216.922</v>
      </c>
      <c r="BR482" s="61">
        <v>13.23</v>
      </c>
      <c r="BS482" s="61">
        <v>3.2229999999999999</v>
      </c>
      <c r="BT482" s="61">
        <v>138.143</v>
      </c>
      <c r="BU482" s="61">
        <v>16.338000000000001</v>
      </c>
      <c r="BV482" s="61">
        <v>23.718</v>
      </c>
      <c r="BW482" s="61">
        <v>40.055</v>
      </c>
      <c r="BX482" s="67">
        <v>411.57299999999998</v>
      </c>
      <c r="BY482" s="68">
        <v>151417</v>
      </c>
      <c r="BZ482" s="68">
        <v>109393</v>
      </c>
      <c r="CA482" s="69">
        <v>5880</v>
      </c>
      <c r="CB482" s="68">
        <v>134809</v>
      </c>
      <c r="CC482" s="68">
        <v>31724</v>
      </c>
      <c r="CD482" s="68">
        <v>135286</v>
      </c>
      <c r="CE482" s="64"/>
      <c r="CF482" s="64"/>
      <c r="CG482" s="70">
        <f t="shared" si="37"/>
        <v>5661.9780000000001</v>
      </c>
      <c r="CH482" s="70">
        <f t="shared" si="38"/>
        <v>246.96</v>
      </c>
      <c r="CI482" s="70">
        <f t="shared" si="39"/>
        <v>1332.4079999999999</v>
      </c>
      <c r="CJ482" s="70">
        <f t="shared" si="40"/>
        <v>6359.5140000000001</v>
      </c>
      <c r="CK482" s="70">
        <f t="shared" si="40"/>
        <v>4594.5060000000003</v>
      </c>
      <c r="CL482" s="70">
        <f t="shared" si="36"/>
        <v>5682.0119999999997</v>
      </c>
      <c r="CM482" s="61"/>
      <c r="CN482" s="61"/>
      <c r="CO482" s="61"/>
      <c r="CP482" s="61"/>
      <c r="CQ482" s="61"/>
      <c r="CR482" s="61"/>
      <c r="CS482" s="61"/>
      <c r="CT482" s="61"/>
      <c r="CU482" s="61"/>
      <c r="CV482" s="61"/>
      <c r="CW482" s="61"/>
      <c r="CX482" s="61"/>
      <c r="CY482" s="61"/>
      <c r="CZ482" s="61"/>
      <c r="DA482" s="61"/>
      <c r="DB482" s="61"/>
      <c r="DC482" s="61"/>
      <c r="DD482" s="61"/>
      <c r="DE482" s="61"/>
      <c r="DF482" s="61"/>
      <c r="DG482" s="61"/>
      <c r="DH482" s="61"/>
      <c r="DI482" s="61"/>
      <c r="DJ482" s="61"/>
      <c r="DK482" s="61"/>
      <c r="DL482" s="61"/>
      <c r="DM482" s="61"/>
      <c r="DN482" s="61"/>
      <c r="DO482" s="61"/>
      <c r="DP482" s="61"/>
      <c r="DQ482" s="61"/>
      <c r="DR482" s="61"/>
      <c r="DS482" s="61"/>
      <c r="DT482" s="61"/>
      <c r="DU482" s="61"/>
      <c r="DV482" s="61"/>
      <c r="DW482" s="61"/>
      <c r="DX482" s="61"/>
      <c r="DY482" s="61"/>
      <c r="DZ482" s="61"/>
      <c r="EA482" s="61"/>
      <c r="EB482" s="61"/>
      <c r="EC482" s="61"/>
      <c r="ED482" s="61"/>
      <c r="EE482" s="61"/>
      <c r="EF482" s="61"/>
      <c r="EG482" s="61"/>
      <c r="EH482" s="61"/>
      <c r="EI482" s="61"/>
      <c r="EJ482" s="61"/>
      <c r="EK482" s="61"/>
      <c r="EL482" s="61"/>
      <c r="EM482" s="61"/>
      <c r="EN482" s="61"/>
      <c r="EO482" s="61"/>
      <c r="EP482" s="61"/>
      <c r="EQ482" s="61"/>
      <c r="ER482" s="61"/>
      <c r="ES482" s="61"/>
      <c r="ET482" s="61"/>
      <c r="EU482" s="61"/>
      <c r="EV482" s="61"/>
      <c r="EW482" s="61"/>
    </row>
    <row r="483" spans="1:153">
      <c r="A483" s="56">
        <v>41275</v>
      </c>
      <c r="B483" s="57">
        <v>2013</v>
      </c>
      <c r="C483" s="71">
        <v>8.9079999999999995</v>
      </c>
      <c r="D483" s="61">
        <v>0.121</v>
      </c>
      <c r="E483" s="61">
        <v>1639.6179999999999</v>
      </c>
      <c r="F483" s="61">
        <v>68.864000000000004</v>
      </c>
      <c r="G483" s="61">
        <v>8.7870000000000008</v>
      </c>
      <c r="H483" s="61">
        <v>38</v>
      </c>
      <c r="I483" s="61">
        <v>15.683</v>
      </c>
      <c r="J483" s="61">
        <v>22.317</v>
      </c>
      <c r="K483" s="61">
        <v>2001.8689999999999</v>
      </c>
      <c r="L483" s="61">
        <v>17.513999999999999</v>
      </c>
      <c r="M483" s="61">
        <v>1644.421</v>
      </c>
      <c r="N483" s="61">
        <v>69.066000000000003</v>
      </c>
      <c r="O483" s="71">
        <v>8.8119999999999994</v>
      </c>
      <c r="P483" s="60">
        <v>199.65799999999999</v>
      </c>
      <c r="Q483" s="61">
        <v>150.62299999999999</v>
      </c>
      <c r="R483" s="61">
        <v>391.71300000000002</v>
      </c>
      <c r="S483" s="61">
        <v>798.30100000000004</v>
      </c>
      <c r="T483" s="61">
        <v>236.88900000000001</v>
      </c>
      <c r="U483" s="61">
        <v>18.577999999999999</v>
      </c>
      <c r="V483" s="61">
        <v>10.500999999999999</v>
      </c>
      <c r="W483" s="61">
        <v>140.62</v>
      </c>
      <c r="X483" s="61">
        <v>199.65799999999999</v>
      </c>
      <c r="Y483" s="61">
        <v>41.432000000000002</v>
      </c>
      <c r="Z483" s="61">
        <v>149.65299999999999</v>
      </c>
      <c r="AA483" s="61">
        <v>390.74299999999999</v>
      </c>
      <c r="AB483" s="60">
        <v>797.33100000000002</v>
      </c>
      <c r="AC483" s="62">
        <v>30.446999999999999</v>
      </c>
      <c r="AD483" s="61">
        <v>1.2789999999999999</v>
      </c>
      <c r="AE483" s="61">
        <v>0.16700000000000001</v>
      </c>
      <c r="AF483" s="61"/>
      <c r="AG483" s="61">
        <v>79</v>
      </c>
      <c r="AH483" s="61">
        <v>-15</v>
      </c>
      <c r="AI483" s="61">
        <v>45.447000000000003</v>
      </c>
      <c r="AJ483" s="61">
        <v>1.909</v>
      </c>
      <c r="AK483" s="62">
        <v>0.25</v>
      </c>
      <c r="AL483" s="63">
        <f t="shared" si="41"/>
        <v>1.909</v>
      </c>
      <c r="AM483" s="64">
        <v>0.25</v>
      </c>
      <c r="AN483" s="65" t="e">
        <v>#N/A</v>
      </c>
      <c r="AO483" s="61" t="e">
        <v>#N/A</v>
      </c>
      <c r="AP483" s="61" t="e">
        <v>#N/A</v>
      </c>
      <c r="AQ483" s="61" t="e">
        <v>#N/A</v>
      </c>
      <c r="AR483" s="61" t="e">
        <v>#N/A</v>
      </c>
      <c r="AS483" s="61" t="e">
        <v>#N/A</v>
      </c>
      <c r="AT483" s="61" t="e">
        <v>#N/A</v>
      </c>
      <c r="AU483" s="61" t="e">
        <v>#N/A</v>
      </c>
      <c r="AV483" s="61" t="e">
        <v>#N/A</v>
      </c>
      <c r="AW483" s="61" t="e">
        <v>#N/A</v>
      </c>
      <c r="AX483" s="65" t="e">
        <v>#N/A</v>
      </c>
      <c r="AY483" s="66">
        <v>3.363</v>
      </c>
      <c r="AZ483" s="61">
        <v>4.9530000000000003</v>
      </c>
      <c r="BA483" s="61">
        <v>48.551000000000002</v>
      </c>
      <c r="BB483" s="61">
        <v>56.866999999999997</v>
      </c>
      <c r="BC483" s="61">
        <v>3.6999999999999998E-2</v>
      </c>
      <c r="BD483" s="61">
        <v>1.673</v>
      </c>
      <c r="BE483" s="61">
        <v>2.21</v>
      </c>
      <c r="BF483" s="61">
        <v>5.8000000000000003E-2</v>
      </c>
      <c r="BG483" s="61">
        <v>5.9560000000000004</v>
      </c>
      <c r="BH483" s="61">
        <v>3.8109999999999999</v>
      </c>
      <c r="BI483" s="61">
        <v>0.20699999999999999</v>
      </c>
      <c r="BJ483" s="61">
        <v>9.9740000000000002</v>
      </c>
      <c r="BK483" s="66">
        <v>13.952999999999999</v>
      </c>
      <c r="BL483" s="67">
        <v>83.26</v>
      </c>
      <c r="BM483" s="61">
        <v>8.8119999999999994</v>
      </c>
      <c r="BN483" s="61">
        <v>0.25</v>
      </c>
      <c r="BO483" s="61" t="s">
        <v>121</v>
      </c>
      <c r="BP483" s="61">
        <v>92.322000000000003</v>
      </c>
      <c r="BQ483" s="61">
        <v>233.76499999999999</v>
      </c>
      <c r="BR483" s="61">
        <v>13.185</v>
      </c>
      <c r="BS483" s="61">
        <v>2.8610000000000002</v>
      </c>
      <c r="BT483" s="61">
        <v>140.53299999999999</v>
      </c>
      <c r="BU483" s="61">
        <v>17.125</v>
      </c>
      <c r="BV483" s="61">
        <v>21.959</v>
      </c>
      <c r="BW483" s="61">
        <v>39.084000000000003</v>
      </c>
      <c r="BX483" s="67">
        <v>429.428</v>
      </c>
      <c r="BY483" s="68">
        <v>138875</v>
      </c>
      <c r="BZ483" s="68">
        <v>125916</v>
      </c>
      <c r="CA483" s="69">
        <v>6616</v>
      </c>
      <c r="CB483" s="68">
        <v>131268</v>
      </c>
      <c r="CC483" s="68">
        <v>23996</v>
      </c>
      <c r="CD483" s="68">
        <v>123458</v>
      </c>
      <c r="CE483" s="64"/>
      <c r="CF483" s="64"/>
      <c r="CG483" s="70">
        <f t="shared" si="37"/>
        <v>5513.2560000000003</v>
      </c>
      <c r="CH483" s="70">
        <f t="shared" si="38"/>
        <v>277.87200000000001</v>
      </c>
      <c r="CI483" s="70">
        <f t="shared" si="39"/>
        <v>1007.832</v>
      </c>
      <c r="CJ483" s="70">
        <f t="shared" si="40"/>
        <v>5832.75</v>
      </c>
      <c r="CK483" s="70">
        <f t="shared" si="40"/>
        <v>5288.4719999999998</v>
      </c>
      <c r="CL483" s="70">
        <f t="shared" si="36"/>
        <v>5185.2359999999999</v>
      </c>
      <c r="CM483" s="61"/>
      <c r="CN483" s="61"/>
      <c r="CO483" s="61"/>
      <c r="CP483" s="61"/>
      <c r="CQ483" s="61"/>
      <c r="CR483" s="61"/>
      <c r="CS483" s="61"/>
      <c r="CT483" s="61"/>
      <c r="CU483" s="61"/>
      <c r="CV483" s="61"/>
      <c r="CW483" s="61"/>
      <c r="CX483" s="61"/>
      <c r="CY483" s="61"/>
      <c r="CZ483" s="61"/>
      <c r="DA483" s="61"/>
      <c r="DB483" s="61"/>
      <c r="DC483" s="61"/>
      <c r="DD483" s="61"/>
      <c r="DE483" s="61"/>
      <c r="DF483" s="61"/>
      <c r="DG483" s="61"/>
      <c r="DH483" s="61"/>
      <c r="DI483" s="61"/>
      <c r="DJ483" s="61"/>
      <c r="DK483" s="61"/>
      <c r="DL483" s="61"/>
      <c r="DM483" s="61"/>
      <c r="DN483" s="61"/>
      <c r="DO483" s="61"/>
      <c r="DP483" s="61"/>
      <c r="DQ483" s="61"/>
      <c r="DR483" s="61"/>
      <c r="DS483" s="61"/>
      <c r="DT483" s="61"/>
      <c r="DU483" s="61"/>
      <c r="DV483" s="61"/>
      <c r="DW483" s="61"/>
      <c r="DX483" s="61"/>
      <c r="DY483" s="61"/>
      <c r="DZ483" s="61"/>
      <c r="EA483" s="61"/>
      <c r="EB483" s="61"/>
      <c r="EC483" s="61"/>
      <c r="ED483" s="61"/>
      <c r="EE483" s="61"/>
      <c r="EF483" s="61"/>
      <c r="EG483" s="61"/>
      <c r="EH483" s="61"/>
      <c r="EI483" s="61"/>
      <c r="EJ483" s="61"/>
      <c r="EK483" s="61"/>
      <c r="EL483" s="61"/>
      <c r="EM483" s="61"/>
      <c r="EN483" s="61"/>
      <c r="EO483" s="61"/>
      <c r="EP483" s="61"/>
      <c r="EQ483" s="61"/>
      <c r="ER483" s="61"/>
      <c r="ES483" s="61"/>
      <c r="ET483" s="61"/>
      <c r="EU483" s="61"/>
      <c r="EV483" s="61"/>
      <c r="EW483" s="61"/>
    </row>
    <row r="484" spans="1:153">
      <c r="A484" s="56">
        <v>41306</v>
      </c>
      <c r="B484" s="57">
        <v>2013</v>
      </c>
      <c r="C484" s="71">
        <v>9.0850000000000009</v>
      </c>
      <c r="D484" s="61">
        <v>0.124</v>
      </c>
      <c r="E484" s="61">
        <v>1672.2449999999999</v>
      </c>
      <c r="F484" s="61">
        <v>70.233999999999995</v>
      </c>
      <c r="G484" s="61">
        <v>8.9619999999999997</v>
      </c>
      <c r="H484" s="61">
        <v>88</v>
      </c>
      <c r="I484" s="61">
        <v>36.991</v>
      </c>
      <c r="J484" s="61">
        <v>51.009</v>
      </c>
      <c r="K484" s="61">
        <v>2025.81</v>
      </c>
      <c r="L484" s="61">
        <v>23.94</v>
      </c>
      <c r="M484" s="61">
        <v>1699.3140000000001</v>
      </c>
      <c r="N484" s="61">
        <v>71.370999999999995</v>
      </c>
      <c r="O484" s="71">
        <v>9.1069999999999993</v>
      </c>
      <c r="P484" s="60">
        <v>179.53</v>
      </c>
      <c r="Q484" s="61">
        <v>137.72900000000001</v>
      </c>
      <c r="R484" s="61">
        <v>354.25099999999998</v>
      </c>
      <c r="S484" s="61">
        <v>712.28599999999994</v>
      </c>
      <c r="T484" s="61">
        <v>194.81299999999999</v>
      </c>
      <c r="U484" s="61">
        <v>16.666</v>
      </c>
      <c r="V484" s="61">
        <v>12.260999999999999</v>
      </c>
      <c r="W484" s="61">
        <v>134.29499999999999</v>
      </c>
      <c r="X484" s="61">
        <v>179.53</v>
      </c>
      <c r="Y484" s="61">
        <v>36.991999999999997</v>
      </c>
      <c r="Z484" s="61">
        <v>139.73500000000001</v>
      </c>
      <c r="AA484" s="61">
        <v>356.25700000000001</v>
      </c>
      <c r="AB484" s="60">
        <v>714.29200000000003</v>
      </c>
      <c r="AC484" s="62">
        <v>30.777999999999999</v>
      </c>
      <c r="AD484" s="61">
        <v>1.2929999999999999</v>
      </c>
      <c r="AE484" s="61">
        <v>0.16900000000000001</v>
      </c>
      <c r="AF484" s="61">
        <v>218</v>
      </c>
      <c r="AG484" s="61">
        <v>58</v>
      </c>
      <c r="AH484" s="61">
        <v>-21</v>
      </c>
      <c r="AI484" s="61">
        <v>269.77800000000002</v>
      </c>
      <c r="AJ484" s="61">
        <v>11.331</v>
      </c>
      <c r="AK484" s="62">
        <v>1.482</v>
      </c>
      <c r="AL484" s="63">
        <f t="shared" si="41"/>
        <v>11.331</v>
      </c>
      <c r="AM484" s="64">
        <v>1.482</v>
      </c>
      <c r="AN484" s="65" t="e">
        <v>#N/A</v>
      </c>
      <c r="AO484" s="61" t="e">
        <v>#N/A</v>
      </c>
      <c r="AP484" s="61" t="e">
        <v>#N/A</v>
      </c>
      <c r="AQ484" s="61" t="e">
        <v>#N/A</v>
      </c>
      <c r="AR484" s="61" t="e">
        <v>#N/A</v>
      </c>
      <c r="AS484" s="61" t="e">
        <v>#N/A</v>
      </c>
      <c r="AT484" s="61" t="e">
        <v>#N/A</v>
      </c>
      <c r="AU484" s="61" t="e">
        <v>#N/A</v>
      </c>
      <c r="AV484" s="61" t="e">
        <v>#N/A</v>
      </c>
      <c r="AW484" s="61" t="e">
        <v>#N/A</v>
      </c>
      <c r="AX484" s="65" t="e">
        <v>#N/A</v>
      </c>
      <c r="AY484" s="66">
        <v>3.0379999999999998</v>
      </c>
      <c r="AZ484" s="61">
        <v>5.3390000000000004</v>
      </c>
      <c r="BA484" s="61">
        <v>43.853000000000002</v>
      </c>
      <c r="BB484" s="61">
        <v>52.23</v>
      </c>
      <c r="BC484" s="61">
        <v>0.04</v>
      </c>
      <c r="BD484" s="61">
        <v>1.5109999999999999</v>
      </c>
      <c r="BE484" s="61">
        <v>2.4300000000000002</v>
      </c>
      <c r="BF484" s="61">
        <v>4.8000000000000001E-2</v>
      </c>
      <c r="BG484" s="61">
        <v>5.3849999999999998</v>
      </c>
      <c r="BH484" s="61">
        <v>3.407</v>
      </c>
      <c r="BI484" s="61">
        <v>0.192</v>
      </c>
      <c r="BJ484" s="61">
        <v>8.984</v>
      </c>
      <c r="BK484" s="66">
        <v>13.013</v>
      </c>
      <c r="BL484" s="67">
        <v>77.069000000000003</v>
      </c>
      <c r="BM484" s="61">
        <v>9.1069999999999993</v>
      </c>
      <c r="BN484" s="61">
        <v>1.482</v>
      </c>
      <c r="BO484" s="61" t="s">
        <v>121</v>
      </c>
      <c r="BP484" s="61">
        <v>87.658000000000001</v>
      </c>
      <c r="BQ484" s="61">
        <v>191.30799999999999</v>
      </c>
      <c r="BR484" s="61">
        <v>11.795</v>
      </c>
      <c r="BS484" s="61">
        <v>3.9769999999999999</v>
      </c>
      <c r="BT484" s="61">
        <v>134.22399999999999</v>
      </c>
      <c r="BU484" s="61">
        <v>15.3</v>
      </c>
      <c r="BV484" s="61">
        <v>19.411000000000001</v>
      </c>
      <c r="BW484" s="61">
        <v>34.710999999999999</v>
      </c>
      <c r="BX484" s="67">
        <v>376.01600000000002</v>
      </c>
      <c r="BY484" s="68">
        <v>119854</v>
      </c>
      <c r="BZ484" s="68">
        <v>111563</v>
      </c>
      <c r="CA484" s="69">
        <v>4865</v>
      </c>
      <c r="CB484" s="68">
        <v>121963</v>
      </c>
      <c r="CC484" s="68">
        <v>23329</v>
      </c>
      <c r="CD484" s="68">
        <v>106928</v>
      </c>
      <c r="CE484" s="64"/>
      <c r="CF484" s="64"/>
      <c r="CG484" s="70">
        <f t="shared" si="37"/>
        <v>5122.4459999999999</v>
      </c>
      <c r="CH484" s="70">
        <f t="shared" si="38"/>
        <v>204.33</v>
      </c>
      <c r="CI484" s="70">
        <f t="shared" si="39"/>
        <v>979.81799999999998</v>
      </c>
      <c r="CJ484" s="70">
        <f t="shared" si="40"/>
        <v>5033.8680000000004</v>
      </c>
      <c r="CK484" s="70">
        <f t="shared" si="40"/>
        <v>4685.6459999999997</v>
      </c>
      <c r="CL484" s="70">
        <f t="shared" si="36"/>
        <v>4490.9759999999997</v>
      </c>
      <c r="CM484" s="61"/>
      <c r="CN484" s="61"/>
      <c r="CO484" s="61"/>
      <c r="CP484" s="61"/>
      <c r="CQ484" s="61"/>
      <c r="CR484" s="61"/>
      <c r="CS484" s="61"/>
      <c r="CT484" s="61"/>
      <c r="CU484" s="61"/>
      <c r="CV484" s="61"/>
      <c r="CW484" s="61"/>
      <c r="CX484" s="61"/>
      <c r="CY484" s="61"/>
      <c r="CZ484" s="61"/>
      <c r="DA484" s="61"/>
      <c r="DB484" s="61"/>
      <c r="DC484" s="61"/>
      <c r="DD484" s="61"/>
      <c r="DE484" s="61"/>
      <c r="DF484" s="61"/>
      <c r="DG484" s="61"/>
      <c r="DH484" s="61"/>
      <c r="DI484" s="61"/>
      <c r="DJ484" s="61"/>
      <c r="DK484" s="61"/>
      <c r="DL484" s="61"/>
      <c r="DM484" s="61"/>
      <c r="DN484" s="61"/>
      <c r="DO484" s="61"/>
      <c r="DP484" s="61"/>
      <c r="DQ484" s="61"/>
      <c r="DR484" s="61"/>
      <c r="DS484" s="61"/>
      <c r="DT484" s="61"/>
      <c r="DU484" s="61"/>
      <c r="DV484" s="61"/>
      <c r="DW484" s="61"/>
      <c r="DX484" s="61"/>
      <c r="DY484" s="61"/>
      <c r="DZ484" s="61"/>
      <c r="EA484" s="61"/>
      <c r="EB484" s="61"/>
      <c r="EC484" s="61"/>
      <c r="ED484" s="61"/>
      <c r="EE484" s="61"/>
      <c r="EF484" s="61"/>
      <c r="EG484" s="61"/>
      <c r="EH484" s="61"/>
      <c r="EI484" s="61"/>
      <c r="EJ484" s="61"/>
      <c r="EK484" s="61"/>
      <c r="EL484" s="61"/>
      <c r="EM484" s="61"/>
      <c r="EN484" s="61"/>
      <c r="EO484" s="61"/>
      <c r="EP484" s="61"/>
      <c r="EQ484" s="61"/>
      <c r="ER484" s="61"/>
      <c r="ES484" s="61"/>
      <c r="ET484" s="61"/>
      <c r="EU484" s="61"/>
      <c r="EV484" s="61"/>
      <c r="EW484" s="61"/>
    </row>
    <row r="485" spans="1:153">
      <c r="A485" s="56">
        <v>41334</v>
      </c>
      <c r="B485" s="57">
        <v>2013</v>
      </c>
      <c r="C485" s="71">
        <v>13.102</v>
      </c>
      <c r="D485" s="61">
        <v>0.17799999999999999</v>
      </c>
      <c r="E485" s="61">
        <v>2411.5230000000001</v>
      </c>
      <c r="F485" s="61">
        <v>101.28400000000001</v>
      </c>
      <c r="G485" s="61">
        <v>12.923</v>
      </c>
      <c r="H485" s="61">
        <v>439</v>
      </c>
      <c r="I485" s="61">
        <v>176.11600000000001</v>
      </c>
      <c r="J485" s="61">
        <v>262.88400000000001</v>
      </c>
      <c r="K485" s="61">
        <v>2389.8560000000002</v>
      </c>
      <c r="L485" s="61">
        <v>364.04700000000003</v>
      </c>
      <c r="M485" s="61">
        <v>2310.36</v>
      </c>
      <c r="N485" s="61">
        <v>97.034999999999997</v>
      </c>
      <c r="O485" s="71">
        <v>12.381</v>
      </c>
      <c r="P485" s="60">
        <v>195.91800000000001</v>
      </c>
      <c r="Q485" s="61">
        <v>159.75800000000001</v>
      </c>
      <c r="R485" s="61">
        <v>397.83499999999998</v>
      </c>
      <c r="S485" s="61">
        <v>779.73699999999997</v>
      </c>
      <c r="T485" s="61">
        <v>195.91800000000001</v>
      </c>
      <c r="U485" s="61">
        <v>18.542999999999999</v>
      </c>
      <c r="V485" s="61">
        <v>17.116</v>
      </c>
      <c r="W485" s="61">
        <v>150.32499999999999</v>
      </c>
      <c r="X485" s="61">
        <v>195.91800000000001</v>
      </c>
      <c r="Y485" s="61">
        <v>42.16</v>
      </c>
      <c r="Z485" s="61">
        <v>161.57400000000001</v>
      </c>
      <c r="AA485" s="61">
        <v>399.65199999999999</v>
      </c>
      <c r="AB485" s="60">
        <v>781.553</v>
      </c>
      <c r="AC485" s="62">
        <v>44.631</v>
      </c>
      <c r="AD485" s="61">
        <v>1.8740000000000001</v>
      </c>
      <c r="AE485" s="61">
        <v>0.245</v>
      </c>
      <c r="AF485" s="61">
        <v>196</v>
      </c>
      <c r="AG485" s="61">
        <v>96</v>
      </c>
      <c r="AH485" s="61">
        <v>38</v>
      </c>
      <c r="AI485" s="61">
        <v>202.631</v>
      </c>
      <c r="AJ485" s="61">
        <v>8.51</v>
      </c>
      <c r="AK485" s="62">
        <v>1.113</v>
      </c>
      <c r="AL485" s="63">
        <f t="shared" si="41"/>
        <v>8.51</v>
      </c>
      <c r="AM485" s="64">
        <v>1.113</v>
      </c>
      <c r="AN485" s="65" t="e">
        <v>#N/A</v>
      </c>
      <c r="AO485" s="61" t="e">
        <v>#N/A</v>
      </c>
      <c r="AP485" s="61" t="e">
        <v>#N/A</v>
      </c>
      <c r="AQ485" s="61" t="e">
        <v>#N/A</v>
      </c>
      <c r="AR485" s="61" t="e">
        <v>#N/A</v>
      </c>
      <c r="AS485" s="61" t="e">
        <v>#N/A</v>
      </c>
      <c r="AT485" s="61" t="e">
        <v>#N/A</v>
      </c>
      <c r="AU485" s="61" t="e">
        <v>#N/A</v>
      </c>
      <c r="AV485" s="61" t="e">
        <v>#N/A</v>
      </c>
      <c r="AW485" s="61" t="e">
        <v>#N/A</v>
      </c>
      <c r="AX485" s="65" t="e">
        <v>#N/A</v>
      </c>
      <c r="AY485" s="66">
        <v>3.363</v>
      </c>
      <c r="AZ485" s="61">
        <v>7.3559999999999999</v>
      </c>
      <c r="BA485" s="61">
        <v>48.551000000000002</v>
      </c>
      <c r="BB485" s="61">
        <v>59.271000000000001</v>
      </c>
      <c r="BC485" s="61">
        <v>4.2000000000000003E-2</v>
      </c>
      <c r="BD485" s="61">
        <v>1.673</v>
      </c>
      <c r="BE485" s="61">
        <v>3.36</v>
      </c>
      <c r="BF485" s="61">
        <v>5.1999999999999998E-2</v>
      </c>
      <c r="BG485" s="61">
        <v>5.9649999999999999</v>
      </c>
      <c r="BH485" s="61">
        <v>3.9910000000000001</v>
      </c>
      <c r="BI485" s="61">
        <v>0.221</v>
      </c>
      <c r="BJ485" s="61">
        <v>10.177</v>
      </c>
      <c r="BK485" s="66">
        <v>15.303000000000001</v>
      </c>
      <c r="BL485" s="67">
        <v>88.677999999999997</v>
      </c>
      <c r="BM485" s="61">
        <v>12.381</v>
      </c>
      <c r="BN485" s="61">
        <v>1.113</v>
      </c>
      <c r="BO485" s="61" t="s">
        <v>121</v>
      </c>
      <c r="BP485" s="61">
        <v>102.173</v>
      </c>
      <c r="BQ485" s="61">
        <v>192.99299999999999</v>
      </c>
      <c r="BR485" s="61">
        <v>13.15</v>
      </c>
      <c r="BS485" s="61">
        <v>5.6890000000000001</v>
      </c>
      <c r="BT485" s="61">
        <v>150.249</v>
      </c>
      <c r="BU485" s="61">
        <v>16.977</v>
      </c>
      <c r="BV485" s="61">
        <v>22.518999999999998</v>
      </c>
      <c r="BW485" s="61">
        <v>39.496000000000002</v>
      </c>
      <c r="BX485" s="67">
        <v>401.57600000000002</v>
      </c>
      <c r="BY485" s="68">
        <v>132798</v>
      </c>
      <c r="BZ485" s="68">
        <v>116843</v>
      </c>
      <c r="CA485" s="69">
        <v>4515</v>
      </c>
      <c r="CB485" s="68">
        <v>118737</v>
      </c>
      <c r="CC485" s="68">
        <v>25032</v>
      </c>
      <c r="CD485" s="68">
        <v>118323</v>
      </c>
      <c r="CE485" s="64"/>
      <c r="CF485" s="64"/>
      <c r="CG485" s="70">
        <f t="shared" si="37"/>
        <v>4986.9539999999997</v>
      </c>
      <c r="CH485" s="70">
        <f t="shared" si="38"/>
        <v>189.63</v>
      </c>
      <c r="CI485" s="70">
        <f t="shared" si="39"/>
        <v>1051.3440000000001</v>
      </c>
      <c r="CJ485" s="70">
        <f t="shared" si="40"/>
        <v>5577.5159999999996</v>
      </c>
      <c r="CK485" s="70">
        <f t="shared" si="40"/>
        <v>4907.4059999999999</v>
      </c>
      <c r="CL485" s="70">
        <f t="shared" si="36"/>
        <v>4969.5659999999998</v>
      </c>
      <c r="CM485" s="61"/>
      <c r="CN485" s="61"/>
      <c r="CO485" s="61"/>
      <c r="CP485" s="61"/>
      <c r="CQ485" s="61"/>
      <c r="CR485" s="61"/>
      <c r="CS485" s="61"/>
      <c r="CT485" s="61"/>
      <c r="CU485" s="61"/>
      <c r="CV485" s="61"/>
      <c r="CW485" s="61"/>
      <c r="CX485" s="61"/>
      <c r="CY485" s="61"/>
      <c r="CZ485" s="61"/>
      <c r="DA485" s="61"/>
      <c r="DB485" s="61"/>
      <c r="DC485" s="61"/>
      <c r="DD485" s="61"/>
      <c r="DE485" s="61"/>
      <c r="DF485" s="61"/>
      <c r="DG485" s="61"/>
      <c r="DH485" s="61"/>
      <c r="DI485" s="61"/>
      <c r="DJ485" s="61"/>
      <c r="DK485" s="61"/>
      <c r="DL485" s="61"/>
      <c r="DM485" s="61"/>
      <c r="DN485" s="61"/>
      <c r="DO485" s="61"/>
      <c r="DP485" s="61"/>
      <c r="DQ485" s="61"/>
      <c r="DR485" s="61"/>
      <c r="DS485" s="61"/>
      <c r="DT485" s="61"/>
      <c r="DU485" s="61"/>
      <c r="DV485" s="61"/>
      <c r="DW485" s="61"/>
      <c r="DX485" s="61"/>
      <c r="DY485" s="61"/>
      <c r="DZ485" s="61"/>
      <c r="EA485" s="61"/>
      <c r="EB485" s="61"/>
      <c r="EC485" s="61"/>
      <c r="ED485" s="61"/>
      <c r="EE485" s="61"/>
      <c r="EF485" s="61"/>
      <c r="EG485" s="61"/>
      <c r="EH485" s="61"/>
      <c r="EI485" s="61"/>
      <c r="EJ485" s="61"/>
      <c r="EK485" s="61"/>
      <c r="EL485" s="61"/>
      <c r="EM485" s="61"/>
      <c r="EN485" s="61"/>
      <c r="EO485" s="61"/>
      <c r="EP485" s="61"/>
      <c r="EQ485" s="61"/>
      <c r="ER485" s="61"/>
      <c r="ES485" s="61"/>
      <c r="ET485" s="61"/>
      <c r="EU485" s="61"/>
      <c r="EV485" s="61"/>
      <c r="EW485" s="61"/>
    </row>
    <row r="486" spans="1:153">
      <c r="A486" s="56">
        <v>41365</v>
      </c>
      <c r="B486" s="57">
        <v>2013</v>
      </c>
      <c r="C486" s="71">
        <v>13.843999999999999</v>
      </c>
      <c r="D486" s="61">
        <v>0.189</v>
      </c>
      <c r="E486" s="61">
        <v>2548.0729999999999</v>
      </c>
      <c r="F486" s="61">
        <v>107.01900000000001</v>
      </c>
      <c r="G486" s="61">
        <v>13.654999999999999</v>
      </c>
      <c r="H486" s="61">
        <v>372</v>
      </c>
      <c r="I486" s="61">
        <v>370.96899999999999</v>
      </c>
      <c r="J486" s="61">
        <v>1.0309999999999999</v>
      </c>
      <c r="K486" s="61">
        <v>2506.9760000000001</v>
      </c>
      <c r="L486" s="61">
        <v>117.121</v>
      </c>
      <c r="M486" s="61">
        <v>2431.9830000000002</v>
      </c>
      <c r="N486" s="61">
        <v>102.143</v>
      </c>
      <c r="O486" s="71">
        <v>13.032999999999999</v>
      </c>
      <c r="P486" s="60">
        <v>185.36099999999999</v>
      </c>
      <c r="Q486" s="61">
        <v>160.339</v>
      </c>
      <c r="R486" s="61">
        <v>386.46899999999999</v>
      </c>
      <c r="S486" s="61">
        <v>828.75</v>
      </c>
      <c r="T486" s="61">
        <v>239.45099999999999</v>
      </c>
      <c r="U486" s="61">
        <v>17.376000000000001</v>
      </c>
      <c r="V486" s="61">
        <v>18.712</v>
      </c>
      <c r="W486" s="61">
        <v>166.74100000000001</v>
      </c>
      <c r="X486" s="61">
        <v>185.36099999999999</v>
      </c>
      <c r="Y486" s="61">
        <v>40.770000000000003</v>
      </c>
      <c r="Z486" s="61">
        <v>162.33699999999999</v>
      </c>
      <c r="AA486" s="61">
        <v>388.46699999999998</v>
      </c>
      <c r="AB486" s="60">
        <v>830.74800000000005</v>
      </c>
      <c r="AC486" s="62">
        <v>39.853000000000002</v>
      </c>
      <c r="AD486" s="61">
        <v>1.6739999999999999</v>
      </c>
      <c r="AE486" s="61">
        <v>0.219</v>
      </c>
      <c r="AF486" s="61">
        <v>148</v>
      </c>
      <c r="AG486" s="61">
        <v>76</v>
      </c>
      <c r="AH486" s="61">
        <v>-20</v>
      </c>
      <c r="AI486" s="61">
        <v>207.85300000000001</v>
      </c>
      <c r="AJ486" s="61">
        <v>8.73</v>
      </c>
      <c r="AK486" s="62">
        <v>1.1419999999999999</v>
      </c>
      <c r="AL486" s="63">
        <f t="shared" si="41"/>
        <v>8.73</v>
      </c>
      <c r="AM486" s="64">
        <v>1.1419999999999999</v>
      </c>
      <c r="AN486" s="65" t="e">
        <v>#N/A</v>
      </c>
      <c r="AO486" s="61" t="e">
        <v>#N/A</v>
      </c>
      <c r="AP486" s="61" t="e">
        <v>#N/A</v>
      </c>
      <c r="AQ486" s="61" t="e">
        <v>#N/A</v>
      </c>
      <c r="AR486" s="61" t="e">
        <v>#N/A</v>
      </c>
      <c r="AS486" s="61" t="e">
        <v>#N/A</v>
      </c>
      <c r="AT486" s="61" t="e">
        <v>#N/A</v>
      </c>
      <c r="AU486" s="61" t="e">
        <v>#N/A</v>
      </c>
      <c r="AV486" s="61" t="e">
        <v>#N/A</v>
      </c>
      <c r="AW486" s="61" t="e">
        <v>#N/A</v>
      </c>
      <c r="AX486" s="65" t="e">
        <v>#N/A</v>
      </c>
      <c r="AY486" s="66">
        <v>3.2549999999999999</v>
      </c>
      <c r="AZ486" s="61">
        <v>8.1069999999999993</v>
      </c>
      <c r="BA486" s="61">
        <v>46.984999999999999</v>
      </c>
      <c r="BB486" s="61">
        <v>58.347000000000001</v>
      </c>
      <c r="BC486" s="61">
        <v>0.04</v>
      </c>
      <c r="BD486" s="61">
        <v>1.619</v>
      </c>
      <c r="BE486" s="61">
        <v>3.714</v>
      </c>
      <c r="BF486" s="61">
        <v>5.1999999999999998E-2</v>
      </c>
      <c r="BG486" s="61">
        <v>5.6859999999999999</v>
      </c>
      <c r="BH486" s="61">
        <v>3.8530000000000002</v>
      </c>
      <c r="BI486" s="61">
        <v>0.221</v>
      </c>
      <c r="BJ486" s="61">
        <v>9.76</v>
      </c>
      <c r="BK486" s="66">
        <v>15.185</v>
      </c>
      <c r="BL486" s="67">
        <v>88.8</v>
      </c>
      <c r="BM486" s="61">
        <v>13.032999999999999</v>
      </c>
      <c r="BN486" s="61">
        <v>1.1419999999999999</v>
      </c>
      <c r="BO486" s="61" t="s">
        <v>121</v>
      </c>
      <c r="BP486" s="61">
        <v>102.97499999999999</v>
      </c>
      <c r="BQ486" s="61">
        <v>237.02199999999999</v>
      </c>
      <c r="BR486" s="61">
        <v>12.157</v>
      </c>
      <c r="BS486" s="61">
        <v>6.1050000000000004</v>
      </c>
      <c r="BT486" s="61">
        <v>166.66499999999999</v>
      </c>
      <c r="BU486" s="61">
        <v>13.65</v>
      </c>
      <c r="BV486" s="61">
        <v>20.908999999999999</v>
      </c>
      <c r="BW486" s="61">
        <v>34.558</v>
      </c>
      <c r="BX486" s="67">
        <v>456.50700000000001</v>
      </c>
      <c r="BY486" s="68">
        <v>132493</v>
      </c>
      <c r="BZ486" s="68">
        <v>115631</v>
      </c>
      <c r="CA486" s="69">
        <v>7135</v>
      </c>
      <c r="CB486" s="68">
        <v>118791</v>
      </c>
      <c r="CC486" s="68">
        <v>25297</v>
      </c>
      <c r="CD486" s="68">
        <v>118955</v>
      </c>
      <c r="CE486" s="64"/>
      <c r="CF486" s="64"/>
      <c r="CG486" s="70">
        <f t="shared" si="37"/>
        <v>4989.2219999999998</v>
      </c>
      <c r="CH486" s="70">
        <f t="shared" si="38"/>
        <v>299.67</v>
      </c>
      <c r="CI486" s="70">
        <f t="shared" si="39"/>
        <v>1062.4739999999999</v>
      </c>
      <c r="CJ486" s="70">
        <f t="shared" si="40"/>
        <v>5564.7060000000001</v>
      </c>
      <c r="CK486" s="70">
        <f t="shared" si="40"/>
        <v>4856.5020000000004</v>
      </c>
      <c r="CL486" s="70">
        <f t="shared" si="36"/>
        <v>4996.1099999999997</v>
      </c>
      <c r="CM486" s="61"/>
      <c r="CN486" s="61"/>
      <c r="CO486" s="61"/>
      <c r="CP486" s="61"/>
      <c r="CQ486" s="61"/>
      <c r="CR486" s="61"/>
      <c r="CS486" s="61"/>
      <c r="CT486" s="61"/>
      <c r="CU486" s="61"/>
      <c r="CV486" s="61"/>
      <c r="CW486" s="61"/>
      <c r="CX486" s="61"/>
      <c r="CY486" s="61"/>
      <c r="CZ486" s="61"/>
      <c r="DA486" s="61"/>
      <c r="DB486" s="61"/>
      <c r="DC486" s="61"/>
      <c r="DD486" s="61"/>
      <c r="DE486" s="61"/>
      <c r="DF486" s="61"/>
      <c r="DG486" s="61"/>
      <c r="DH486" s="61"/>
      <c r="DI486" s="61"/>
      <c r="DJ486" s="61"/>
      <c r="DK486" s="61"/>
      <c r="DL486" s="61"/>
      <c r="DM486" s="61"/>
      <c r="DN486" s="61"/>
      <c r="DO486" s="61"/>
      <c r="DP486" s="61"/>
      <c r="DQ486" s="61"/>
      <c r="DR486" s="61"/>
      <c r="DS486" s="61"/>
      <c r="DT486" s="61"/>
      <c r="DU486" s="61"/>
      <c r="DV486" s="61"/>
      <c r="DW486" s="61"/>
      <c r="DX486" s="61"/>
      <c r="DY486" s="61"/>
      <c r="DZ486" s="61"/>
      <c r="EA486" s="61"/>
      <c r="EB486" s="61"/>
      <c r="EC486" s="61"/>
      <c r="ED486" s="61"/>
      <c r="EE486" s="61"/>
      <c r="EF486" s="61"/>
      <c r="EG486" s="61"/>
      <c r="EH486" s="61"/>
      <c r="EI486" s="61"/>
      <c r="EJ486" s="61"/>
      <c r="EK486" s="61"/>
      <c r="EL486" s="61"/>
      <c r="EM486" s="61"/>
      <c r="EN486" s="61"/>
      <c r="EO486" s="61"/>
      <c r="EP486" s="61"/>
      <c r="EQ486" s="61"/>
      <c r="ER486" s="61"/>
      <c r="ES486" s="61"/>
      <c r="ET486" s="61"/>
      <c r="EU486" s="61"/>
      <c r="EV486" s="61"/>
      <c r="EW486" s="61"/>
    </row>
    <row r="487" spans="1:153">
      <c r="A487" s="56">
        <v>41395</v>
      </c>
      <c r="B487" s="57">
        <v>2013</v>
      </c>
      <c r="C487" s="71">
        <v>14.372</v>
      </c>
      <c r="D487" s="61">
        <v>0.19600000000000001</v>
      </c>
      <c r="E487" s="61">
        <v>2645.26</v>
      </c>
      <c r="F487" s="61">
        <v>111.101</v>
      </c>
      <c r="G487" s="61">
        <v>14.176</v>
      </c>
      <c r="H487" s="61">
        <v>410</v>
      </c>
      <c r="I487" s="61">
        <v>563.10400000000004</v>
      </c>
      <c r="J487" s="61">
        <v>-153.10400000000001</v>
      </c>
      <c r="K487" s="61">
        <v>2459.7020000000002</v>
      </c>
      <c r="L487" s="61">
        <v>-47.274000000000001</v>
      </c>
      <c r="M487" s="61">
        <v>2539.4299999999998</v>
      </c>
      <c r="N487" s="61">
        <v>106.65600000000001</v>
      </c>
      <c r="O487" s="71">
        <v>13.609</v>
      </c>
      <c r="P487" s="60">
        <v>193.12</v>
      </c>
      <c r="Q487" s="61">
        <v>170.191</v>
      </c>
      <c r="R487" s="61">
        <v>404.78199999999998</v>
      </c>
      <c r="S487" s="61">
        <v>869.84400000000005</v>
      </c>
      <c r="T487" s="61">
        <v>271.44200000000001</v>
      </c>
      <c r="U487" s="61">
        <v>17.87</v>
      </c>
      <c r="V487" s="61">
        <v>20.817</v>
      </c>
      <c r="W487" s="61">
        <v>154.93299999999999</v>
      </c>
      <c r="X487" s="61">
        <v>193.12</v>
      </c>
      <c r="Y487" s="61">
        <v>41.47</v>
      </c>
      <c r="Z487" s="61">
        <v>170.65199999999999</v>
      </c>
      <c r="AA487" s="61">
        <v>405.24200000000002</v>
      </c>
      <c r="AB487" s="60">
        <v>870.30399999999997</v>
      </c>
      <c r="AC487" s="62">
        <v>66.486999999999995</v>
      </c>
      <c r="AD487" s="61">
        <v>2.7919999999999998</v>
      </c>
      <c r="AE487" s="61">
        <v>0.36499999999999999</v>
      </c>
      <c r="AF487" s="61">
        <v>136</v>
      </c>
      <c r="AG487" s="61">
        <v>130</v>
      </c>
      <c r="AH487" s="61">
        <v>54</v>
      </c>
      <c r="AI487" s="61">
        <v>148.48699999999999</v>
      </c>
      <c r="AJ487" s="61">
        <v>6.2359999999999998</v>
      </c>
      <c r="AK487" s="62">
        <v>0.81599999999999995</v>
      </c>
      <c r="AL487" s="63">
        <f t="shared" si="41"/>
        <v>6.2359999999999998</v>
      </c>
      <c r="AM487" s="64">
        <v>0.81599999999999995</v>
      </c>
      <c r="AN487" s="65" t="e">
        <v>#N/A</v>
      </c>
      <c r="AO487" s="61" t="e">
        <v>#N/A</v>
      </c>
      <c r="AP487" s="61" t="e">
        <v>#N/A</v>
      </c>
      <c r="AQ487" s="61" t="e">
        <v>#N/A</v>
      </c>
      <c r="AR487" s="61" t="e">
        <v>#N/A</v>
      </c>
      <c r="AS487" s="61" t="e">
        <v>#N/A</v>
      </c>
      <c r="AT487" s="61" t="e">
        <v>#N/A</v>
      </c>
      <c r="AU487" s="61" t="e">
        <v>#N/A</v>
      </c>
      <c r="AV487" s="61" t="e">
        <v>#N/A</v>
      </c>
      <c r="AW487" s="61" t="e">
        <v>#N/A</v>
      </c>
      <c r="AX487" s="65" t="e">
        <v>#N/A</v>
      </c>
      <c r="AY487" s="66">
        <v>3.363</v>
      </c>
      <c r="AZ487" s="61">
        <v>8.9499999999999993</v>
      </c>
      <c r="BA487" s="61">
        <v>48.551000000000002</v>
      </c>
      <c r="BB487" s="61">
        <v>60.865000000000002</v>
      </c>
      <c r="BC487" s="61">
        <v>4.3999999999999997E-2</v>
      </c>
      <c r="BD487" s="61">
        <v>1.673</v>
      </c>
      <c r="BE487" s="61">
        <v>4.0970000000000004</v>
      </c>
      <c r="BF487" s="61">
        <v>4.8000000000000001E-2</v>
      </c>
      <c r="BG487" s="61">
        <v>5.9160000000000004</v>
      </c>
      <c r="BH487" s="61">
        <v>4.08</v>
      </c>
      <c r="BI487" s="61">
        <v>0.23200000000000001</v>
      </c>
      <c r="BJ487" s="61">
        <v>10.227</v>
      </c>
      <c r="BK487" s="66">
        <v>16.088999999999999</v>
      </c>
      <c r="BL487" s="67">
        <v>93.168999999999997</v>
      </c>
      <c r="BM487" s="61">
        <v>13.609</v>
      </c>
      <c r="BN487" s="61">
        <v>0.81599999999999995</v>
      </c>
      <c r="BO487" s="61" t="s">
        <v>121</v>
      </c>
      <c r="BP487" s="61">
        <v>107.59399999999999</v>
      </c>
      <c r="BQ487" s="61">
        <v>268.27</v>
      </c>
      <c r="BR487" s="61">
        <v>12.477</v>
      </c>
      <c r="BS487" s="61">
        <v>6.9050000000000002</v>
      </c>
      <c r="BT487" s="61">
        <v>154.84700000000001</v>
      </c>
      <c r="BU487" s="61">
        <v>15.337</v>
      </c>
      <c r="BV487" s="61">
        <v>22.111000000000001</v>
      </c>
      <c r="BW487" s="61">
        <v>37.448</v>
      </c>
      <c r="BX487" s="67">
        <v>479.94600000000003</v>
      </c>
      <c r="BY487" s="68">
        <v>147781</v>
      </c>
      <c r="BZ487" s="68">
        <v>116219</v>
      </c>
      <c r="CA487" s="69">
        <v>5211</v>
      </c>
      <c r="CB487" s="68">
        <v>122132</v>
      </c>
      <c r="CC487" s="68">
        <v>34823</v>
      </c>
      <c r="CD487" s="68">
        <v>133100</v>
      </c>
      <c r="CE487" s="64"/>
      <c r="CF487" s="64"/>
      <c r="CG487" s="70">
        <f t="shared" si="37"/>
        <v>5129.5439999999999</v>
      </c>
      <c r="CH487" s="70">
        <f t="shared" si="38"/>
        <v>218.86199999999999</v>
      </c>
      <c r="CI487" s="70">
        <f t="shared" si="39"/>
        <v>1462.566</v>
      </c>
      <c r="CJ487" s="70">
        <f t="shared" si="40"/>
        <v>6206.8019999999997</v>
      </c>
      <c r="CK487" s="70">
        <f t="shared" si="40"/>
        <v>4881.1980000000003</v>
      </c>
      <c r="CL487" s="70">
        <f t="shared" si="36"/>
        <v>5590.2</v>
      </c>
      <c r="CM487" s="61"/>
      <c r="CN487" s="61"/>
      <c r="CO487" s="61"/>
      <c r="CP487" s="61"/>
      <c r="CQ487" s="61"/>
      <c r="CR487" s="61"/>
      <c r="CS487" s="61"/>
      <c r="CT487" s="61"/>
      <c r="CU487" s="61"/>
      <c r="CV487" s="61"/>
      <c r="CW487" s="61"/>
      <c r="CX487" s="61"/>
      <c r="CY487" s="61"/>
      <c r="CZ487" s="61"/>
      <c r="DA487" s="61"/>
      <c r="DB487" s="61"/>
      <c r="DC487" s="61"/>
      <c r="DD487" s="61"/>
      <c r="DE487" s="61"/>
      <c r="DF487" s="61"/>
      <c r="DG487" s="61"/>
      <c r="DH487" s="61"/>
      <c r="DI487" s="61"/>
      <c r="DJ487" s="61"/>
      <c r="DK487" s="61"/>
      <c r="DL487" s="61"/>
      <c r="DM487" s="61"/>
      <c r="DN487" s="61"/>
      <c r="DO487" s="61"/>
      <c r="DP487" s="61"/>
      <c r="DQ487" s="61"/>
      <c r="DR487" s="61"/>
      <c r="DS487" s="61"/>
      <c r="DT487" s="61"/>
      <c r="DU487" s="61"/>
      <c r="DV487" s="61"/>
      <c r="DW487" s="61"/>
      <c r="DX487" s="61"/>
      <c r="DY487" s="61"/>
      <c r="DZ487" s="61"/>
      <c r="EA487" s="61"/>
      <c r="EB487" s="61"/>
      <c r="EC487" s="61"/>
      <c r="ED487" s="61"/>
      <c r="EE487" s="61"/>
      <c r="EF487" s="61"/>
      <c r="EG487" s="61"/>
      <c r="EH487" s="61"/>
      <c r="EI487" s="61"/>
      <c r="EJ487" s="61"/>
      <c r="EK487" s="61"/>
      <c r="EL487" s="61"/>
      <c r="EM487" s="61"/>
      <c r="EN487" s="61"/>
      <c r="EO487" s="61"/>
      <c r="EP487" s="61"/>
      <c r="EQ487" s="61"/>
      <c r="ER487" s="61"/>
      <c r="ES487" s="61"/>
      <c r="ET487" s="61"/>
      <c r="EU487" s="61"/>
      <c r="EV487" s="61"/>
      <c r="EW487" s="61"/>
    </row>
    <row r="488" spans="1:153">
      <c r="A488" s="56">
        <v>41426</v>
      </c>
      <c r="B488" s="57">
        <v>2013</v>
      </c>
      <c r="C488" s="71">
        <v>14.664999999999999</v>
      </c>
      <c r="D488" s="61">
        <v>0.2</v>
      </c>
      <c r="E488" s="61">
        <v>2699.2530000000002</v>
      </c>
      <c r="F488" s="61">
        <v>113.369</v>
      </c>
      <c r="G488" s="61">
        <v>14.465</v>
      </c>
      <c r="H488" s="61">
        <v>698</v>
      </c>
      <c r="I488" s="61">
        <v>587.38699999999994</v>
      </c>
      <c r="J488" s="61">
        <v>110.613</v>
      </c>
      <c r="K488" s="61">
        <v>2484.8649999999998</v>
      </c>
      <c r="L488" s="61">
        <v>25.163</v>
      </c>
      <c r="M488" s="61">
        <v>2784.703</v>
      </c>
      <c r="N488" s="61">
        <v>116.958</v>
      </c>
      <c r="O488" s="71">
        <v>14.923</v>
      </c>
      <c r="P488" s="60">
        <v>192.995</v>
      </c>
      <c r="Q488" s="61">
        <v>168.46199999999999</v>
      </c>
      <c r="R488" s="61">
        <v>401.89299999999997</v>
      </c>
      <c r="S488" s="61">
        <v>833.81500000000005</v>
      </c>
      <c r="T488" s="61">
        <v>261.27100000000002</v>
      </c>
      <c r="U488" s="61">
        <v>17.414999999999999</v>
      </c>
      <c r="V488" s="61">
        <v>22.065000000000001</v>
      </c>
      <c r="W488" s="61">
        <v>131.17099999999999</v>
      </c>
      <c r="X488" s="61">
        <v>192.995</v>
      </c>
      <c r="Y488" s="61">
        <v>40.436999999999998</v>
      </c>
      <c r="Z488" s="61">
        <v>173.84200000000001</v>
      </c>
      <c r="AA488" s="61">
        <v>407.27300000000002</v>
      </c>
      <c r="AB488" s="60">
        <v>839.19500000000005</v>
      </c>
      <c r="AC488" s="62">
        <v>172.761</v>
      </c>
      <c r="AD488" s="61">
        <v>7.2560000000000002</v>
      </c>
      <c r="AE488" s="61">
        <v>0.94899999999999995</v>
      </c>
      <c r="AF488" s="61">
        <v>523</v>
      </c>
      <c r="AG488" s="61">
        <v>77</v>
      </c>
      <c r="AH488" s="61">
        <v>-53</v>
      </c>
      <c r="AI488" s="61">
        <v>748.76099999999997</v>
      </c>
      <c r="AJ488" s="61">
        <v>31.448</v>
      </c>
      <c r="AK488" s="62">
        <v>4.1139999999999999</v>
      </c>
      <c r="AL488" s="63">
        <f t="shared" si="41"/>
        <v>31.448</v>
      </c>
      <c r="AM488" s="64">
        <v>4.1139999999999999</v>
      </c>
      <c r="AN488" s="65" t="e">
        <v>#N/A</v>
      </c>
      <c r="AO488" s="61" t="e">
        <v>#N/A</v>
      </c>
      <c r="AP488" s="61" t="e">
        <v>#N/A</v>
      </c>
      <c r="AQ488" s="61" t="e">
        <v>#N/A</v>
      </c>
      <c r="AR488" s="61" t="e">
        <v>#N/A</v>
      </c>
      <c r="AS488" s="61" t="e">
        <v>#N/A</v>
      </c>
      <c r="AT488" s="61" t="e">
        <v>#N/A</v>
      </c>
      <c r="AU488" s="61" t="e">
        <v>#N/A</v>
      </c>
      <c r="AV488" s="61" t="e">
        <v>#N/A</v>
      </c>
      <c r="AW488" s="61" t="e">
        <v>#N/A</v>
      </c>
      <c r="AX488" s="65" t="e">
        <v>#N/A</v>
      </c>
      <c r="AY488" s="66">
        <v>3.2549999999999999</v>
      </c>
      <c r="AZ488" s="61">
        <v>9.0310000000000006</v>
      </c>
      <c r="BA488" s="61">
        <v>46.984999999999999</v>
      </c>
      <c r="BB488" s="61">
        <v>59.271000000000001</v>
      </c>
      <c r="BC488" s="61">
        <v>4.3999999999999997E-2</v>
      </c>
      <c r="BD488" s="61">
        <v>1.619</v>
      </c>
      <c r="BE488" s="61">
        <v>4.1529999999999996</v>
      </c>
      <c r="BF488" s="61">
        <v>3.7999999999999999E-2</v>
      </c>
      <c r="BG488" s="61">
        <v>5.7640000000000002</v>
      </c>
      <c r="BH488" s="61">
        <v>4.0620000000000003</v>
      </c>
      <c r="BI488" s="61">
        <v>0.23100000000000001</v>
      </c>
      <c r="BJ488" s="61">
        <v>10.057</v>
      </c>
      <c r="BK488" s="66">
        <v>15.912000000000001</v>
      </c>
      <c r="BL488" s="67">
        <v>92.774000000000001</v>
      </c>
      <c r="BM488" s="61">
        <v>14.923</v>
      </c>
      <c r="BN488" s="61">
        <v>4.1139999999999999</v>
      </c>
      <c r="BO488" s="61" t="s">
        <v>121</v>
      </c>
      <c r="BP488" s="61">
        <v>111.81100000000001</v>
      </c>
      <c r="BQ488" s="61">
        <v>258.09500000000003</v>
      </c>
      <c r="BR488" s="61">
        <v>12.196</v>
      </c>
      <c r="BS488" s="61">
        <v>8.0069999999999997</v>
      </c>
      <c r="BT488" s="61">
        <v>131.108</v>
      </c>
      <c r="BU488" s="61">
        <v>16.785</v>
      </c>
      <c r="BV488" s="61">
        <v>21.771000000000001</v>
      </c>
      <c r="BW488" s="61">
        <v>38.555999999999997</v>
      </c>
      <c r="BX488" s="67">
        <v>447.96199999999999</v>
      </c>
      <c r="BY488" s="68">
        <v>143745</v>
      </c>
      <c r="BZ488" s="68">
        <v>109886</v>
      </c>
      <c r="CA488" s="69">
        <v>3617</v>
      </c>
      <c r="CB488" s="68">
        <v>122463</v>
      </c>
      <c r="CC488" s="68">
        <v>38771</v>
      </c>
      <c r="CD488" s="68">
        <v>127874</v>
      </c>
      <c r="CE488" s="64"/>
      <c r="CF488" s="64"/>
      <c r="CG488" s="70">
        <f t="shared" si="37"/>
        <v>5143.4459999999999</v>
      </c>
      <c r="CH488" s="70">
        <f t="shared" si="38"/>
        <v>151.91399999999999</v>
      </c>
      <c r="CI488" s="70">
        <f t="shared" si="39"/>
        <v>1628.3820000000001</v>
      </c>
      <c r="CJ488" s="70">
        <f t="shared" si="40"/>
        <v>6037.29</v>
      </c>
      <c r="CK488" s="70">
        <f t="shared" si="40"/>
        <v>4615.2120000000004</v>
      </c>
      <c r="CL488" s="70">
        <f t="shared" si="36"/>
        <v>5370.7079999999996</v>
      </c>
      <c r="CM488" s="61"/>
      <c r="CN488" s="61"/>
      <c r="CO488" s="61"/>
      <c r="CP488" s="61"/>
      <c r="CQ488" s="61"/>
      <c r="CR488" s="61"/>
      <c r="CS488" s="61"/>
      <c r="CT488" s="61"/>
      <c r="CU488" s="61"/>
      <c r="CV488" s="61"/>
      <c r="CW488" s="61"/>
      <c r="CX488" s="61"/>
      <c r="CY488" s="61"/>
      <c r="CZ488" s="61"/>
      <c r="DA488" s="61"/>
      <c r="DB488" s="61"/>
      <c r="DC488" s="61"/>
      <c r="DD488" s="61"/>
      <c r="DE488" s="61"/>
      <c r="DF488" s="61"/>
      <c r="DG488" s="61"/>
      <c r="DH488" s="61"/>
      <c r="DI488" s="61"/>
      <c r="DJ488" s="61"/>
      <c r="DK488" s="61"/>
      <c r="DL488" s="61"/>
      <c r="DM488" s="61"/>
      <c r="DN488" s="61"/>
      <c r="DO488" s="61"/>
      <c r="DP488" s="61"/>
      <c r="DQ488" s="61"/>
      <c r="DR488" s="61"/>
      <c r="DS488" s="61"/>
      <c r="DT488" s="61"/>
      <c r="DU488" s="61"/>
      <c r="DV488" s="61"/>
      <c r="DW488" s="61"/>
      <c r="DX488" s="61"/>
      <c r="DY488" s="61"/>
      <c r="DZ488" s="61"/>
      <c r="EA488" s="61"/>
      <c r="EB488" s="61"/>
      <c r="EC488" s="61"/>
      <c r="ED488" s="61"/>
      <c r="EE488" s="61"/>
      <c r="EF488" s="61"/>
      <c r="EG488" s="61"/>
      <c r="EH488" s="61"/>
      <c r="EI488" s="61"/>
      <c r="EJ488" s="61"/>
      <c r="EK488" s="61"/>
      <c r="EL488" s="61"/>
      <c r="EM488" s="61"/>
      <c r="EN488" s="61"/>
      <c r="EO488" s="61"/>
      <c r="EP488" s="61"/>
      <c r="EQ488" s="61"/>
      <c r="ER488" s="61"/>
      <c r="ES488" s="61"/>
      <c r="ET488" s="61"/>
      <c r="EU488" s="61"/>
      <c r="EV488" s="61"/>
      <c r="EW488" s="61"/>
    </row>
    <row r="489" spans="1:153">
      <c r="A489" s="56">
        <v>41456</v>
      </c>
      <c r="B489" s="57">
        <v>2013</v>
      </c>
      <c r="C489" s="71">
        <v>16.690000000000001</v>
      </c>
      <c r="D489" s="61">
        <v>0.22700000000000001</v>
      </c>
      <c r="E489" s="61">
        <v>3072.0529999999999</v>
      </c>
      <c r="F489" s="61">
        <v>129.02600000000001</v>
      </c>
      <c r="G489" s="61">
        <v>16.463000000000001</v>
      </c>
      <c r="H489" s="61">
        <v>358</v>
      </c>
      <c r="I489" s="61">
        <v>428.84800000000001</v>
      </c>
      <c r="J489" s="61">
        <v>-70.847999999999999</v>
      </c>
      <c r="K489" s="61">
        <v>2682.873</v>
      </c>
      <c r="L489" s="61">
        <v>198.00700000000001</v>
      </c>
      <c r="M489" s="61">
        <v>2803.1979999999999</v>
      </c>
      <c r="N489" s="61">
        <v>117.73399999999999</v>
      </c>
      <c r="O489" s="71">
        <v>15.022</v>
      </c>
      <c r="P489" s="60">
        <v>204.78100000000001</v>
      </c>
      <c r="Q489" s="61">
        <v>172.708</v>
      </c>
      <c r="R489" s="61">
        <v>419.452</v>
      </c>
      <c r="S489" s="61">
        <v>825.83100000000002</v>
      </c>
      <c r="T489" s="61">
        <v>260.036</v>
      </c>
      <c r="U489" s="61">
        <v>18.148</v>
      </c>
      <c r="V489" s="61">
        <v>22.350999999999999</v>
      </c>
      <c r="W489" s="61">
        <v>105.84399999999999</v>
      </c>
      <c r="X489" s="61">
        <v>204.78100000000001</v>
      </c>
      <c r="Y489" s="61">
        <v>41.963000000000001</v>
      </c>
      <c r="Z489" s="61">
        <v>173.02799999999999</v>
      </c>
      <c r="AA489" s="61">
        <v>419.77199999999999</v>
      </c>
      <c r="AB489" s="60">
        <v>826.15099999999995</v>
      </c>
      <c r="AC489" s="62">
        <v>374.10300000000001</v>
      </c>
      <c r="AD489" s="61">
        <v>15.712</v>
      </c>
      <c r="AE489" s="61">
        <v>2.0550000000000002</v>
      </c>
      <c r="AF489" s="61">
        <v>365</v>
      </c>
      <c r="AG489" s="61">
        <v>109</v>
      </c>
      <c r="AH489" s="61">
        <v>32</v>
      </c>
      <c r="AI489" s="61">
        <v>707.10299999999995</v>
      </c>
      <c r="AJ489" s="61">
        <v>29.698</v>
      </c>
      <c r="AK489" s="62">
        <v>3.8849999999999998</v>
      </c>
      <c r="AL489" s="63">
        <f t="shared" si="41"/>
        <v>29.698</v>
      </c>
      <c r="AM489" s="64">
        <v>3.8849999999999998</v>
      </c>
      <c r="AN489" s="65" t="e">
        <v>#N/A</v>
      </c>
      <c r="AO489" s="61" t="e">
        <v>#N/A</v>
      </c>
      <c r="AP489" s="61" t="e">
        <v>#N/A</v>
      </c>
      <c r="AQ489" s="61" t="e">
        <v>#N/A</v>
      </c>
      <c r="AR489" s="61" t="e">
        <v>#N/A</v>
      </c>
      <c r="AS489" s="61" t="e">
        <v>#N/A</v>
      </c>
      <c r="AT489" s="61" t="e">
        <v>#N/A</v>
      </c>
      <c r="AU489" s="61" t="e">
        <v>#N/A</v>
      </c>
      <c r="AV489" s="61" t="e">
        <v>#N/A</v>
      </c>
      <c r="AW489" s="61" t="e">
        <v>#N/A</v>
      </c>
      <c r="AX489" s="65" t="e">
        <v>#N/A</v>
      </c>
      <c r="AY489" s="66">
        <v>3.363</v>
      </c>
      <c r="AZ489" s="61">
        <v>9.48</v>
      </c>
      <c r="BA489" s="61">
        <v>48.551000000000002</v>
      </c>
      <c r="BB489" s="61">
        <v>61.395000000000003</v>
      </c>
      <c r="BC489" s="61">
        <v>4.8000000000000001E-2</v>
      </c>
      <c r="BD489" s="61">
        <v>1.673</v>
      </c>
      <c r="BE489" s="61">
        <v>4.3280000000000003</v>
      </c>
      <c r="BF489" s="61">
        <v>3.2000000000000001E-2</v>
      </c>
      <c r="BG489" s="61">
        <v>5.9580000000000002</v>
      </c>
      <c r="BH489" s="61">
        <v>4.1260000000000003</v>
      </c>
      <c r="BI489" s="61">
        <v>0.22800000000000001</v>
      </c>
      <c r="BJ489" s="61">
        <v>10.311999999999999</v>
      </c>
      <c r="BK489" s="66">
        <v>16.393000000000001</v>
      </c>
      <c r="BL489" s="67">
        <v>91.646000000000001</v>
      </c>
      <c r="BM489" s="61">
        <v>15.022</v>
      </c>
      <c r="BN489" s="61">
        <v>3.8849999999999998</v>
      </c>
      <c r="BO489" s="61" t="s">
        <v>121</v>
      </c>
      <c r="BP489" s="61">
        <v>110.553</v>
      </c>
      <c r="BQ489" s="61">
        <v>256.93099999999998</v>
      </c>
      <c r="BR489" s="61">
        <v>12.755000000000001</v>
      </c>
      <c r="BS489" s="61">
        <v>7.6269999999999998</v>
      </c>
      <c r="BT489" s="61">
        <v>105.792</v>
      </c>
      <c r="BU489" s="61">
        <v>18.448</v>
      </c>
      <c r="BV489" s="61">
        <v>22.437000000000001</v>
      </c>
      <c r="BW489" s="61">
        <v>40.884999999999998</v>
      </c>
      <c r="BX489" s="67">
        <v>423.99</v>
      </c>
      <c r="BY489" s="68">
        <v>152948</v>
      </c>
      <c r="BZ489" s="68">
        <v>112251</v>
      </c>
      <c r="CA489" s="69">
        <v>3319</v>
      </c>
      <c r="CB489" s="68">
        <v>126020</v>
      </c>
      <c r="CC489" s="68">
        <v>41871</v>
      </c>
      <c r="CD489" s="68">
        <v>138355</v>
      </c>
      <c r="CE489" s="64"/>
      <c r="CF489" s="64"/>
      <c r="CG489" s="70">
        <f t="shared" si="37"/>
        <v>5292.84</v>
      </c>
      <c r="CH489" s="70">
        <f t="shared" si="38"/>
        <v>139.398</v>
      </c>
      <c r="CI489" s="70">
        <f t="shared" si="39"/>
        <v>1758.5820000000001</v>
      </c>
      <c r="CJ489" s="70">
        <f t="shared" si="40"/>
        <v>6423.8159999999998</v>
      </c>
      <c r="CK489" s="70">
        <f t="shared" si="40"/>
        <v>4714.5420000000004</v>
      </c>
      <c r="CL489" s="70">
        <f t="shared" si="36"/>
        <v>5810.91</v>
      </c>
      <c r="CM489" s="61"/>
      <c r="CN489" s="61"/>
      <c r="CO489" s="61"/>
      <c r="CP489" s="61"/>
      <c r="CQ489" s="61"/>
      <c r="CR489" s="61"/>
      <c r="CS489" s="61"/>
      <c r="CT489" s="61"/>
      <c r="CU489" s="61"/>
      <c r="CV489" s="61"/>
      <c r="CW489" s="61"/>
      <c r="CX489" s="61"/>
      <c r="CY489" s="61"/>
      <c r="CZ489" s="61"/>
      <c r="DA489" s="61"/>
      <c r="DB489" s="61"/>
      <c r="DC489" s="61"/>
      <c r="DD489" s="61"/>
      <c r="DE489" s="61"/>
      <c r="DF489" s="61"/>
      <c r="DG489" s="61"/>
      <c r="DH489" s="61"/>
      <c r="DI489" s="61"/>
      <c r="DJ489" s="61"/>
      <c r="DK489" s="61"/>
      <c r="DL489" s="61"/>
      <c r="DM489" s="61"/>
      <c r="DN489" s="61"/>
      <c r="DO489" s="61"/>
      <c r="DP489" s="61"/>
      <c r="DQ489" s="61"/>
      <c r="DR489" s="61"/>
      <c r="DS489" s="61"/>
      <c r="DT489" s="61"/>
      <c r="DU489" s="61"/>
      <c r="DV489" s="61"/>
      <c r="DW489" s="61"/>
      <c r="DX489" s="61"/>
      <c r="DY489" s="61"/>
      <c r="DZ489" s="61"/>
      <c r="EA489" s="61"/>
      <c r="EB489" s="61"/>
      <c r="EC489" s="61"/>
      <c r="ED489" s="61"/>
      <c r="EE489" s="61"/>
      <c r="EF489" s="61"/>
      <c r="EG489" s="61"/>
      <c r="EH489" s="61"/>
      <c r="EI489" s="61"/>
      <c r="EJ489" s="61"/>
      <c r="EK489" s="61"/>
      <c r="EL489" s="61"/>
      <c r="EM489" s="61"/>
      <c r="EN489" s="61"/>
      <c r="EO489" s="61"/>
      <c r="EP489" s="61"/>
      <c r="EQ489" s="61"/>
      <c r="ER489" s="61"/>
      <c r="ES489" s="61"/>
      <c r="ET489" s="61"/>
      <c r="EU489" s="61"/>
      <c r="EV489" s="61"/>
      <c r="EW489" s="61"/>
    </row>
    <row r="490" spans="1:153">
      <c r="A490" s="56">
        <v>41487</v>
      </c>
      <c r="B490" s="57">
        <v>2013</v>
      </c>
      <c r="C490" s="71">
        <v>16.766999999999999</v>
      </c>
      <c r="D490" s="61">
        <v>0.22800000000000001</v>
      </c>
      <c r="E490" s="61">
        <v>3086.1559999999999</v>
      </c>
      <c r="F490" s="61">
        <v>129.619</v>
      </c>
      <c r="G490" s="61">
        <v>16.539000000000001</v>
      </c>
      <c r="H490" s="61">
        <v>385</v>
      </c>
      <c r="I490" s="61">
        <v>686.726</v>
      </c>
      <c r="J490" s="61">
        <v>-301.726</v>
      </c>
      <c r="K490" s="61">
        <v>2549.1060000000002</v>
      </c>
      <c r="L490" s="61">
        <v>-133.767</v>
      </c>
      <c r="M490" s="61">
        <v>2918.1970000000001</v>
      </c>
      <c r="N490" s="61">
        <v>122.56399999999999</v>
      </c>
      <c r="O490" s="71">
        <v>15.638999999999999</v>
      </c>
      <c r="P490" s="60">
        <v>202.37200000000001</v>
      </c>
      <c r="Q490" s="61">
        <v>169.11500000000001</v>
      </c>
      <c r="R490" s="61">
        <v>413.68400000000003</v>
      </c>
      <c r="S490" s="61">
        <v>753.31600000000003</v>
      </c>
      <c r="T490" s="61">
        <v>206.40299999999999</v>
      </c>
      <c r="U490" s="61">
        <v>18.010999999999999</v>
      </c>
      <c r="V490" s="61">
        <v>23.3</v>
      </c>
      <c r="W490" s="61">
        <v>91.917000000000002</v>
      </c>
      <c r="X490" s="61">
        <v>202.37200000000001</v>
      </c>
      <c r="Y490" s="61">
        <v>42.198</v>
      </c>
      <c r="Z490" s="61">
        <v>172.446</v>
      </c>
      <c r="AA490" s="61">
        <v>417.01499999999999</v>
      </c>
      <c r="AB490" s="60">
        <v>756.64599999999996</v>
      </c>
      <c r="AC490" s="62">
        <v>363.24400000000003</v>
      </c>
      <c r="AD490" s="61">
        <v>15.256</v>
      </c>
      <c r="AE490" s="61">
        <v>1.996</v>
      </c>
      <c r="AF490" s="61">
        <v>866</v>
      </c>
      <c r="AG490" s="61">
        <v>546</v>
      </c>
      <c r="AH490" s="61">
        <v>437</v>
      </c>
      <c r="AI490" s="61">
        <v>792.24400000000003</v>
      </c>
      <c r="AJ490" s="61">
        <v>33.274000000000001</v>
      </c>
      <c r="AK490" s="62">
        <v>4.3529999999999998</v>
      </c>
      <c r="AL490" s="63">
        <f t="shared" si="41"/>
        <v>33.274000000000001</v>
      </c>
      <c r="AM490" s="64">
        <v>4.3529999999999998</v>
      </c>
      <c r="AN490" s="65" t="e">
        <v>#N/A</v>
      </c>
      <c r="AO490" s="61" t="e">
        <v>#N/A</v>
      </c>
      <c r="AP490" s="61" t="e">
        <v>#N/A</v>
      </c>
      <c r="AQ490" s="61" t="e">
        <v>#N/A</v>
      </c>
      <c r="AR490" s="61" t="e">
        <v>#N/A</v>
      </c>
      <c r="AS490" s="61" t="e">
        <v>#N/A</v>
      </c>
      <c r="AT490" s="61" t="e">
        <v>#N/A</v>
      </c>
      <c r="AU490" s="61" t="e">
        <v>#N/A</v>
      </c>
      <c r="AV490" s="61" t="e">
        <v>#N/A</v>
      </c>
      <c r="AW490" s="61" t="e">
        <v>#N/A</v>
      </c>
      <c r="AX490" s="65" t="e">
        <v>#N/A</v>
      </c>
      <c r="AY490" s="66">
        <v>3.363</v>
      </c>
      <c r="AZ490" s="61">
        <v>9.3819999999999997</v>
      </c>
      <c r="BA490" s="61">
        <v>48.551000000000002</v>
      </c>
      <c r="BB490" s="61">
        <v>61.296999999999997</v>
      </c>
      <c r="BC490" s="61">
        <v>3.4000000000000002E-2</v>
      </c>
      <c r="BD490" s="61">
        <v>1.673</v>
      </c>
      <c r="BE490" s="61">
        <v>4.2960000000000003</v>
      </c>
      <c r="BF490" s="61">
        <v>2.5999999999999999E-2</v>
      </c>
      <c r="BG490" s="61">
        <v>5.9640000000000004</v>
      </c>
      <c r="BH490" s="61">
        <v>4.1319999999999997</v>
      </c>
      <c r="BI490" s="61">
        <v>0.22700000000000001</v>
      </c>
      <c r="BJ490" s="61">
        <v>10.324</v>
      </c>
      <c r="BK490" s="66">
        <v>16.353000000000002</v>
      </c>
      <c r="BL490" s="67">
        <v>91.403000000000006</v>
      </c>
      <c r="BM490" s="61">
        <v>15.638999999999999</v>
      </c>
      <c r="BN490" s="61">
        <v>4.3529999999999998</v>
      </c>
      <c r="BO490" s="61" t="s">
        <v>121</v>
      </c>
      <c r="BP490" s="61">
        <v>111.39400000000001</v>
      </c>
      <c r="BQ490" s="61">
        <v>204.07599999999999</v>
      </c>
      <c r="BR490" s="61">
        <v>12.617000000000001</v>
      </c>
      <c r="BS490" s="61">
        <v>8.7159999999999993</v>
      </c>
      <c r="BT490" s="61">
        <v>91.875</v>
      </c>
      <c r="BU490" s="61">
        <v>19.908999999999999</v>
      </c>
      <c r="BV490" s="61">
        <v>22.51</v>
      </c>
      <c r="BW490" s="61">
        <v>42.417999999999999</v>
      </c>
      <c r="BX490" s="67">
        <v>359.70299999999997</v>
      </c>
      <c r="BY490" s="68">
        <v>152829</v>
      </c>
      <c r="BZ490" s="68">
        <v>114490</v>
      </c>
      <c r="CA490" s="69">
        <v>3812</v>
      </c>
      <c r="CB490" s="68">
        <v>129060</v>
      </c>
      <c r="CC490" s="68">
        <v>40548</v>
      </c>
      <c r="CD490" s="68">
        <v>137366</v>
      </c>
      <c r="CE490" s="64"/>
      <c r="CF490" s="64"/>
      <c r="CG490" s="70">
        <f t="shared" si="37"/>
        <v>5420.52</v>
      </c>
      <c r="CH490" s="70">
        <f t="shared" si="38"/>
        <v>160.10400000000001</v>
      </c>
      <c r="CI490" s="70">
        <f t="shared" si="39"/>
        <v>1703.0160000000001</v>
      </c>
      <c r="CJ490" s="70">
        <f t="shared" si="40"/>
        <v>6418.8180000000002</v>
      </c>
      <c r="CK490" s="70">
        <f t="shared" si="40"/>
        <v>4808.58</v>
      </c>
      <c r="CL490" s="70">
        <f t="shared" si="36"/>
        <v>5769.3720000000003</v>
      </c>
      <c r="CM490" s="61"/>
      <c r="CN490" s="61"/>
      <c r="CO490" s="61"/>
      <c r="CP490" s="61"/>
      <c r="CQ490" s="61"/>
      <c r="CR490" s="61"/>
      <c r="CS490" s="61"/>
      <c r="CT490" s="61"/>
      <c r="CU490" s="61"/>
      <c r="CV490" s="61"/>
      <c r="CW490" s="61"/>
      <c r="CX490" s="61"/>
      <c r="CY490" s="61"/>
      <c r="CZ490" s="61"/>
      <c r="DA490" s="61"/>
      <c r="DB490" s="61"/>
      <c r="DC490" s="61"/>
      <c r="DD490" s="61"/>
      <c r="DE490" s="61"/>
      <c r="DF490" s="61"/>
      <c r="DG490" s="61"/>
      <c r="DH490" s="61"/>
      <c r="DI490" s="61"/>
      <c r="DJ490" s="61"/>
      <c r="DK490" s="61"/>
      <c r="DL490" s="61"/>
      <c r="DM490" s="61"/>
      <c r="DN490" s="61"/>
      <c r="DO490" s="61"/>
      <c r="DP490" s="61"/>
      <c r="DQ490" s="61"/>
      <c r="DR490" s="61"/>
      <c r="DS490" s="61"/>
      <c r="DT490" s="61"/>
      <c r="DU490" s="61"/>
      <c r="DV490" s="61"/>
      <c r="DW490" s="61"/>
      <c r="DX490" s="61"/>
      <c r="DY490" s="61"/>
      <c r="DZ490" s="61"/>
      <c r="EA490" s="61"/>
      <c r="EB490" s="61"/>
      <c r="EC490" s="61"/>
      <c r="ED490" s="61"/>
      <c r="EE490" s="61"/>
      <c r="EF490" s="61"/>
      <c r="EG490" s="61"/>
      <c r="EH490" s="61"/>
      <c r="EI490" s="61"/>
      <c r="EJ490" s="61"/>
      <c r="EK490" s="61"/>
      <c r="EL490" s="61"/>
      <c r="EM490" s="61"/>
      <c r="EN490" s="61"/>
      <c r="EO490" s="61"/>
      <c r="EP490" s="61"/>
      <c r="EQ490" s="61"/>
      <c r="ER490" s="61"/>
      <c r="ES490" s="61"/>
      <c r="ET490" s="61"/>
      <c r="EU490" s="61"/>
      <c r="EV490" s="61"/>
      <c r="EW490" s="61"/>
    </row>
    <row r="491" spans="1:153">
      <c r="A491" s="56">
        <v>41518</v>
      </c>
      <c r="B491" s="57">
        <v>2013</v>
      </c>
      <c r="C491" s="71">
        <v>16.437000000000001</v>
      </c>
      <c r="D491" s="61">
        <v>0.224</v>
      </c>
      <c r="E491" s="61">
        <v>3025.366</v>
      </c>
      <c r="F491" s="61">
        <v>127.065</v>
      </c>
      <c r="G491" s="61">
        <v>16.213000000000001</v>
      </c>
      <c r="H491" s="61">
        <v>781</v>
      </c>
      <c r="I491" s="61">
        <v>510.70100000000002</v>
      </c>
      <c r="J491" s="61">
        <v>270.29899999999998</v>
      </c>
      <c r="K491" s="61">
        <v>2508.991</v>
      </c>
      <c r="L491" s="61">
        <v>-40.115000000000002</v>
      </c>
      <c r="M491" s="61">
        <v>3335.78</v>
      </c>
      <c r="N491" s="61">
        <v>140.10300000000001</v>
      </c>
      <c r="O491" s="71">
        <v>17.876000000000001</v>
      </c>
      <c r="P491" s="60">
        <v>190.5</v>
      </c>
      <c r="Q491" s="61">
        <v>164.898</v>
      </c>
      <c r="R491" s="61">
        <v>395.31299999999999</v>
      </c>
      <c r="S491" s="61">
        <v>708.22500000000002</v>
      </c>
      <c r="T491" s="61">
        <v>161.82599999999999</v>
      </c>
      <c r="U491" s="61">
        <v>17.616</v>
      </c>
      <c r="V491" s="61">
        <v>22.088000000000001</v>
      </c>
      <c r="W491" s="61">
        <v>111.38200000000001</v>
      </c>
      <c r="X491" s="61">
        <v>190.5</v>
      </c>
      <c r="Y491" s="61">
        <v>39.914000000000001</v>
      </c>
      <c r="Z491" s="61">
        <v>172.65600000000001</v>
      </c>
      <c r="AA491" s="61">
        <v>403.07100000000003</v>
      </c>
      <c r="AB491" s="60">
        <v>715.98299999999995</v>
      </c>
      <c r="AC491" s="62">
        <v>420.02600000000001</v>
      </c>
      <c r="AD491" s="61">
        <v>17.640999999999998</v>
      </c>
      <c r="AE491" s="61">
        <v>2.3079999999999998</v>
      </c>
      <c r="AF491" s="61">
        <v>613</v>
      </c>
      <c r="AG491" s="61">
        <v>537</v>
      </c>
      <c r="AH491" s="61">
        <v>-9</v>
      </c>
      <c r="AI491" s="61">
        <v>1042.0260000000001</v>
      </c>
      <c r="AJ491" s="61">
        <v>43.765000000000001</v>
      </c>
      <c r="AK491" s="62">
        <v>5.7249999999999996</v>
      </c>
      <c r="AL491" s="63">
        <f t="shared" si="41"/>
        <v>43.765000000000001</v>
      </c>
      <c r="AM491" s="64">
        <v>5.7249999999999996</v>
      </c>
      <c r="AN491" s="65" t="e">
        <v>#N/A</v>
      </c>
      <c r="AO491" s="61" t="e">
        <v>#N/A</v>
      </c>
      <c r="AP491" s="61" t="e">
        <v>#N/A</v>
      </c>
      <c r="AQ491" s="61" t="e">
        <v>#N/A</v>
      </c>
      <c r="AR491" s="61" t="e">
        <v>#N/A</v>
      </c>
      <c r="AS491" s="61" t="e">
        <v>#N/A</v>
      </c>
      <c r="AT491" s="61" t="e">
        <v>#N/A</v>
      </c>
      <c r="AU491" s="61" t="e">
        <v>#N/A</v>
      </c>
      <c r="AV491" s="61" t="e">
        <v>#N/A</v>
      </c>
      <c r="AW491" s="61" t="e">
        <v>#N/A</v>
      </c>
      <c r="AX491" s="65" t="e">
        <v>#N/A</v>
      </c>
      <c r="AY491" s="66">
        <v>3.2549999999999999</v>
      </c>
      <c r="AZ491" s="61">
        <v>8.5570000000000004</v>
      </c>
      <c r="BA491" s="61">
        <v>46.984999999999999</v>
      </c>
      <c r="BB491" s="61">
        <v>58.796999999999997</v>
      </c>
      <c r="BC491" s="61">
        <v>2.7E-2</v>
      </c>
      <c r="BD491" s="61">
        <v>1.619</v>
      </c>
      <c r="BE491" s="61">
        <v>3.9550000000000001</v>
      </c>
      <c r="BF491" s="61">
        <v>3.6999999999999998E-2</v>
      </c>
      <c r="BG491" s="61">
        <v>5.7229999999999999</v>
      </c>
      <c r="BH491" s="61">
        <v>3.9460000000000002</v>
      </c>
      <c r="BI491" s="61">
        <v>0.223</v>
      </c>
      <c r="BJ491" s="61">
        <v>9.8919999999999995</v>
      </c>
      <c r="BK491" s="66">
        <v>15.53</v>
      </c>
      <c r="BL491" s="67">
        <v>89.69</v>
      </c>
      <c r="BM491" s="61">
        <v>17.876000000000001</v>
      </c>
      <c r="BN491" s="61">
        <v>5.7249999999999996</v>
      </c>
      <c r="BO491" s="61" t="s">
        <v>121</v>
      </c>
      <c r="BP491" s="61">
        <v>113.291</v>
      </c>
      <c r="BQ491" s="61">
        <v>159.517</v>
      </c>
      <c r="BR491" s="61">
        <v>12.397</v>
      </c>
      <c r="BS491" s="61">
        <v>8.7479999999999993</v>
      </c>
      <c r="BT491" s="61">
        <v>111.32299999999999</v>
      </c>
      <c r="BU491" s="61">
        <v>18.036000000000001</v>
      </c>
      <c r="BV491" s="61">
        <v>21.248000000000001</v>
      </c>
      <c r="BW491" s="61">
        <v>39.283999999999999</v>
      </c>
      <c r="BX491" s="67">
        <v>331.26900000000001</v>
      </c>
      <c r="BY491" s="68">
        <v>146651</v>
      </c>
      <c r="BZ491" s="68">
        <v>111739</v>
      </c>
      <c r="CA491" s="69">
        <v>3961</v>
      </c>
      <c r="CB491" s="68">
        <v>129326</v>
      </c>
      <c r="CC491" s="68">
        <v>40543</v>
      </c>
      <c r="CD491" s="68">
        <v>131205</v>
      </c>
      <c r="CE491" s="64"/>
      <c r="CF491" s="64"/>
      <c r="CG491" s="70">
        <f t="shared" si="37"/>
        <v>5431.692</v>
      </c>
      <c r="CH491" s="70">
        <f t="shared" si="38"/>
        <v>166.36199999999999</v>
      </c>
      <c r="CI491" s="70">
        <f t="shared" si="39"/>
        <v>1702.806</v>
      </c>
      <c r="CJ491" s="70">
        <f t="shared" si="40"/>
        <v>6159.3419999999996</v>
      </c>
      <c r="CK491" s="70">
        <f t="shared" si="40"/>
        <v>4693.0379999999996</v>
      </c>
      <c r="CL491" s="70">
        <f t="shared" si="36"/>
        <v>5510.61</v>
      </c>
      <c r="CM491" s="61"/>
      <c r="CN491" s="61"/>
      <c r="CO491" s="61"/>
      <c r="CP491" s="61"/>
      <c r="CQ491" s="61"/>
      <c r="CR491" s="61"/>
      <c r="CS491" s="61"/>
      <c r="CT491" s="61"/>
      <c r="CU491" s="61"/>
      <c r="CV491" s="61"/>
      <c r="CW491" s="61"/>
      <c r="CX491" s="61"/>
      <c r="CY491" s="61"/>
      <c r="CZ491" s="61"/>
      <c r="DA491" s="61"/>
      <c r="DB491" s="61"/>
      <c r="DC491" s="61"/>
      <c r="DD491" s="61"/>
      <c r="DE491" s="61"/>
      <c r="DF491" s="61"/>
      <c r="DG491" s="61"/>
      <c r="DH491" s="61"/>
      <c r="DI491" s="61"/>
      <c r="DJ491" s="61"/>
      <c r="DK491" s="61"/>
      <c r="DL491" s="61"/>
      <c r="DM491" s="61"/>
      <c r="DN491" s="61"/>
      <c r="DO491" s="61"/>
      <c r="DP491" s="61"/>
      <c r="DQ491" s="61"/>
      <c r="DR491" s="61"/>
      <c r="DS491" s="61"/>
      <c r="DT491" s="61"/>
      <c r="DU491" s="61"/>
      <c r="DV491" s="61"/>
      <c r="DW491" s="61"/>
      <c r="DX491" s="61"/>
      <c r="DY491" s="61"/>
      <c r="DZ491" s="61"/>
      <c r="EA491" s="61"/>
      <c r="EB491" s="61"/>
      <c r="EC491" s="61"/>
      <c r="ED491" s="61"/>
      <c r="EE491" s="61"/>
      <c r="EF491" s="61"/>
      <c r="EG491" s="61"/>
      <c r="EH491" s="61"/>
      <c r="EI491" s="61"/>
      <c r="EJ491" s="61"/>
      <c r="EK491" s="61"/>
      <c r="EL491" s="61"/>
      <c r="EM491" s="61"/>
      <c r="EN491" s="61"/>
      <c r="EO491" s="61"/>
      <c r="EP491" s="61"/>
      <c r="EQ491" s="61"/>
      <c r="ER491" s="61"/>
      <c r="ES491" s="61"/>
      <c r="ET491" s="61"/>
      <c r="EU491" s="61"/>
      <c r="EV491" s="61"/>
      <c r="EW491" s="61"/>
    </row>
    <row r="492" spans="1:153">
      <c r="A492" s="56">
        <v>41548</v>
      </c>
      <c r="B492" s="57">
        <v>2013</v>
      </c>
      <c r="C492" s="71">
        <v>17.777999999999999</v>
      </c>
      <c r="D492" s="61">
        <v>0.24199999999999999</v>
      </c>
      <c r="E492" s="61">
        <v>3272.2330000000002</v>
      </c>
      <c r="F492" s="61">
        <v>137.434</v>
      </c>
      <c r="G492" s="61">
        <v>17.536000000000001</v>
      </c>
      <c r="H492" s="61">
        <v>1177</v>
      </c>
      <c r="I492" s="61">
        <v>414.60300000000001</v>
      </c>
      <c r="J492" s="61">
        <v>762.39700000000005</v>
      </c>
      <c r="K492" s="61">
        <v>2482.8310000000001</v>
      </c>
      <c r="L492" s="61">
        <v>-26.16</v>
      </c>
      <c r="M492" s="61">
        <v>4060.79</v>
      </c>
      <c r="N492" s="61">
        <v>170.553</v>
      </c>
      <c r="O492" s="71">
        <v>21.762</v>
      </c>
      <c r="P492" s="60">
        <v>195.16</v>
      </c>
      <c r="Q492" s="61">
        <v>180.35599999999999</v>
      </c>
      <c r="R492" s="61">
        <v>417.49299999999999</v>
      </c>
      <c r="S492" s="61">
        <v>751.38099999999997</v>
      </c>
      <c r="T492" s="61">
        <v>164.09200000000001</v>
      </c>
      <c r="U492" s="61">
        <v>18.402000000000001</v>
      </c>
      <c r="V492" s="61">
        <v>21.303000000000001</v>
      </c>
      <c r="W492" s="61">
        <v>130.09200000000001</v>
      </c>
      <c r="X492" s="61">
        <v>195.16</v>
      </c>
      <c r="Y492" s="61">
        <v>41.975999999999999</v>
      </c>
      <c r="Z492" s="61">
        <v>185.584</v>
      </c>
      <c r="AA492" s="61">
        <v>422.721</v>
      </c>
      <c r="AB492" s="60">
        <v>756.61</v>
      </c>
      <c r="AC492" s="62">
        <v>450.75599999999997</v>
      </c>
      <c r="AD492" s="61">
        <v>18.931999999999999</v>
      </c>
      <c r="AE492" s="61">
        <v>2.476</v>
      </c>
      <c r="AF492" s="61">
        <v>467</v>
      </c>
      <c r="AG492" s="61">
        <v>486</v>
      </c>
      <c r="AH492" s="61">
        <v>-51</v>
      </c>
      <c r="AI492" s="61">
        <v>968.75599999999997</v>
      </c>
      <c r="AJ492" s="61">
        <v>40.688000000000002</v>
      </c>
      <c r="AK492" s="62">
        <v>5.3220000000000001</v>
      </c>
      <c r="AL492" s="63">
        <f t="shared" si="41"/>
        <v>40.688000000000002</v>
      </c>
      <c r="AM492" s="64">
        <v>5.3220000000000001</v>
      </c>
      <c r="AN492" s="65" t="e">
        <v>#N/A</v>
      </c>
      <c r="AO492" s="61" t="e">
        <v>#N/A</v>
      </c>
      <c r="AP492" s="61" t="e">
        <v>#N/A</v>
      </c>
      <c r="AQ492" s="61" t="e">
        <v>#N/A</v>
      </c>
      <c r="AR492" s="61" t="e">
        <v>#N/A</v>
      </c>
      <c r="AS492" s="61" t="e">
        <v>#N/A</v>
      </c>
      <c r="AT492" s="61" t="e">
        <v>#N/A</v>
      </c>
      <c r="AU492" s="61" t="e">
        <v>#N/A</v>
      </c>
      <c r="AV492" s="61" t="e">
        <v>#N/A</v>
      </c>
      <c r="AW492" s="61" t="e">
        <v>#N/A</v>
      </c>
      <c r="AX492" s="65" t="e">
        <v>#N/A</v>
      </c>
      <c r="AY492" s="66">
        <v>3.363</v>
      </c>
      <c r="AZ492" s="61">
        <v>7.7990000000000004</v>
      </c>
      <c r="BA492" s="61">
        <v>48.551000000000002</v>
      </c>
      <c r="BB492" s="61">
        <v>59.713000000000001</v>
      </c>
      <c r="BC492" s="61">
        <v>1.7000000000000001E-2</v>
      </c>
      <c r="BD492" s="61">
        <v>1.673</v>
      </c>
      <c r="BE492" s="61">
        <v>3.6429999999999998</v>
      </c>
      <c r="BF492" s="61">
        <v>4.4999999999999998E-2</v>
      </c>
      <c r="BG492" s="61">
        <v>5.9909999999999997</v>
      </c>
      <c r="BH492" s="61">
        <v>3.8889999999999998</v>
      </c>
      <c r="BI492" s="61">
        <v>0.23300000000000001</v>
      </c>
      <c r="BJ492" s="61">
        <v>10.113</v>
      </c>
      <c r="BK492" s="66">
        <v>15.491</v>
      </c>
      <c r="BL492" s="67">
        <v>93.561000000000007</v>
      </c>
      <c r="BM492" s="61">
        <v>21.762</v>
      </c>
      <c r="BN492" s="61">
        <v>5.3220000000000001</v>
      </c>
      <c r="BO492" s="61" t="s">
        <v>121</v>
      </c>
      <c r="BP492" s="61">
        <v>120.646</v>
      </c>
      <c r="BQ492" s="61">
        <v>161.79599999999999</v>
      </c>
      <c r="BR492" s="61">
        <v>13.009</v>
      </c>
      <c r="BS492" s="61">
        <v>9.1069999999999993</v>
      </c>
      <c r="BT492" s="61">
        <v>130.012</v>
      </c>
      <c r="BU492" s="61">
        <v>17.521999999999998</v>
      </c>
      <c r="BV492" s="61">
        <v>21.597000000000001</v>
      </c>
      <c r="BW492" s="61">
        <v>39.119999999999997</v>
      </c>
      <c r="BX492" s="67">
        <v>353.04399999999998</v>
      </c>
      <c r="BY492" s="68">
        <v>149259</v>
      </c>
      <c r="BZ492" s="68">
        <v>125201</v>
      </c>
      <c r="CA492" s="69">
        <v>3981</v>
      </c>
      <c r="CB492" s="68">
        <v>118035</v>
      </c>
      <c r="CC492" s="68">
        <v>41958</v>
      </c>
      <c r="CD492" s="68">
        <v>134249</v>
      </c>
      <c r="CE492" s="64"/>
      <c r="CF492" s="64"/>
      <c r="CG492" s="70">
        <f t="shared" si="37"/>
        <v>4957.47</v>
      </c>
      <c r="CH492" s="70">
        <f t="shared" si="38"/>
        <v>167.202</v>
      </c>
      <c r="CI492" s="70">
        <f t="shared" si="39"/>
        <v>1762.2360000000001</v>
      </c>
      <c r="CJ492" s="70">
        <f t="shared" si="40"/>
        <v>6268.8779999999997</v>
      </c>
      <c r="CK492" s="70">
        <f t="shared" si="40"/>
        <v>5258.442</v>
      </c>
      <c r="CL492" s="70">
        <f t="shared" si="36"/>
        <v>5638.4579999999996</v>
      </c>
      <c r="CM492" s="61"/>
      <c r="CN492" s="61"/>
      <c r="CO492" s="61"/>
      <c r="CP492" s="61"/>
      <c r="CQ492" s="61"/>
      <c r="CR492" s="61"/>
      <c r="CS492" s="61"/>
      <c r="CT492" s="61"/>
      <c r="CU492" s="61"/>
      <c r="CV492" s="61"/>
      <c r="CW492" s="61"/>
      <c r="CX492" s="61"/>
      <c r="CY492" s="61"/>
      <c r="CZ492" s="61"/>
      <c r="DA492" s="61"/>
      <c r="DB492" s="61"/>
      <c r="DC492" s="61"/>
      <c r="DD492" s="61"/>
      <c r="DE492" s="61"/>
      <c r="DF492" s="61"/>
      <c r="DG492" s="61"/>
      <c r="DH492" s="61"/>
      <c r="DI492" s="61"/>
      <c r="DJ492" s="61"/>
      <c r="DK492" s="61"/>
      <c r="DL492" s="61"/>
      <c r="DM492" s="61"/>
      <c r="DN492" s="61"/>
      <c r="DO492" s="61"/>
      <c r="DP492" s="61"/>
      <c r="DQ492" s="61"/>
      <c r="DR492" s="61"/>
      <c r="DS492" s="61"/>
      <c r="DT492" s="61"/>
      <c r="DU492" s="61"/>
      <c r="DV492" s="61"/>
      <c r="DW492" s="61"/>
      <c r="DX492" s="61"/>
      <c r="DY492" s="61"/>
      <c r="DZ492" s="61"/>
      <c r="EA492" s="61"/>
      <c r="EB492" s="61"/>
      <c r="EC492" s="61"/>
      <c r="ED492" s="61"/>
      <c r="EE492" s="61"/>
      <c r="EF492" s="61"/>
      <c r="EG492" s="61"/>
      <c r="EH492" s="61"/>
      <c r="EI492" s="61"/>
      <c r="EJ492" s="61"/>
      <c r="EK492" s="61"/>
      <c r="EL492" s="61"/>
      <c r="EM492" s="61"/>
      <c r="EN492" s="61"/>
      <c r="EO492" s="61"/>
      <c r="EP492" s="61"/>
      <c r="EQ492" s="61"/>
      <c r="ER492" s="61"/>
      <c r="ES492" s="61"/>
      <c r="ET492" s="61"/>
      <c r="EU492" s="61"/>
      <c r="EV492" s="61"/>
      <c r="EW492" s="61"/>
    </row>
    <row r="493" spans="1:153">
      <c r="A493" s="56">
        <v>41579</v>
      </c>
      <c r="B493" s="57">
        <v>2013</v>
      </c>
      <c r="C493" s="71">
        <v>16.731000000000002</v>
      </c>
      <c r="D493" s="61">
        <v>0.22800000000000001</v>
      </c>
      <c r="E493" s="61">
        <v>3079.558</v>
      </c>
      <c r="F493" s="61">
        <v>129.34100000000001</v>
      </c>
      <c r="G493" s="61">
        <v>16.503</v>
      </c>
      <c r="H493" s="61">
        <v>1641</v>
      </c>
      <c r="I493" s="61">
        <v>407.82600000000002</v>
      </c>
      <c r="J493" s="61">
        <v>1233.174</v>
      </c>
      <c r="K493" s="61">
        <v>3359.7750000000001</v>
      </c>
      <c r="L493" s="61">
        <v>876.94299999999998</v>
      </c>
      <c r="M493" s="61">
        <v>3435.7890000000002</v>
      </c>
      <c r="N493" s="61">
        <v>144.303</v>
      </c>
      <c r="O493" s="71">
        <v>18.411999999999999</v>
      </c>
      <c r="P493" s="60">
        <v>195.07499999999999</v>
      </c>
      <c r="Q493" s="61">
        <v>178.452</v>
      </c>
      <c r="R493" s="61">
        <v>415.79599999999999</v>
      </c>
      <c r="S493" s="61">
        <v>769.79899999999998</v>
      </c>
      <c r="T493" s="61">
        <v>168.655</v>
      </c>
      <c r="U493" s="61">
        <v>16.959</v>
      </c>
      <c r="V493" s="61">
        <v>17.611000000000001</v>
      </c>
      <c r="W493" s="61">
        <v>150.779</v>
      </c>
      <c r="X493" s="61">
        <v>195.07499999999999</v>
      </c>
      <c r="Y493" s="61">
        <v>42.268000000000001</v>
      </c>
      <c r="Z493" s="61">
        <v>177.40299999999999</v>
      </c>
      <c r="AA493" s="61">
        <v>414.74700000000001</v>
      </c>
      <c r="AB493" s="60">
        <v>768.75</v>
      </c>
      <c r="AC493" s="62">
        <v>373.30700000000002</v>
      </c>
      <c r="AD493" s="61">
        <v>15.679</v>
      </c>
      <c r="AE493" s="61">
        <v>2.0510000000000002</v>
      </c>
      <c r="AF493" s="61">
        <v>728</v>
      </c>
      <c r="AG493" s="61">
        <v>665</v>
      </c>
      <c r="AH493" s="61">
        <v>179</v>
      </c>
      <c r="AI493" s="61">
        <v>922.30700000000002</v>
      </c>
      <c r="AJ493" s="61">
        <v>38.737000000000002</v>
      </c>
      <c r="AK493" s="62">
        <v>5.0670000000000002</v>
      </c>
      <c r="AL493" s="63">
        <f t="shared" si="41"/>
        <v>38.737000000000002</v>
      </c>
      <c r="AM493" s="64">
        <v>5.0670000000000002</v>
      </c>
      <c r="AN493" s="65" t="e">
        <v>#N/A</v>
      </c>
      <c r="AO493" s="61" t="e">
        <v>#N/A</v>
      </c>
      <c r="AP493" s="61" t="e">
        <v>#N/A</v>
      </c>
      <c r="AQ493" s="61" t="e">
        <v>#N/A</v>
      </c>
      <c r="AR493" s="61" t="e">
        <v>#N/A</v>
      </c>
      <c r="AS493" s="61" t="e">
        <v>#N/A</v>
      </c>
      <c r="AT493" s="61" t="e">
        <v>#N/A</v>
      </c>
      <c r="AU493" s="61" t="e">
        <v>#N/A</v>
      </c>
      <c r="AV493" s="61" t="e">
        <v>#N/A</v>
      </c>
      <c r="AW493" s="61" t="e">
        <v>#N/A</v>
      </c>
      <c r="AX493" s="65" t="e">
        <v>#N/A</v>
      </c>
      <c r="AY493" s="66">
        <v>3.2549999999999999</v>
      </c>
      <c r="AZ493" s="61">
        <v>6.3970000000000002</v>
      </c>
      <c r="BA493" s="61">
        <v>46.984999999999999</v>
      </c>
      <c r="BB493" s="61">
        <v>56.637</v>
      </c>
      <c r="BC493" s="61">
        <v>1.9E-2</v>
      </c>
      <c r="BD493" s="61">
        <v>1.619</v>
      </c>
      <c r="BE493" s="61">
        <v>2.9750000000000001</v>
      </c>
      <c r="BF493" s="61">
        <v>7.4999999999999997E-2</v>
      </c>
      <c r="BG493" s="61">
        <v>5.8170000000000002</v>
      </c>
      <c r="BH493" s="61">
        <v>3.762</v>
      </c>
      <c r="BI493" s="61">
        <v>0.222</v>
      </c>
      <c r="BJ493" s="61">
        <v>9.8019999999999996</v>
      </c>
      <c r="BK493" s="66">
        <v>14.489000000000001</v>
      </c>
      <c r="BL493" s="67">
        <v>89.25</v>
      </c>
      <c r="BM493" s="61">
        <v>18.411999999999999</v>
      </c>
      <c r="BN493" s="61">
        <v>5.0670000000000002</v>
      </c>
      <c r="BO493" s="61" t="s">
        <v>121</v>
      </c>
      <c r="BP493" s="61">
        <v>112.73</v>
      </c>
      <c r="BQ493" s="61">
        <v>166.667</v>
      </c>
      <c r="BR493" s="61">
        <v>11.74</v>
      </c>
      <c r="BS493" s="61">
        <v>7.62</v>
      </c>
      <c r="BT493" s="61">
        <v>150.65199999999999</v>
      </c>
      <c r="BU493" s="61">
        <v>18.527999999999999</v>
      </c>
      <c r="BV493" s="61">
        <v>22.030999999999999</v>
      </c>
      <c r="BW493" s="61">
        <v>40.558999999999997</v>
      </c>
      <c r="BX493" s="67">
        <v>377.23899999999998</v>
      </c>
      <c r="BY493" s="68">
        <v>151490</v>
      </c>
      <c r="BZ493" s="68">
        <v>116797</v>
      </c>
      <c r="CA493" s="69">
        <v>4337</v>
      </c>
      <c r="CB493" s="68">
        <v>121118</v>
      </c>
      <c r="CC493" s="68">
        <v>38029</v>
      </c>
      <c r="CD493" s="68">
        <v>134931</v>
      </c>
      <c r="CE493" s="64"/>
      <c r="CF493" s="64"/>
      <c r="CG493" s="70">
        <f t="shared" si="37"/>
        <v>5086.9560000000001</v>
      </c>
      <c r="CH493" s="70">
        <f t="shared" si="38"/>
        <v>182.154</v>
      </c>
      <c r="CI493" s="70">
        <f t="shared" si="39"/>
        <v>1597.2180000000001</v>
      </c>
      <c r="CJ493" s="70">
        <f t="shared" si="40"/>
        <v>6362.58</v>
      </c>
      <c r="CK493" s="70">
        <f t="shared" si="40"/>
        <v>4905.4740000000002</v>
      </c>
      <c r="CL493" s="70">
        <f t="shared" si="36"/>
        <v>5667.1019999999999</v>
      </c>
      <c r="CM493" s="61"/>
      <c r="CN493" s="61"/>
      <c r="CO493" s="61"/>
      <c r="CP493" s="61"/>
      <c r="CQ493" s="61"/>
      <c r="CR493" s="61"/>
      <c r="CS493" s="61"/>
      <c r="CT493" s="61"/>
      <c r="CU493" s="61"/>
      <c r="CV493" s="61"/>
      <c r="CW493" s="61"/>
      <c r="CX493" s="61"/>
      <c r="CY493" s="61"/>
      <c r="CZ493" s="61"/>
      <c r="DA493" s="61"/>
      <c r="DB493" s="61"/>
      <c r="DC493" s="61"/>
      <c r="DD493" s="61"/>
      <c r="DE493" s="61"/>
      <c r="DF493" s="61"/>
      <c r="DG493" s="61"/>
      <c r="DH493" s="61"/>
      <c r="DI493" s="61"/>
      <c r="DJ493" s="61"/>
      <c r="DK493" s="61"/>
      <c r="DL493" s="61"/>
      <c r="DM493" s="61"/>
      <c r="DN493" s="61"/>
      <c r="DO493" s="61"/>
      <c r="DP493" s="61"/>
      <c r="DQ493" s="61"/>
      <c r="DR493" s="61"/>
      <c r="DS493" s="61"/>
      <c r="DT493" s="61"/>
      <c r="DU493" s="61"/>
      <c r="DV493" s="61"/>
      <c r="DW493" s="61"/>
      <c r="DX493" s="61"/>
      <c r="DY493" s="61"/>
      <c r="DZ493" s="61"/>
      <c r="EA493" s="61"/>
      <c r="EB493" s="61"/>
      <c r="EC493" s="61"/>
      <c r="ED493" s="61"/>
      <c r="EE493" s="61"/>
      <c r="EF493" s="61"/>
      <c r="EG493" s="61"/>
      <c r="EH493" s="61"/>
      <c r="EI493" s="61"/>
      <c r="EJ493" s="61"/>
      <c r="EK493" s="61"/>
      <c r="EL493" s="61"/>
      <c r="EM493" s="61"/>
      <c r="EN493" s="61"/>
      <c r="EO493" s="61"/>
      <c r="EP493" s="61"/>
      <c r="EQ493" s="61"/>
      <c r="ER493" s="61"/>
      <c r="ES493" s="61"/>
      <c r="ET493" s="61"/>
      <c r="EU493" s="61"/>
      <c r="EV493" s="61"/>
      <c r="EW493" s="61"/>
    </row>
    <row r="494" spans="1:153">
      <c r="A494" s="56">
        <v>41609</v>
      </c>
      <c r="B494" s="57">
        <v>2013</v>
      </c>
      <c r="C494" s="71">
        <v>17.475999999999999</v>
      </c>
      <c r="D494" s="61">
        <v>0.23799999999999999</v>
      </c>
      <c r="E494" s="61">
        <v>3216.6669999999999</v>
      </c>
      <c r="F494" s="61">
        <v>135.1</v>
      </c>
      <c r="G494" s="61">
        <v>17.238</v>
      </c>
      <c r="H494" s="61">
        <v>1765</v>
      </c>
      <c r="I494" s="61">
        <v>475.70299999999997</v>
      </c>
      <c r="J494" s="61">
        <v>1289.297</v>
      </c>
      <c r="K494" s="61">
        <v>3809.7089999999998</v>
      </c>
      <c r="L494" s="61">
        <v>449.935</v>
      </c>
      <c r="M494" s="61">
        <v>4056.029</v>
      </c>
      <c r="N494" s="61">
        <v>170.35300000000001</v>
      </c>
      <c r="O494" s="71">
        <v>21.736000000000001</v>
      </c>
      <c r="P494" s="60">
        <v>203.786</v>
      </c>
      <c r="Q494" s="61">
        <v>187.47200000000001</v>
      </c>
      <c r="R494" s="61">
        <v>436.11500000000001</v>
      </c>
      <c r="S494" s="61">
        <v>806.74300000000005</v>
      </c>
      <c r="T494" s="61">
        <v>201.58500000000001</v>
      </c>
      <c r="U494" s="61">
        <v>18.422999999999998</v>
      </c>
      <c r="V494" s="61">
        <v>17.361000000000001</v>
      </c>
      <c r="W494" s="61">
        <v>133.26</v>
      </c>
      <c r="X494" s="61">
        <v>203.786</v>
      </c>
      <c r="Y494" s="61">
        <v>44.856999999999999</v>
      </c>
      <c r="Z494" s="61">
        <v>187.428</v>
      </c>
      <c r="AA494" s="61">
        <v>436.07100000000003</v>
      </c>
      <c r="AB494" s="60">
        <v>806.69899999999996</v>
      </c>
      <c r="AC494" s="62">
        <v>330.88799999999998</v>
      </c>
      <c r="AD494" s="61">
        <v>13.897</v>
      </c>
      <c r="AE494" s="61">
        <v>1.8180000000000001</v>
      </c>
      <c r="AF494" s="61">
        <v>661</v>
      </c>
      <c r="AG494" s="61">
        <v>691</v>
      </c>
      <c r="AH494" s="61">
        <v>26</v>
      </c>
      <c r="AI494" s="61">
        <v>965.88800000000003</v>
      </c>
      <c r="AJ494" s="61">
        <v>40.567</v>
      </c>
      <c r="AK494" s="62">
        <v>5.3070000000000004</v>
      </c>
      <c r="AL494" s="63">
        <f t="shared" si="41"/>
        <v>40.567</v>
      </c>
      <c r="AM494" s="64">
        <v>5.3070000000000004</v>
      </c>
      <c r="AN494" s="65" t="e">
        <v>#N/A</v>
      </c>
      <c r="AO494" s="61" t="e">
        <v>#N/A</v>
      </c>
      <c r="AP494" s="61" t="e">
        <v>#N/A</v>
      </c>
      <c r="AQ494" s="61" t="e">
        <v>#N/A</v>
      </c>
      <c r="AR494" s="61" t="e">
        <v>#N/A</v>
      </c>
      <c r="AS494" s="61" t="e">
        <v>#N/A</v>
      </c>
      <c r="AT494" s="61" t="e">
        <v>#N/A</v>
      </c>
      <c r="AU494" s="61" t="e">
        <v>#N/A</v>
      </c>
      <c r="AV494" s="61" t="e">
        <v>#N/A</v>
      </c>
      <c r="AW494" s="61" t="e">
        <v>#N/A</v>
      </c>
      <c r="AX494" s="65" t="e">
        <v>#N/A</v>
      </c>
      <c r="AY494" s="66">
        <v>3.363</v>
      </c>
      <c r="AZ494" s="61">
        <v>6.0720000000000001</v>
      </c>
      <c r="BA494" s="61">
        <v>48.551000000000002</v>
      </c>
      <c r="BB494" s="61">
        <v>57.987000000000002</v>
      </c>
      <c r="BC494" s="61">
        <v>2.8000000000000001E-2</v>
      </c>
      <c r="BD494" s="61">
        <v>1.673</v>
      </c>
      <c r="BE494" s="61">
        <v>2.823</v>
      </c>
      <c r="BF494" s="61">
        <v>6.8000000000000005E-2</v>
      </c>
      <c r="BG494" s="61">
        <v>6.04</v>
      </c>
      <c r="BH494" s="61">
        <v>4.0149999999999997</v>
      </c>
      <c r="BI494" s="61">
        <v>0.23</v>
      </c>
      <c r="BJ494" s="61">
        <v>10.284000000000001</v>
      </c>
      <c r="BK494" s="66">
        <v>14.877000000000001</v>
      </c>
      <c r="BL494" s="67">
        <v>92.3</v>
      </c>
      <c r="BM494" s="61">
        <v>21.736000000000001</v>
      </c>
      <c r="BN494" s="61">
        <v>5.3070000000000004</v>
      </c>
      <c r="BO494" s="61" t="s">
        <v>121</v>
      </c>
      <c r="BP494" s="61">
        <v>119.342</v>
      </c>
      <c r="BQ494" s="61">
        <v>198.482</v>
      </c>
      <c r="BR494" s="61">
        <v>13.029</v>
      </c>
      <c r="BS494" s="61">
        <v>7.8789999999999996</v>
      </c>
      <c r="BT494" s="61">
        <v>133.143</v>
      </c>
      <c r="BU494" s="61">
        <v>19.809999999999999</v>
      </c>
      <c r="BV494" s="61">
        <v>23.681000000000001</v>
      </c>
      <c r="BW494" s="61">
        <v>43.491</v>
      </c>
      <c r="BX494" s="67">
        <v>396.024</v>
      </c>
      <c r="BY494" s="68">
        <v>158770</v>
      </c>
      <c r="BZ494" s="68">
        <v>120489</v>
      </c>
      <c r="CA494" s="69">
        <v>5096</v>
      </c>
      <c r="CB494" s="68">
        <v>127543</v>
      </c>
      <c r="CC494" s="68">
        <v>39691</v>
      </c>
      <c r="CD494" s="68">
        <v>142155</v>
      </c>
      <c r="CE494" s="64"/>
      <c r="CF494" s="64"/>
      <c r="CG494" s="70">
        <f t="shared" si="37"/>
        <v>5356.8059999999996</v>
      </c>
      <c r="CH494" s="70">
        <f t="shared" si="38"/>
        <v>214.03200000000001</v>
      </c>
      <c r="CI494" s="70">
        <f t="shared" si="39"/>
        <v>1667.0219999999999</v>
      </c>
      <c r="CJ494" s="70">
        <f t="shared" si="40"/>
        <v>6668.34</v>
      </c>
      <c r="CK494" s="70">
        <f t="shared" si="40"/>
        <v>5060.5379999999996</v>
      </c>
      <c r="CL494" s="70">
        <f t="shared" si="36"/>
        <v>5970.51</v>
      </c>
      <c r="CM494" s="61"/>
      <c r="CN494" s="61"/>
      <c r="CO494" s="61"/>
      <c r="CP494" s="61"/>
      <c r="CQ494" s="61"/>
      <c r="CR494" s="61"/>
      <c r="CS494" s="61"/>
      <c r="CT494" s="61"/>
      <c r="CU494" s="61"/>
      <c r="CV494" s="61"/>
      <c r="CW494" s="61"/>
      <c r="CX494" s="61"/>
      <c r="CY494" s="61"/>
      <c r="CZ494" s="61"/>
      <c r="DA494" s="61"/>
      <c r="DB494" s="61"/>
      <c r="DC494" s="61"/>
      <c r="DD494" s="61"/>
      <c r="DE494" s="61"/>
      <c r="DF494" s="61"/>
      <c r="DG494" s="61"/>
      <c r="DH494" s="61"/>
      <c r="DI494" s="61"/>
      <c r="DJ494" s="61"/>
      <c r="DK494" s="61"/>
      <c r="DL494" s="61"/>
      <c r="DM494" s="61"/>
      <c r="DN494" s="61"/>
      <c r="DO494" s="61"/>
      <c r="DP494" s="61"/>
      <c r="DQ494" s="61"/>
      <c r="DR494" s="61"/>
      <c r="DS494" s="61"/>
      <c r="DT494" s="61"/>
      <c r="DU494" s="61"/>
      <c r="DV494" s="61"/>
      <c r="DW494" s="61"/>
      <c r="DX494" s="61"/>
      <c r="DY494" s="61"/>
      <c r="DZ494" s="61"/>
      <c r="EA494" s="61"/>
      <c r="EB494" s="61"/>
      <c r="EC494" s="61"/>
      <c r="ED494" s="61"/>
      <c r="EE494" s="61"/>
      <c r="EF494" s="61"/>
      <c r="EG494" s="61"/>
      <c r="EH494" s="61"/>
      <c r="EI494" s="61"/>
      <c r="EJ494" s="61"/>
      <c r="EK494" s="61"/>
      <c r="EL494" s="61"/>
      <c r="EM494" s="61"/>
      <c r="EN494" s="61"/>
      <c r="EO494" s="61"/>
      <c r="EP494" s="61"/>
      <c r="EQ494" s="61"/>
      <c r="ER494" s="61"/>
      <c r="ES494" s="61"/>
      <c r="ET494" s="61"/>
      <c r="EU494" s="61"/>
      <c r="EV494" s="61"/>
      <c r="EW494" s="61"/>
    </row>
    <row r="495" spans="1:153">
      <c r="A495" s="56">
        <v>41640</v>
      </c>
      <c r="B495" s="57">
        <v>2014</v>
      </c>
      <c r="C495" s="71">
        <v>9.3840000000000003</v>
      </c>
      <c r="D495" s="61">
        <v>0.128</v>
      </c>
      <c r="E495" s="61">
        <v>1727.1310000000001</v>
      </c>
      <c r="F495" s="61">
        <v>72.540000000000006</v>
      </c>
      <c r="G495" s="61">
        <v>9.2560000000000002</v>
      </c>
      <c r="H495" s="61">
        <v>222</v>
      </c>
      <c r="I495" s="61">
        <v>134.245</v>
      </c>
      <c r="J495" s="61">
        <v>87.754999999999995</v>
      </c>
      <c r="K495" s="61">
        <v>3708.31</v>
      </c>
      <c r="L495" s="61">
        <v>-101.399</v>
      </c>
      <c r="M495" s="61">
        <v>1916.2850000000001</v>
      </c>
      <c r="N495" s="61">
        <v>80.483999999999995</v>
      </c>
      <c r="O495" s="71">
        <v>10.269</v>
      </c>
      <c r="P495" s="60">
        <v>204.46299999999999</v>
      </c>
      <c r="Q495" s="61">
        <v>171.833</v>
      </c>
      <c r="R495" s="61">
        <v>421.21899999999999</v>
      </c>
      <c r="S495" s="61">
        <v>832.07100000000003</v>
      </c>
      <c r="T495" s="61">
        <v>205.71600000000001</v>
      </c>
      <c r="U495" s="61">
        <v>18.277999999999999</v>
      </c>
      <c r="V495" s="61">
        <v>16.541</v>
      </c>
      <c r="W495" s="61">
        <v>170.31800000000001</v>
      </c>
      <c r="X495" s="61">
        <v>204.46299999999999</v>
      </c>
      <c r="Y495" s="61">
        <v>44.923000000000002</v>
      </c>
      <c r="Z495" s="61">
        <v>164.852</v>
      </c>
      <c r="AA495" s="61">
        <v>414.238</v>
      </c>
      <c r="AB495" s="60">
        <v>825.09</v>
      </c>
      <c r="AC495" s="62">
        <v>245.922</v>
      </c>
      <c r="AD495" s="61">
        <v>10.329000000000001</v>
      </c>
      <c r="AE495" s="61">
        <v>1.351</v>
      </c>
      <c r="AF495" s="61">
        <v>267</v>
      </c>
      <c r="AG495" s="61">
        <v>670</v>
      </c>
      <c r="AH495" s="61">
        <v>-21</v>
      </c>
      <c r="AI495" s="61">
        <v>533.92200000000003</v>
      </c>
      <c r="AJ495" s="61">
        <v>22.425000000000001</v>
      </c>
      <c r="AK495" s="62">
        <v>2.9329999999999998</v>
      </c>
      <c r="AL495" s="63">
        <f t="shared" si="41"/>
        <v>22.425000000000001</v>
      </c>
      <c r="AM495" s="64">
        <v>2.9329999999999998</v>
      </c>
      <c r="AN495" s="65" t="s">
        <v>121</v>
      </c>
      <c r="AO495" s="61" t="s">
        <v>121</v>
      </c>
      <c r="AP495" s="61">
        <v>22.097999999999999</v>
      </c>
      <c r="AQ495" s="61">
        <v>0.92800000000000005</v>
      </c>
      <c r="AR495" s="61">
        <v>0.11799999999999999</v>
      </c>
      <c r="AS495" s="61" t="s">
        <v>122</v>
      </c>
      <c r="AT495" s="61">
        <v>10</v>
      </c>
      <c r="AU495" s="61">
        <v>5</v>
      </c>
      <c r="AV495" s="61">
        <v>17.097999999999999</v>
      </c>
      <c r="AW495" s="61">
        <v>0.71799999999999997</v>
      </c>
      <c r="AX495" s="65">
        <v>9.1999999999999998E-2</v>
      </c>
      <c r="AY495" s="66">
        <v>3.363</v>
      </c>
      <c r="AZ495" s="61">
        <v>5.9630000000000001</v>
      </c>
      <c r="BA495" s="61">
        <v>49.136000000000003</v>
      </c>
      <c r="BB495" s="61">
        <v>58.462000000000003</v>
      </c>
      <c r="BC495" s="61">
        <v>0.04</v>
      </c>
      <c r="BD495" s="61">
        <v>1.673</v>
      </c>
      <c r="BE495" s="61">
        <v>3.004</v>
      </c>
      <c r="BF495" s="61">
        <v>0.09</v>
      </c>
      <c r="BG495" s="61">
        <v>6.5389999999999997</v>
      </c>
      <c r="BH495" s="61">
        <v>4.4690000000000003</v>
      </c>
      <c r="BI495" s="61">
        <v>0.28799999999999998</v>
      </c>
      <c r="BJ495" s="61">
        <v>11.295999999999999</v>
      </c>
      <c r="BK495" s="66">
        <v>16.103999999999999</v>
      </c>
      <c r="BL495" s="67">
        <v>86.84</v>
      </c>
      <c r="BM495" s="61">
        <v>10.269</v>
      </c>
      <c r="BN495" s="61">
        <v>2.9329999999999998</v>
      </c>
      <c r="BO495" s="61">
        <v>9.1999999999999998E-2</v>
      </c>
      <c r="BP495" s="61">
        <v>100.13500000000001</v>
      </c>
      <c r="BQ495" s="61">
        <v>204.53899999999999</v>
      </c>
      <c r="BR495" s="61">
        <v>12.885</v>
      </c>
      <c r="BS495" s="61">
        <v>6.98</v>
      </c>
      <c r="BT495" s="61">
        <v>170.16</v>
      </c>
      <c r="BU495" s="61">
        <v>21.381</v>
      </c>
      <c r="BV495" s="61">
        <v>23.962</v>
      </c>
      <c r="BW495" s="61">
        <v>45.343000000000004</v>
      </c>
      <c r="BX495" s="67">
        <v>439.90699999999998</v>
      </c>
      <c r="BY495" s="68">
        <v>145244</v>
      </c>
      <c r="BZ495" s="68">
        <v>134540</v>
      </c>
      <c r="CA495" s="69">
        <v>8784</v>
      </c>
      <c r="CB495" s="68">
        <v>114668</v>
      </c>
      <c r="CC495" s="68">
        <v>33099</v>
      </c>
      <c r="CD495" s="68">
        <v>129743</v>
      </c>
      <c r="CE495" s="64"/>
      <c r="CF495" s="64"/>
      <c r="CG495" s="70">
        <f t="shared" si="37"/>
        <v>4816.0559999999996</v>
      </c>
      <c r="CH495" s="70">
        <f t="shared" si="38"/>
        <v>368.928</v>
      </c>
      <c r="CI495" s="70">
        <f t="shared" si="39"/>
        <v>1390.1579999999999</v>
      </c>
      <c r="CJ495" s="70">
        <f t="shared" si="40"/>
        <v>6100.2479999999996</v>
      </c>
      <c r="CK495" s="70">
        <f t="shared" si="40"/>
        <v>5650.68</v>
      </c>
      <c r="CL495" s="70">
        <f t="shared" si="36"/>
        <v>5449.2060000000001</v>
      </c>
      <c r="CM495" s="61"/>
      <c r="CN495" s="61"/>
      <c r="CO495" s="61"/>
      <c r="CP495" s="61"/>
      <c r="CQ495" s="61"/>
      <c r="CR495" s="61"/>
      <c r="CS495" s="61"/>
      <c r="CT495" s="61"/>
      <c r="CU495" s="61"/>
      <c r="CV495" s="61"/>
      <c r="CW495" s="61"/>
      <c r="CX495" s="61"/>
      <c r="CY495" s="61"/>
      <c r="CZ495" s="61"/>
      <c r="DA495" s="61"/>
      <c r="DB495" s="61"/>
      <c r="DC495" s="61"/>
      <c r="DD495" s="61"/>
      <c r="DE495" s="61"/>
      <c r="DF495" s="61"/>
      <c r="DG495" s="61"/>
      <c r="DH495" s="61"/>
      <c r="DI495" s="61"/>
      <c r="DJ495" s="61"/>
      <c r="DK495" s="61"/>
      <c r="DL495" s="61"/>
      <c r="DM495" s="61"/>
      <c r="DN495" s="61"/>
      <c r="DO495" s="61"/>
      <c r="DP495" s="61"/>
      <c r="DQ495" s="61"/>
      <c r="DR495" s="61"/>
      <c r="DS495" s="61"/>
      <c r="DT495" s="61"/>
      <c r="DU495" s="61"/>
      <c r="DV495" s="61"/>
      <c r="DW495" s="61"/>
      <c r="DX495" s="61"/>
      <c r="DY495" s="61"/>
      <c r="DZ495" s="61"/>
      <c r="EA495" s="61"/>
      <c r="EB495" s="61"/>
      <c r="EC495" s="61"/>
      <c r="ED495" s="61"/>
      <c r="EE495" s="61"/>
      <c r="EF495" s="61"/>
      <c r="EG495" s="61"/>
      <c r="EH495" s="61"/>
      <c r="EI495" s="61"/>
      <c r="EJ495" s="61"/>
      <c r="EK495" s="61"/>
      <c r="EL495" s="61"/>
      <c r="EM495" s="61"/>
      <c r="EN495" s="61"/>
      <c r="EO495" s="61"/>
      <c r="EP495" s="61"/>
      <c r="EQ495" s="61"/>
      <c r="ER495" s="61"/>
      <c r="ES495" s="61"/>
      <c r="ET495" s="61"/>
      <c r="EU495" s="61"/>
      <c r="EV495" s="61"/>
      <c r="EW495" s="61"/>
    </row>
    <row r="496" spans="1:153">
      <c r="A496" s="56">
        <v>41671</v>
      </c>
      <c r="B496" s="57">
        <v>2014</v>
      </c>
      <c r="C496" s="71">
        <v>9.7850000000000001</v>
      </c>
      <c r="D496" s="61">
        <v>0.13300000000000001</v>
      </c>
      <c r="E496" s="61">
        <v>1801.0219999999999</v>
      </c>
      <c r="F496" s="61">
        <v>75.643000000000001</v>
      </c>
      <c r="G496" s="61">
        <v>9.6519999999999992</v>
      </c>
      <c r="H496" s="61">
        <v>161</v>
      </c>
      <c r="I496" s="61">
        <v>140.684</v>
      </c>
      <c r="J496" s="61">
        <v>20.315999999999999</v>
      </c>
      <c r="K496" s="61">
        <v>3726.4670000000001</v>
      </c>
      <c r="L496" s="61">
        <v>18.158000000000001</v>
      </c>
      <c r="M496" s="61">
        <v>1803.18</v>
      </c>
      <c r="N496" s="61">
        <v>75.733999999999995</v>
      </c>
      <c r="O496" s="71">
        <v>9.6630000000000003</v>
      </c>
      <c r="P496" s="60">
        <v>185.762</v>
      </c>
      <c r="Q496" s="61">
        <v>155.798</v>
      </c>
      <c r="R496" s="61">
        <v>382.387</v>
      </c>
      <c r="S496" s="61">
        <v>715.29300000000001</v>
      </c>
      <c r="T496" s="61">
        <v>165.42</v>
      </c>
      <c r="U496" s="61">
        <v>16.34</v>
      </c>
      <c r="V496" s="61">
        <v>17.937999999999999</v>
      </c>
      <c r="W496" s="61">
        <v>133.208</v>
      </c>
      <c r="X496" s="61">
        <v>185.762</v>
      </c>
      <c r="Y496" s="61">
        <v>40.826999999999998</v>
      </c>
      <c r="Z496" s="61">
        <v>152.65899999999999</v>
      </c>
      <c r="AA496" s="61">
        <v>379.24799999999999</v>
      </c>
      <c r="AB496" s="60">
        <v>712.154</v>
      </c>
      <c r="AC496" s="62">
        <v>292.69600000000003</v>
      </c>
      <c r="AD496" s="61">
        <v>12.292999999999999</v>
      </c>
      <c r="AE496" s="61">
        <v>1.6080000000000001</v>
      </c>
      <c r="AF496" s="61">
        <v>133</v>
      </c>
      <c r="AG496" s="61">
        <v>627</v>
      </c>
      <c r="AH496" s="61">
        <v>-43</v>
      </c>
      <c r="AI496" s="61">
        <v>468.69600000000003</v>
      </c>
      <c r="AJ496" s="61">
        <v>19.684999999999999</v>
      </c>
      <c r="AK496" s="62">
        <v>2.5750000000000002</v>
      </c>
      <c r="AL496" s="63">
        <f t="shared" si="41"/>
        <v>19.684999999999999</v>
      </c>
      <c r="AM496" s="64">
        <v>2.5750000000000002</v>
      </c>
      <c r="AN496" s="65" t="s">
        <v>121</v>
      </c>
      <c r="AO496" s="61" t="s">
        <v>121</v>
      </c>
      <c r="AP496" s="61">
        <v>21.181999999999999</v>
      </c>
      <c r="AQ496" s="61">
        <v>0.89</v>
      </c>
      <c r="AR496" s="61">
        <v>0.114</v>
      </c>
      <c r="AS496" s="61" t="s">
        <v>122</v>
      </c>
      <c r="AT496" s="61">
        <v>11</v>
      </c>
      <c r="AU496" s="61">
        <v>1</v>
      </c>
      <c r="AV496" s="61">
        <v>20.181999999999999</v>
      </c>
      <c r="AW496" s="61">
        <v>0.84799999999999998</v>
      </c>
      <c r="AX496" s="65">
        <v>0.108</v>
      </c>
      <c r="AY496" s="66">
        <v>3.0379999999999998</v>
      </c>
      <c r="AZ496" s="61">
        <v>6.319</v>
      </c>
      <c r="BA496" s="61">
        <v>44.381</v>
      </c>
      <c r="BB496" s="61">
        <v>53.737000000000002</v>
      </c>
      <c r="BC496" s="61">
        <v>3.3000000000000002E-2</v>
      </c>
      <c r="BD496" s="61">
        <v>1.5109999999999999</v>
      </c>
      <c r="BE496" s="61">
        <v>3.25</v>
      </c>
      <c r="BF496" s="61">
        <v>7.1999999999999995E-2</v>
      </c>
      <c r="BG496" s="61">
        <v>5.8849999999999998</v>
      </c>
      <c r="BH496" s="61">
        <v>3.4569999999999999</v>
      </c>
      <c r="BI496" s="61">
        <v>0.27300000000000002</v>
      </c>
      <c r="BJ496" s="61">
        <v>9.6150000000000002</v>
      </c>
      <c r="BK496" s="66">
        <v>14.481999999999999</v>
      </c>
      <c r="BL496" s="67">
        <v>82.213999999999999</v>
      </c>
      <c r="BM496" s="61">
        <v>9.6630000000000003</v>
      </c>
      <c r="BN496" s="61">
        <v>2.5750000000000002</v>
      </c>
      <c r="BO496" s="61">
        <v>0.108</v>
      </c>
      <c r="BP496" s="61">
        <v>94.561000000000007</v>
      </c>
      <c r="BQ496" s="61">
        <v>164.40100000000001</v>
      </c>
      <c r="BR496" s="61">
        <v>11.468999999999999</v>
      </c>
      <c r="BS496" s="61">
        <v>7.7389999999999999</v>
      </c>
      <c r="BT496" s="61">
        <v>133.09299999999999</v>
      </c>
      <c r="BU496" s="61">
        <v>19.968</v>
      </c>
      <c r="BV496" s="61">
        <v>22.166</v>
      </c>
      <c r="BW496" s="61">
        <v>42.134</v>
      </c>
      <c r="BX496" s="67">
        <v>358.83600000000001</v>
      </c>
      <c r="BY496" s="68">
        <v>128645</v>
      </c>
      <c r="BZ496" s="68">
        <v>116487</v>
      </c>
      <c r="CA496" s="69">
        <v>9433</v>
      </c>
      <c r="CB496" s="68">
        <v>113103</v>
      </c>
      <c r="CC496" s="68">
        <v>23870</v>
      </c>
      <c r="CD496" s="68">
        <v>115550</v>
      </c>
      <c r="CE496" s="64"/>
      <c r="CF496" s="64"/>
      <c r="CG496" s="70">
        <f t="shared" si="37"/>
        <v>4750.326</v>
      </c>
      <c r="CH496" s="70">
        <f t="shared" si="38"/>
        <v>396.18599999999998</v>
      </c>
      <c r="CI496" s="70">
        <f t="shared" si="39"/>
        <v>1002.54</v>
      </c>
      <c r="CJ496" s="70">
        <f t="shared" si="40"/>
        <v>5403.09</v>
      </c>
      <c r="CK496" s="70">
        <f t="shared" si="40"/>
        <v>4892.4539999999997</v>
      </c>
      <c r="CL496" s="70">
        <f t="shared" si="36"/>
        <v>4853.1000000000004</v>
      </c>
      <c r="CM496" s="61"/>
      <c r="CN496" s="61"/>
      <c r="CO496" s="61"/>
      <c r="CP496" s="61"/>
      <c r="CQ496" s="61"/>
      <c r="CR496" s="61"/>
      <c r="CS496" s="61"/>
      <c r="CT496" s="61"/>
      <c r="CU496" s="61"/>
      <c r="CV496" s="61"/>
      <c r="CW496" s="61"/>
      <c r="CX496" s="61"/>
      <c r="CY496" s="61"/>
      <c r="CZ496" s="61"/>
      <c r="DA496" s="61"/>
      <c r="DB496" s="61"/>
      <c r="DC496" s="61"/>
      <c r="DD496" s="61"/>
      <c r="DE496" s="61"/>
      <c r="DF496" s="61"/>
      <c r="DG496" s="61"/>
      <c r="DH496" s="61"/>
      <c r="DI496" s="61"/>
      <c r="DJ496" s="61"/>
      <c r="DK496" s="61"/>
      <c r="DL496" s="61"/>
      <c r="DM496" s="61"/>
      <c r="DN496" s="61"/>
      <c r="DO496" s="61"/>
      <c r="DP496" s="61"/>
      <c r="DQ496" s="61"/>
      <c r="DR496" s="61"/>
      <c r="DS496" s="61"/>
      <c r="DT496" s="61"/>
      <c r="DU496" s="61"/>
      <c r="DV496" s="61"/>
      <c r="DW496" s="61"/>
      <c r="DX496" s="61"/>
      <c r="DY496" s="61"/>
      <c r="DZ496" s="61"/>
      <c r="EA496" s="61"/>
      <c r="EB496" s="61"/>
      <c r="EC496" s="61"/>
      <c r="ED496" s="61"/>
      <c r="EE496" s="61"/>
      <c r="EF496" s="61"/>
      <c r="EG496" s="61"/>
      <c r="EH496" s="61"/>
      <c r="EI496" s="61"/>
      <c r="EJ496" s="61"/>
      <c r="EK496" s="61"/>
      <c r="EL496" s="61"/>
      <c r="EM496" s="61"/>
      <c r="EN496" s="61"/>
      <c r="EO496" s="61"/>
      <c r="EP496" s="61"/>
      <c r="EQ496" s="61"/>
      <c r="ER496" s="61"/>
      <c r="ES496" s="61"/>
      <c r="ET496" s="61"/>
      <c r="EU496" s="61"/>
      <c r="EV496" s="61"/>
      <c r="EW496" s="61"/>
    </row>
    <row r="497" spans="1:153">
      <c r="A497" s="56">
        <v>41699</v>
      </c>
      <c r="B497" s="57">
        <v>2014</v>
      </c>
      <c r="C497" s="71">
        <v>12.829000000000001</v>
      </c>
      <c r="D497" s="61">
        <v>0.17499999999999999</v>
      </c>
      <c r="E497" s="61">
        <v>2361.3710000000001</v>
      </c>
      <c r="F497" s="61">
        <v>99.177999999999997</v>
      </c>
      <c r="G497" s="61">
        <v>12.654999999999999</v>
      </c>
      <c r="H497" s="61">
        <v>240</v>
      </c>
      <c r="I497" s="61">
        <v>91.408000000000001</v>
      </c>
      <c r="J497" s="61">
        <v>148.59200000000001</v>
      </c>
      <c r="K497" s="61">
        <v>3604.1880000000001</v>
      </c>
      <c r="L497" s="61">
        <v>-122.28</v>
      </c>
      <c r="M497" s="61">
        <v>2632.2429999999999</v>
      </c>
      <c r="N497" s="61">
        <v>110.554</v>
      </c>
      <c r="O497" s="71">
        <v>14.106</v>
      </c>
      <c r="P497" s="60">
        <v>203.755</v>
      </c>
      <c r="Q497" s="61">
        <v>175.54400000000001</v>
      </c>
      <c r="R497" s="61">
        <v>423.83100000000002</v>
      </c>
      <c r="S497" s="61">
        <v>867.44</v>
      </c>
      <c r="T497" s="61">
        <v>230.661</v>
      </c>
      <c r="U497" s="61">
        <v>18.113</v>
      </c>
      <c r="V497" s="61">
        <v>26.184999999999999</v>
      </c>
      <c r="W497" s="61">
        <v>168.65100000000001</v>
      </c>
      <c r="X497" s="61">
        <v>203.755</v>
      </c>
      <c r="Y497" s="61">
        <v>44.531999999999996</v>
      </c>
      <c r="Z497" s="61">
        <v>170.20500000000001</v>
      </c>
      <c r="AA497" s="61">
        <v>418.49200000000002</v>
      </c>
      <c r="AB497" s="60">
        <v>862.101</v>
      </c>
      <c r="AC497" s="62">
        <v>356.03199999999998</v>
      </c>
      <c r="AD497" s="61">
        <v>14.952999999999999</v>
      </c>
      <c r="AE497" s="61">
        <v>1.956</v>
      </c>
      <c r="AF497" s="61">
        <v>267</v>
      </c>
      <c r="AG497" s="61">
        <v>599</v>
      </c>
      <c r="AH497" s="61">
        <v>-28</v>
      </c>
      <c r="AI497" s="61">
        <v>651.03200000000004</v>
      </c>
      <c r="AJ497" s="61">
        <v>27.343</v>
      </c>
      <c r="AK497" s="62">
        <v>3.577</v>
      </c>
      <c r="AL497" s="63">
        <f t="shared" si="41"/>
        <v>27.343</v>
      </c>
      <c r="AM497" s="64">
        <v>3.577</v>
      </c>
      <c r="AN497" s="65" t="s">
        <v>121</v>
      </c>
      <c r="AO497" s="61" t="s">
        <v>121</v>
      </c>
      <c r="AP497" s="61">
        <v>23.977</v>
      </c>
      <c r="AQ497" s="61">
        <v>1.0069999999999999</v>
      </c>
      <c r="AR497" s="61">
        <v>0.128</v>
      </c>
      <c r="AS497" s="61" t="s">
        <v>122</v>
      </c>
      <c r="AT497" s="61">
        <v>7</v>
      </c>
      <c r="AU497" s="61">
        <v>-4</v>
      </c>
      <c r="AV497" s="61">
        <v>27.977</v>
      </c>
      <c r="AW497" s="61">
        <v>1.175</v>
      </c>
      <c r="AX497" s="65">
        <v>0.15</v>
      </c>
      <c r="AY497" s="66">
        <v>3.363</v>
      </c>
      <c r="AZ497" s="61">
        <v>8.6720000000000006</v>
      </c>
      <c r="BA497" s="61">
        <v>49.136000000000003</v>
      </c>
      <c r="BB497" s="61">
        <v>61.170999999999999</v>
      </c>
      <c r="BC497" s="61">
        <v>3.6999999999999998E-2</v>
      </c>
      <c r="BD497" s="61">
        <v>1.673</v>
      </c>
      <c r="BE497" s="61">
        <v>4.3849999999999998</v>
      </c>
      <c r="BF497" s="61">
        <v>0.08</v>
      </c>
      <c r="BG497" s="61">
        <v>6.5069999999999997</v>
      </c>
      <c r="BH497" s="61">
        <v>3.8010000000000002</v>
      </c>
      <c r="BI497" s="61">
        <v>0.29099999999999998</v>
      </c>
      <c r="BJ497" s="61">
        <v>10.599</v>
      </c>
      <c r="BK497" s="66">
        <v>16.774999999999999</v>
      </c>
      <c r="BL497" s="67">
        <v>87.730999999999995</v>
      </c>
      <c r="BM497" s="61">
        <v>14.106</v>
      </c>
      <c r="BN497" s="61">
        <v>3.577</v>
      </c>
      <c r="BO497" s="61">
        <v>0.15</v>
      </c>
      <c r="BP497" s="61">
        <v>105.56399999999999</v>
      </c>
      <c r="BQ497" s="61">
        <v>229.536</v>
      </c>
      <c r="BR497" s="61">
        <v>12.72</v>
      </c>
      <c r="BS497" s="61">
        <v>12.233000000000001</v>
      </c>
      <c r="BT497" s="61">
        <v>168.51900000000001</v>
      </c>
      <c r="BU497" s="61">
        <v>22.135999999999999</v>
      </c>
      <c r="BV497" s="61">
        <v>24.082999999999998</v>
      </c>
      <c r="BW497" s="61">
        <v>46.218000000000004</v>
      </c>
      <c r="BX497" s="67">
        <v>469.226</v>
      </c>
      <c r="BY497" s="68">
        <v>148170</v>
      </c>
      <c r="BZ497" s="68">
        <v>126051</v>
      </c>
      <c r="CA497" s="69">
        <v>10054</v>
      </c>
      <c r="CB497" s="68">
        <v>115227</v>
      </c>
      <c r="CC497" s="68">
        <v>31432</v>
      </c>
      <c r="CD497" s="68">
        <v>135178</v>
      </c>
      <c r="CE497" s="64"/>
      <c r="CF497" s="64"/>
      <c r="CG497" s="70">
        <f t="shared" si="37"/>
        <v>4839.5339999999997</v>
      </c>
      <c r="CH497" s="70">
        <f t="shared" si="38"/>
        <v>422.26799999999997</v>
      </c>
      <c r="CI497" s="70">
        <f t="shared" si="39"/>
        <v>1320.144</v>
      </c>
      <c r="CJ497" s="70">
        <f t="shared" si="40"/>
        <v>6223.14</v>
      </c>
      <c r="CK497" s="70">
        <f t="shared" si="40"/>
        <v>5294.1419999999998</v>
      </c>
      <c r="CL497" s="70">
        <f t="shared" si="36"/>
        <v>5677.4759999999997</v>
      </c>
      <c r="CM497" s="61"/>
      <c r="CN497" s="61"/>
      <c r="CO497" s="61"/>
      <c r="CP497" s="61"/>
      <c r="CQ497" s="61"/>
      <c r="CR497" s="61"/>
      <c r="CS497" s="61"/>
      <c r="CT497" s="61"/>
      <c r="CU497" s="61"/>
      <c r="CV497" s="61"/>
      <c r="CW497" s="61"/>
      <c r="CX497" s="61"/>
      <c r="CY497" s="61"/>
      <c r="CZ497" s="61"/>
      <c r="DA497" s="61"/>
      <c r="DB497" s="61"/>
      <c r="DC497" s="61"/>
      <c r="DD497" s="61"/>
      <c r="DE497" s="61"/>
      <c r="DF497" s="61"/>
      <c r="DG497" s="61"/>
      <c r="DH497" s="61"/>
      <c r="DI497" s="61"/>
      <c r="DJ497" s="61"/>
      <c r="DK497" s="61"/>
      <c r="DL497" s="61"/>
      <c r="DM497" s="61"/>
      <c r="DN497" s="61"/>
      <c r="DO497" s="61"/>
      <c r="DP497" s="61"/>
      <c r="DQ497" s="61"/>
      <c r="DR497" s="61"/>
      <c r="DS497" s="61"/>
      <c r="DT497" s="61"/>
      <c r="DU497" s="61"/>
      <c r="DV497" s="61"/>
      <c r="DW497" s="61"/>
      <c r="DX497" s="61"/>
      <c r="DY497" s="61"/>
      <c r="DZ497" s="61"/>
      <c r="EA497" s="61"/>
      <c r="EB497" s="61"/>
      <c r="EC497" s="61"/>
      <c r="ED497" s="61"/>
      <c r="EE497" s="61"/>
      <c r="EF497" s="61"/>
      <c r="EG497" s="61"/>
      <c r="EH497" s="61"/>
      <c r="EI497" s="61"/>
      <c r="EJ497" s="61"/>
      <c r="EK497" s="61"/>
      <c r="EL497" s="61"/>
      <c r="EM497" s="61"/>
      <c r="EN497" s="61"/>
      <c r="EO497" s="61"/>
      <c r="EP497" s="61"/>
      <c r="EQ497" s="61"/>
      <c r="ER497" s="61"/>
      <c r="ES497" s="61"/>
      <c r="ET497" s="61"/>
      <c r="EU497" s="61"/>
      <c r="EV497" s="61"/>
      <c r="EW497" s="61"/>
    </row>
    <row r="498" spans="1:153">
      <c r="A498" s="56">
        <v>41730</v>
      </c>
      <c r="B498" s="57">
        <v>2014</v>
      </c>
      <c r="C498" s="71">
        <v>12.076000000000001</v>
      </c>
      <c r="D498" s="61">
        <v>0.16400000000000001</v>
      </c>
      <c r="E498" s="61">
        <v>2222.6779999999999</v>
      </c>
      <c r="F498" s="61">
        <v>93.352000000000004</v>
      </c>
      <c r="G498" s="61">
        <v>11.911</v>
      </c>
      <c r="H498" s="61">
        <v>135</v>
      </c>
      <c r="I498" s="61">
        <v>261.08</v>
      </c>
      <c r="J498" s="61">
        <v>-126.08</v>
      </c>
      <c r="K498" s="61">
        <v>3401.8629999999998</v>
      </c>
      <c r="L498" s="61">
        <v>-202.32599999999999</v>
      </c>
      <c r="M498" s="61">
        <v>2298.924</v>
      </c>
      <c r="N498" s="61">
        <v>96.555000000000007</v>
      </c>
      <c r="O498" s="71">
        <v>12.32</v>
      </c>
      <c r="P498" s="60">
        <v>192.91</v>
      </c>
      <c r="Q498" s="61">
        <v>172.31399999999999</v>
      </c>
      <c r="R498" s="61">
        <v>409.12299999999999</v>
      </c>
      <c r="S498" s="61">
        <v>874.97299999999996</v>
      </c>
      <c r="T498" s="61">
        <v>241.90799999999999</v>
      </c>
      <c r="U498" s="61">
        <v>17.71</v>
      </c>
      <c r="V498" s="61">
        <v>29.027000000000001</v>
      </c>
      <c r="W498" s="61">
        <v>177.20500000000001</v>
      </c>
      <c r="X498" s="61">
        <v>192.91</v>
      </c>
      <c r="Y498" s="61">
        <v>43.899000000000001</v>
      </c>
      <c r="Z498" s="61">
        <v>170.10400000000001</v>
      </c>
      <c r="AA498" s="61">
        <v>406.91300000000001</v>
      </c>
      <c r="AB498" s="60">
        <v>872.76400000000001</v>
      </c>
      <c r="AC498" s="62">
        <v>325.62700000000001</v>
      </c>
      <c r="AD498" s="61">
        <v>13.676</v>
      </c>
      <c r="AE498" s="61">
        <v>1.7889999999999999</v>
      </c>
      <c r="AF498" s="61">
        <v>247</v>
      </c>
      <c r="AG498" s="61">
        <v>374</v>
      </c>
      <c r="AH498" s="61">
        <v>-225</v>
      </c>
      <c r="AI498" s="61">
        <v>797.62699999999995</v>
      </c>
      <c r="AJ498" s="61">
        <v>33.5</v>
      </c>
      <c r="AK498" s="62">
        <v>4.3819999999999997</v>
      </c>
      <c r="AL498" s="63">
        <f t="shared" si="41"/>
        <v>33.5</v>
      </c>
      <c r="AM498" s="64">
        <v>4.3819999999999997</v>
      </c>
      <c r="AN498" s="65" t="s">
        <v>121</v>
      </c>
      <c r="AO498" s="61" t="s">
        <v>121</v>
      </c>
      <c r="AP498" s="61">
        <v>21.231000000000002</v>
      </c>
      <c r="AQ498" s="61">
        <v>0.89200000000000002</v>
      </c>
      <c r="AR498" s="61">
        <v>0.114</v>
      </c>
      <c r="AS498" s="61" t="s">
        <v>122</v>
      </c>
      <c r="AT498" s="61">
        <v>7</v>
      </c>
      <c r="AU498" s="61">
        <v>0</v>
      </c>
      <c r="AV498" s="61">
        <v>21.231000000000002</v>
      </c>
      <c r="AW498" s="61">
        <v>0.89200000000000002</v>
      </c>
      <c r="AX498" s="65">
        <v>0.114</v>
      </c>
      <c r="AY498" s="66">
        <v>3.2549999999999999</v>
      </c>
      <c r="AZ498" s="61">
        <v>9.4870000000000001</v>
      </c>
      <c r="BA498" s="61">
        <v>47.551000000000002</v>
      </c>
      <c r="BB498" s="61">
        <v>60.292999999999999</v>
      </c>
      <c r="BC498" s="61">
        <v>3.6999999999999998E-2</v>
      </c>
      <c r="BD498" s="61">
        <v>1.619</v>
      </c>
      <c r="BE498" s="61">
        <v>4.7480000000000002</v>
      </c>
      <c r="BF498" s="61">
        <v>7.9000000000000001E-2</v>
      </c>
      <c r="BG498" s="61">
        <v>6.1719999999999997</v>
      </c>
      <c r="BH498" s="61">
        <v>3.7559999999999998</v>
      </c>
      <c r="BI498" s="61">
        <v>0.29699999999999999</v>
      </c>
      <c r="BJ498" s="61">
        <v>10.225</v>
      </c>
      <c r="BK498" s="66">
        <v>16.707999999999998</v>
      </c>
      <c r="BL498" s="67">
        <v>89.528000000000006</v>
      </c>
      <c r="BM498" s="61">
        <v>12.32</v>
      </c>
      <c r="BN498" s="61">
        <v>4.3819999999999997</v>
      </c>
      <c r="BO498" s="61">
        <v>0.114</v>
      </c>
      <c r="BP498" s="61">
        <v>106.34399999999999</v>
      </c>
      <c r="BQ498" s="61">
        <v>240.66800000000001</v>
      </c>
      <c r="BR498" s="61">
        <v>12.49</v>
      </c>
      <c r="BS498" s="61">
        <v>13.816000000000001</v>
      </c>
      <c r="BT498" s="61">
        <v>177.06899999999999</v>
      </c>
      <c r="BU498" s="61">
        <v>18.100000000000001</v>
      </c>
      <c r="BV498" s="61">
        <v>23.140999999999998</v>
      </c>
      <c r="BW498" s="61">
        <v>41.241</v>
      </c>
      <c r="BX498" s="67">
        <v>485.28399999999999</v>
      </c>
      <c r="BY498" s="68">
        <v>149637</v>
      </c>
      <c r="BZ498" s="68">
        <v>119695</v>
      </c>
      <c r="CA498" s="69">
        <v>5420</v>
      </c>
      <c r="CB498" s="68">
        <v>116692</v>
      </c>
      <c r="CC498" s="68">
        <v>34850</v>
      </c>
      <c r="CD498" s="68">
        <v>138586</v>
      </c>
      <c r="CE498" s="64"/>
      <c r="CF498" s="64"/>
      <c r="CG498" s="70">
        <f t="shared" si="37"/>
        <v>4901.0640000000003</v>
      </c>
      <c r="CH498" s="70">
        <f t="shared" si="38"/>
        <v>227.64</v>
      </c>
      <c r="CI498" s="70">
        <f t="shared" si="39"/>
        <v>1463.7</v>
      </c>
      <c r="CJ498" s="70">
        <f t="shared" si="40"/>
        <v>6284.7539999999999</v>
      </c>
      <c r="CK498" s="70">
        <f t="shared" si="40"/>
        <v>5027.1899999999996</v>
      </c>
      <c r="CL498" s="70">
        <f t="shared" si="36"/>
        <v>5820.6120000000001</v>
      </c>
      <c r="CM498" s="61"/>
      <c r="CN498" s="61"/>
      <c r="CO498" s="61"/>
      <c r="CP498" s="61"/>
      <c r="CQ498" s="61"/>
      <c r="CR498" s="61"/>
      <c r="CS498" s="61"/>
      <c r="CT498" s="61"/>
      <c r="CU498" s="61"/>
      <c r="CV498" s="61"/>
      <c r="CW498" s="61"/>
      <c r="CX498" s="61"/>
      <c r="CY498" s="61"/>
      <c r="CZ498" s="61"/>
      <c r="DA498" s="61"/>
      <c r="DB498" s="61"/>
      <c r="DC498" s="61"/>
      <c r="DD498" s="61"/>
      <c r="DE498" s="61"/>
      <c r="DF498" s="61"/>
      <c r="DG498" s="61"/>
      <c r="DH498" s="61"/>
      <c r="DI498" s="61"/>
      <c r="DJ498" s="61"/>
      <c r="DK498" s="61"/>
      <c r="DL498" s="61"/>
      <c r="DM498" s="61"/>
      <c r="DN498" s="61"/>
      <c r="DO498" s="61"/>
      <c r="DP498" s="61"/>
      <c r="DQ498" s="61"/>
      <c r="DR498" s="61"/>
      <c r="DS498" s="61"/>
      <c r="DT498" s="61"/>
      <c r="DU498" s="61"/>
      <c r="DV498" s="61"/>
      <c r="DW498" s="61"/>
      <c r="DX498" s="61"/>
      <c r="DY498" s="61"/>
      <c r="DZ498" s="61"/>
      <c r="EA498" s="61"/>
      <c r="EB498" s="61"/>
      <c r="EC498" s="61"/>
      <c r="ED498" s="61"/>
      <c r="EE498" s="61"/>
      <c r="EF498" s="61"/>
      <c r="EG498" s="61"/>
      <c r="EH498" s="61"/>
      <c r="EI498" s="61"/>
      <c r="EJ498" s="61"/>
      <c r="EK498" s="61"/>
      <c r="EL498" s="61"/>
      <c r="EM498" s="61"/>
      <c r="EN498" s="61"/>
      <c r="EO498" s="61"/>
      <c r="EP498" s="61"/>
      <c r="EQ498" s="61"/>
      <c r="ER498" s="61"/>
      <c r="ES498" s="61"/>
      <c r="ET498" s="61"/>
      <c r="EU498" s="61"/>
      <c r="EV498" s="61"/>
      <c r="EW498" s="61"/>
    </row>
    <row r="499" spans="1:153">
      <c r="A499" s="56">
        <v>41760</v>
      </c>
      <c r="B499" s="57">
        <v>2014</v>
      </c>
      <c r="C499" s="71">
        <v>13.752000000000001</v>
      </c>
      <c r="D499" s="61">
        <v>0.187</v>
      </c>
      <c r="E499" s="61">
        <v>2531.2800000000002</v>
      </c>
      <c r="F499" s="61">
        <v>106.31399999999999</v>
      </c>
      <c r="G499" s="61">
        <v>13.565</v>
      </c>
      <c r="H499" s="61">
        <v>133</v>
      </c>
      <c r="I499" s="61">
        <v>207.56399999999999</v>
      </c>
      <c r="J499" s="61">
        <v>-74.563999999999993</v>
      </c>
      <c r="K499" s="61">
        <v>3134.9140000000002</v>
      </c>
      <c r="L499" s="61">
        <v>-266.94900000000001</v>
      </c>
      <c r="M499" s="61">
        <v>2723.665</v>
      </c>
      <c r="N499" s="61">
        <v>114.39400000000001</v>
      </c>
      <c r="O499" s="71">
        <v>14.596</v>
      </c>
      <c r="P499" s="60">
        <v>196.178</v>
      </c>
      <c r="Q499" s="61">
        <v>180.97499999999999</v>
      </c>
      <c r="R499" s="61">
        <v>420.28</v>
      </c>
      <c r="S499" s="61">
        <v>872.18600000000004</v>
      </c>
      <c r="T499" s="61">
        <v>252.40600000000001</v>
      </c>
      <c r="U499" s="61">
        <v>18.062999999999999</v>
      </c>
      <c r="V499" s="61">
        <v>33.084000000000003</v>
      </c>
      <c r="W499" s="61">
        <v>148.35300000000001</v>
      </c>
      <c r="X499" s="61">
        <v>196.178</v>
      </c>
      <c r="Y499" s="61">
        <v>43.127000000000002</v>
      </c>
      <c r="Z499" s="61">
        <v>179.197</v>
      </c>
      <c r="AA499" s="61">
        <v>418.50200000000001</v>
      </c>
      <c r="AB499" s="60">
        <v>870.40800000000002</v>
      </c>
      <c r="AC499" s="62">
        <v>386.16300000000001</v>
      </c>
      <c r="AD499" s="61">
        <v>16.219000000000001</v>
      </c>
      <c r="AE499" s="61">
        <v>2.1219999999999999</v>
      </c>
      <c r="AF499" s="61">
        <v>409</v>
      </c>
      <c r="AG499" s="61">
        <v>392</v>
      </c>
      <c r="AH499" s="61">
        <v>18</v>
      </c>
      <c r="AI499" s="61">
        <v>777.16300000000001</v>
      </c>
      <c r="AJ499" s="61">
        <v>32.640999999999998</v>
      </c>
      <c r="AK499" s="62">
        <v>4.2699999999999996</v>
      </c>
      <c r="AL499" s="63">
        <f t="shared" si="41"/>
        <v>32.640999999999998</v>
      </c>
      <c r="AM499" s="64">
        <v>4.2699999999999996</v>
      </c>
      <c r="AN499" s="65" t="s">
        <v>121</v>
      </c>
      <c r="AO499" s="61" t="s">
        <v>121</v>
      </c>
      <c r="AP499" s="61">
        <v>22.318000000000001</v>
      </c>
      <c r="AQ499" s="61">
        <v>0.93700000000000006</v>
      </c>
      <c r="AR499" s="61">
        <v>0.12</v>
      </c>
      <c r="AS499" s="61" t="s">
        <v>122</v>
      </c>
      <c r="AT499" s="61">
        <v>10</v>
      </c>
      <c r="AU499" s="61">
        <v>3</v>
      </c>
      <c r="AV499" s="61">
        <v>19.318000000000001</v>
      </c>
      <c r="AW499" s="61">
        <v>0.81100000000000005</v>
      </c>
      <c r="AX499" s="65">
        <v>0.104</v>
      </c>
      <c r="AY499" s="66">
        <v>3.363</v>
      </c>
      <c r="AZ499" s="61">
        <v>10.515000000000001</v>
      </c>
      <c r="BA499" s="61">
        <v>49.136000000000003</v>
      </c>
      <c r="BB499" s="61">
        <v>63.014000000000003</v>
      </c>
      <c r="BC499" s="61">
        <v>3.7999999999999999E-2</v>
      </c>
      <c r="BD499" s="61">
        <v>1.673</v>
      </c>
      <c r="BE499" s="61">
        <v>5.2320000000000002</v>
      </c>
      <c r="BF499" s="61">
        <v>6.0999999999999999E-2</v>
      </c>
      <c r="BG499" s="61">
        <v>6.4829999999999997</v>
      </c>
      <c r="BH499" s="61">
        <v>3.9649999999999999</v>
      </c>
      <c r="BI499" s="61">
        <v>0.311</v>
      </c>
      <c r="BJ499" s="61">
        <v>10.76</v>
      </c>
      <c r="BK499" s="66">
        <v>17.763999999999999</v>
      </c>
      <c r="BL499" s="67">
        <v>93.766999999999996</v>
      </c>
      <c r="BM499" s="61">
        <v>14.596</v>
      </c>
      <c r="BN499" s="61">
        <v>4.2699999999999996</v>
      </c>
      <c r="BO499" s="61">
        <v>0.104</v>
      </c>
      <c r="BP499" s="61">
        <v>112.73699999999999</v>
      </c>
      <c r="BQ499" s="61">
        <v>251.136</v>
      </c>
      <c r="BR499" s="61">
        <v>12.669</v>
      </c>
      <c r="BS499" s="61">
        <v>16.262</v>
      </c>
      <c r="BT499" s="61">
        <v>148.251</v>
      </c>
      <c r="BU499" s="61">
        <v>17.285</v>
      </c>
      <c r="BV499" s="61">
        <v>23.791</v>
      </c>
      <c r="BW499" s="61">
        <v>41.076999999999998</v>
      </c>
      <c r="BX499" s="67">
        <v>469.39499999999998</v>
      </c>
      <c r="BY499" s="68">
        <v>155810</v>
      </c>
      <c r="BZ499" s="68">
        <v>122500</v>
      </c>
      <c r="CA499" s="69">
        <v>6137</v>
      </c>
      <c r="CB499" s="68">
        <v>121564</v>
      </c>
      <c r="CC499" s="68">
        <v>36009</v>
      </c>
      <c r="CD499" s="68">
        <v>142382</v>
      </c>
      <c r="CE499" s="64"/>
      <c r="CF499" s="64"/>
      <c r="CG499" s="70">
        <f t="shared" si="37"/>
        <v>5105.6880000000001</v>
      </c>
      <c r="CH499" s="70">
        <f t="shared" si="38"/>
        <v>257.75400000000002</v>
      </c>
      <c r="CI499" s="70">
        <f t="shared" si="39"/>
        <v>1512.3779999999999</v>
      </c>
      <c r="CJ499" s="70">
        <f t="shared" si="40"/>
        <v>6544.02</v>
      </c>
      <c r="CK499" s="70">
        <f t="shared" si="40"/>
        <v>5145</v>
      </c>
      <c r="CL499" s="70">
        <f t="shared" si="36"/>
        <v>5980.0439999999999</v>
      </c>
      <c r="CM499" s="61"/>
      <c r="CN499" s="61"/>
      <c r="CO499" s="61"/>
      <c r="CP499" s="61"/>
      <c r="CQ499" s="61"/>
      <c r="CR499" s="61"/>
      <c r="CS499" s="61"/>
      <c r="CT499" s="61"/>
      <c r="CU499" s="61"/>
      <c r="CV499" s="61"/>
      <c r="CW499" s="61"/>
      <c r="CX499" s="61"/>
      <c r="CY499" s="61"/>
      <c r="CZ499" s="61"/>
      <c r="DA499" s="61"/>
      <c r="DB499" s="61"/>
      <c r="DC499" s="61"/>
      <c r="DD499" s="61"/>
      <c r="DE499" s="61"/>
      <c r="DF499" s="61"/>
      <c r="DG499" s="61"/>
      <c r="DH499" s="61"/>
      <c r="DI499" s="61"/>
      <c r="DJ499" s="61"/>
      <c r="DK499" s="61"/>
      <c r="DL499" s="61"/>
      <c r="DM499" s="61"/>
      <c r="DN499" s="61"/>
      <c r="DO499" s="61"/>
      <c r="DP499" s="61"/>
      <c r="DQ499" s="61"/>
      <c r="DR499" s="61"/>
      <c r="DS499" s="61"/>
      <c r="DT499" s="61"/>
      <c r="DU499" s="61"/>
      <c r="DV499" s="61"/>
      <c r="DW499" s="61"/>
      <c r="DX499" s="61"/>
      <c r="DY499" s="61"/>
      <c r="DZ499" s="61"/>
      <c r="EA499" s="61"/>
      <c r="EB499" s="61"/>
      <c r="EC499" s="61"/>
      <c r="ED499" s="61"/>
      <c r="EE499" s="61"/>
      <c r="EF499" s="61"/>
      <c r="EG499" s="61"/>
      <c r="EH499" s="61"/>
      <c r="EI499" s="61"/>
      <c r="EJ499" s="61"/>
      <c r="EK499" s="61"/>
      <c r="EL499" s="61"/>
      <c r="EM499" s="61"/>
      <c r="EN499" s="61"/>
      <c r="EO499" s="61"/>
      <c r="EP499" s="61"/>
      <c r="EQ499" s="61"/>
      <c r="ER499" s="61"/>
      <c r="ES499" s="61"/>
      <c r="ET499" s="61"/>
      <c r="EU499" s="61"/>
      <c r="EV499" s="61"/>
      <c r="EW499" s="61"/>
    </row>
    <row r="500" spans="1:153">
      <c r="A500" s="56">
        <v>41791</v>
      </c>
      <c r="B500" s="57">
        <v>2014</v>
      </c>
      <c r="C500" s="71">
        <v>14.368</v>
      </c>
      <c r="D500" s="61">
        <v>0.19600000000000001</v>
      </c>
      <c r="E500" s="61">
        <v>2644.529</v>
      </c>
      <c r="F500" s="61">
        <v>111.07</v>
      </c>
      <c r="G500" s="61">
        <v>14.172000000000001</v>
      </c>
      <c r="H500" s="61">
        <v>235</v>
      </c>
      <c r="I500" s="61">
        <v>263.41000000000003</v>
      </c>
      <c r="J500" s="61">
        <v>-28.41</v>
      </c>
      <c r="K500" s="61">
        <v>2798.31</v>
      </c>
      <c r="L500" s="61">
        <v>-336.60500000000002</v>
      </c>
      <c r="M500" s="61">
        <v>2952.7240000000002</v>
      </c>
      <c r="N500" s="61">
        <v>124.014</v>
      </c>
      <c r="O500" s="71">
        <v>15.824</v>
      </c>
      <c r="P500" s="60">
        <v>200.32499999999999</v>
      </c>
      <c r="Q500" s="61">
        <v>180.24700000000001</v>
      </c>
      <c r="R500" s="61">
        <v>422.98500000000001</v>
      </c>
      <c r="S500" s="61">
        <v>870.39599999999996</v>
      </c>
      <c r="T500" s="61">
        <v>244.79900000000001</v>
      </c>
      <c r="U500" s="61">
        <v>17.518000000000001</v>
      </c>
      <c r="V500" s="61">
        <v>34.863999999999997</v>
      </c>
      <c r="W500" s="61">
        <v>150.23099999999999</v>
      </c>
      <c r="X500" s="61">
        <v>200.32499999999999</v>
      </c>
      <c r="Y500" s="61">
        <v>42.411999999999999</v>
      </c>
      <c r="Z500" s="61">
        <v>176.124</v>
      </c>
      <c r="AA500" s="61">
        <v>418.86099999999999</v>
      </c>
      <c r="AB500" s="60">
        <v>866.27300000000002</v>
      </c>
      <c r="AC500" s="62">
        <v>372.97399999999999</v>
      </c>
      <c r="AD500" s="61">
        <v>15.664999999999999</v>
      </c>
      <c r="AE500" s="61">
        <v>2.0489999999999999</v>
      </c>
      <c r="AF500" s="61"/>
      <c r="AG500" s="61">
        <v>346</v>
      </c>
      <c r="AH500" s="61">
        <v>-46</v>
      </c>
      <c r="AI500" s="61">
        <v>418.97399999999999</v>
      </c>
      <c r="AJ500" s="61">
        <v>17.597000000000001</v>
      </c>
      <c r="AK500" s="62">
        <v>2.302</v>
      </c>
      <c r="AL500" s="63">
        <f t="shared" si="41"/>
        <v>17.597000000000001</v>
      </c>
      <c r="AM500" s="64">
        <v>2.302</v>
      </c>
      <c r="AN500" s="65" t="s">
        <v>121</v>
      </c>
      <c r="AO500" s="61" t="s">
        <v>121</v>
      </c>
      <c r="AP500" s="61">
        <v>22.114000000000001</v>
      </c>
      <c r="AQ500" s="61">
        <v>0.92900000000000005</v>
      </c>
      <c r="AR500" s="61">
        <v>0.11899999999999999</v>
      </c>
      <c r="AS500" s="61" t="s">
        <v>122</v>
      </c>
      <c r="AT500" s="61">
        <v>11</v>
      </c>
      <c r="AU500" s="61">
        <v>1</v>
      </c>
      <c r="AV500" s="61">
        <v>21.114000000000001</v>
      </c>
      <c r="AW500" s="61">
        <v>0.88700000000000001</v>
      </c>
      <c r="AX500" s="65">
        <v>0.113</v>
      </c>
      <c r="AY500" s="66">
        <v>3.2549999999999999</v>
      </c>
      <c r="AZ500" s="61">
        <v>10.657</v>
      </c>
      <c r="BA500" s="61">
        <v>47.551000000000002</v>
      </c>
      <c r="BB500" s="61">
        <v>61.462000000000003</v>
      </c>
      <c r="BC500" s="61">
        <v>3.2000000000000001E-2</v>
      </c>
      <c r="BD500" s="61">
        <v>1.619</v>
      </c>
      <c r="BE500" s="61">
        <v>5.2160000000000002</v>
      </c>
      <c r="BF500" s="61">
        <v>0.09</v>
      </c>
      <c r="BG500" s="61">
        <v>6.4059999999999997</v>
      </c>
      <c r="BH500" s="61">
        <v>3.9350000000000001</v>
      </c>
      <c r="BI500" s="61">
        <v>0.30499999999999999</v>
      </c>
      <c r="BJ500" s="61">
        <v>10.646000000000001</v>
      </c>
      <c r="BK500" s="66">
        <v>17.603000000000002</v>
      </c>
      <c r="BL500" s="67">
        <v>91.944999999999993</v>
      </c>
      <c r="BM500" s="61">
        <v>15.824</v>
      </c>
      <c r="BN500" s="61">
        <v>2.302</v>
      </c>
      <c r="BO500" s="61">
        <v>0.113</v>
      </c>
      <c r="BP500" s="61">
        <v>110.18300000000001</v>
      </c>
      <c r="BQ500" s="61">
        <v>243.815</v>
      </c>
      <c r="BR500" s="61">
        <v>12.298999999999999</v>
      </c>
      <c r="BS500" s="61">
        <v>17.902999999999999</v>
      </c>
      <c r="BT500" s="61">
        <v>150.11099999999999</v>
      </c>
      <c r="BU500" s="61">
        <v>21.855</v>
      </c>
      <c r="BV500" s="61">
        <v>23.510999999999999</v>
      </c>
      <c r="BW500" s="61">
        <v>45.365000000000002</v>
      </c>
      <c r="BX500" s="67">
        <v>469.49400000000003</v>
      </c>
      <c r="BY500" s="68">
        <v>146880</v>
      </c>
      <c r="BZ500" s="68">
        <v>117047</v>
      </c>
      <c r="CA500" s="69">
        <v>3616</v>
      </c>
      <c r="CB500" s="68">
        <v>121585</v>
      </c>
      <c r="CC500" s="68">
        <v>35106</v>
      </c>
      <c r="CD500" s="68">
        <v>135950</v>
      </c>
      <c r="CE500" s="64"/>
      <c r="CF500" s="64"/>
      <c r="CG500" s="70">
        <f t="shared" si="37"/>
        <v>5106.57</v>
      </c>
      <c r="CH500" s="70">
        <f t="shared" si="38"/>
        <v>151.87200000000001</v>
      </c>
      <c r="CI500" s="70">
        <f t="shared" si="39"/>
        <v>1474.452</v>
      </c>
      <c r="CJ500" s="70">
        <f t="shared" si="40"/>
        <v>6168.96</v>
      </c>
      <c r="CK500" s="70">
        <f t="shared" si="40"/>
        <v>4915.9740000000002</v>
      </c>
      <c r="CL500" s="70">
        <f t="shared" si="36"/>
        <v>5709.9</v>
      </c>
      <c r="CM500" s="61"/>
      <c r="CN500" s="61"/>
      <c r="CO500" s="61"/>
      <c r="CP500" s="61"/>
      <c r="CQ500" s="61"/>
      <c r="CR500" s="61"/>
      <c r="CS500" s="61"/>
      <c r="CT500" s="61"/>
      <c r="CU500" s="61"/>
      <c r="CV500" s="61"/>
      <c r="CW500" s="61"/>
      <c r="CX500" s="61"/>
      <c r="CY500" s="61"/>
      <c r="CZ500" s="61"/>
      <c r="DA500" s="61"/>
      <c r="DB500" s="61"/>
      <c r="DC500" s="61"/>
      <c r="DD500" s="61"/>
      <c r="DE500" s="61"/>
      <c r="DF500" s="61"/>
      <c r="DG500" s="61"/>
      <c r="DH500" s="61"/>
      <c r="DI500" s="61"/>
      <c r="DJ500" s="61"/>
      <c r="DK500" s="61"/>
      <c r="DL500" s="61"/>
      <c r="DM500" s="61"/>
      <c r="DN500" s="61"/>
      <c r="DO500" s="61"/>
      <c r="DP500" s="61"/>
      <c r="DQ500" s="61"/>
      <c r="DR500" s="61"/>
      <c r="DS500" s="61"/>
      <c r="DT500" s="61"/>
      <c r="DU500" s="61"/>
      <c r="DV500" s="61"/>
      <c r="DW500" s="61"/>
      <c r="DX500" s="61"/>
      <c r="DY500" s="61"/>
      <c r="DZ500" s="61"/>
      <c r="EA500" s="61"/>
      <c r="EB500" s="61"/>
      <c r="EC500" s="61"/>
      <c r="ED500" s="61"/>
      <c r="EE500" s="61"/>
      <c r="EF500" s="61"/>
      <c r="EG500" s="61"/>
      <c r="EH500" s="61"/>
      <c r="EI500" s="61"/>
      <c r="EJ500" s="61"/>
      <c r="EK500" s="61"/>
      <c r="EL500" s="61"/>
      <c r="EM500" s="61"/>
      <c r="EN500" s="61"/>
      <c r="EO500" s="61"/>
      <c r="EP500" s="61"/>
      <c r="EQ500" s="61"/>
      <c r="ER500" s="61"/>
      <c r="ES500" s="61"/>
      <c r="ET500" s="61"/>
      <c r="EU500" s="61"/>
      <c r="EV500" s="61"/>
      <c r="EW500" s="61"/>
    </row>
    <row r="501" spans="1:153">
      <c r="A501" s="56">
        <v>41821</v>
      </c>
      <c r="B501" s="57">
        <v>2014</v>
      </c>
      <c r="C501" s="71">
        <v>15.896000000000001</v>
      </c>
      <c r="D501" s="61">
        <v>0.217</v>
      </c>
      <c r="E501" s="61">
        <v>2925.8870000000002</v>
      </c>
      <c r="F501" s="61">
        <v>122.887</v>
      </c>
      <c r="G501" s="61">
        <v>15.68</v>
      </c>
      <c r="H501" s="61">
        <v>493</v>
      </c>
      <c r="I501" s="61">
        <v>320.15199999999999</v>
      </c>
      <c r="J501" s="61">
        <v>172.84800000000001</v>
      </c>
      <c r="K501" s="61">
        <v>3089.1260000000002</v>
      </c>
      <c r="L501" s="61">
        <v>290.81700000000001</v>
      </c>
      <c r="M501" s="61">
        <v>2807.9180000000001</v>
      </c>
      <c r="N501" s="61">
        <v>117.93300000000001</v>
      </c>
      <c r="O501" s="71">
        <v>15.048</v>
      </c>
      <c r="P501" s="60">
        <v>206.684</v>
      </c>
      <c r="Q501" s="61">
        <v>186.03700000000001</v>
      </c>
      <c r="R501" s="61">
        <v>437.71600000000001</v>
      </c>
      <c r="S501" s="61">
        <v>837.45799999999997</v>
      </c>
      <c r="T501" s="61">
        <v>231.61500000000001</v>
      </c>
      <c r="U501" s="61">
        <v>17.940999999999999</v>
      </c>
      <c r="V501" s="61">
        <v>34.296999999999997</v>
      </c>
      <c r="W501" s="61">
        <v>115.89</v>
      </c>
      <c r="X501" s="61">
        <v>206.684</v>
      </c>
      <c r="Y501" s="61">
        <v>44.994</v>
      </c>
      <c r="Z501" s="61">
        <v>182.49100000000001</v>
      </c>
      <c r="AA501" s="61">
        <v>434.16899999999998</v>
      </c>
      <c r="AB501" s="60">
        <v>833.91200000000003</v>
      </c>
      <c r="AC501" s="62">
        <v>333.27499999999998</v>
      </c>
      <c r="AD501" s="61">
        <v>13.997999999999999</v>
      </c>
      <c r="AE501" s="61">
        <v>1.831</v>
      </c>
      <c r="AF501" s="61">
        <v>603</v>
      </c>
      <c r="AG501" s="61">
        <v>595</v>
      </c>
      <c r="AH501" s="61">
        <v>249</v>
      </c>
      <c r="AI501" s="61">
        <v>687.27499999999998</v>
      </c>
      <c r="AJ501" s="61">
        <v>28.866</v>
      </c>
      <c r="AK501" s="62">
        <v>3.7759999999999998</v>
      </c>
      <c r="AL501" s="63">
        <f t="shared" si="41"/>
        <v>28.866</v>
      </c>
      <c r="AM501" s="64">
        <v>3.7759999999999998</v>
      </c>
      <c r="AN501" s="65" t="s">
        <v>121</v>
      </c>
      <c r="AO501" s="61" t="s">
        <v>121</v>
      </c>
      <c r="AP501" s="61">
        <v>25.356999999999999</v>
      </c>
      <c r="AQ501" s="61">
        <v>1.0649999999999999</v>
      </c>
      <c r="AR501" s="61">
        <v>0.13600000000000001</v>
      </c>
      <c r="AS501" s="61" t="s">
        <v>122</v>
      </c>
      <c r="AT501" s="61">
        <v>6</v>
      </c>
      <c r="AU501" s="61">
        <v>-5</v>
      </c>
      <c r="AV501" s="61">
        <v>30.356999999999999</v>
      </c>
      <c r="AW501" s="61">
        <v>1.2749999999999999</v>
      </c>
      <c r="AX501" s="65">
        <v>0.16300000000000001</v>
      </c>
      <c r="AY501" s="66">
        <v>3.363</v>
      </c>
      <c r="AZ501" s="61">
        <v>11.154</v>
      </c>
      <c r="BA501" s="61">
        <v>49.136000000000003</v>
      </c>
      <c r="BB501" s="61">
        <v>63.654000000000003</v>
      </c>
      <c r="BC501" s="61">
        <v>3.2000000000000001E-2</v>
      </c>
      <c r="BD501" s="61">
        <v>1.673</v>
      </c>
      <c r="BE501" s="61">
        <v>5.3869999999999996</v>
      </c>
      <c r="BF501" s="61">
        <v>7.8E-2</v>
      </c>
      <c r="BG501" s="61">
        <v>6.51</v>
      </c>
      <c r="BH501" s="61">
        <v>4.2030000000000003</v>
      </c>
      <c r="BI501" s="61">
        <v>0.318</v>
      </c>
      <c r="BJ501" s="61">
        <v>11.031000000000001</v>
      </c>
      <c r="BK501" s="66">
        <v>18.202000000000002</v>
      </c>
      <c r="BL501" s="67">
        <v>95.730999999999995</v>
      </c>
      <c r="BM501" s="61">
        <v>15.048</v>
      </c>
      <c r="BN501" s="61">
        <v>3.7759999999999998</v>
      </c>
      <c r="BO501" s="61">
        <v>0.16300000000000001</v>
      </c>
      <c r="BP501" s="61">
        <v>114.717</v>
      </c>
      <c r="BQ501" s="61">
        <v>230.73500000000001</v>
      </c>
      <c r="BR501" s="61">
        <v>12.548</v>
      </c>
      <c r="BS501" s="61">
        <v>16.623999999999999</v>
      </c>
      <c r="BT501" s="61">
        <v>115.786</v>
      </c>
      <c r="BU501" s="61">
        <v>22.763999999999999</v>
      </c>
      <c r="BV501" s="61">
        <v>24.823</v>
      </c>
      <c r="BW501" s="61">
        <v>47.587000000000003</v>
      </c>
      <c r="BX501" s="67">
        <v>423.28</v>
      </c>
      <c r="BY501" s="68">
        <v>155657</v>
      </c>
      <c r="BZ501" s="68">
        <v>119860</v>
      </c>
      <c r="CA501" s="69">
        <v>3984</v>
      </c>
      <c r="CB501" s="68">
        <v>125457</v>
      </c>
      <c r="CC501" s="68">
        <v>37412</v>
      </c>
      <c r="CD501" s="68">
        <v>143417</v>
      </c>
      <c r="CE501" s="64"/>
      <c r="CF501" s="64"/>
      <c r="CG501" s="70">
        <f t="shared" si="37"/>
        <v>5269.1940000000004</v>
      </c>
      <c r="CH501" s="70">
        <f t="shared" si="38"/>
        <v>167.328</v>
      </c>
      <c r="CI501" s="70">
        <f t="shared" si="39"/>
        <v>1571.3040000000001</v>
      </c>
      <c r="CJ501" s="70">
        <f t="shared" si="40"/>
        <v>6537.5940000000001</v>
      </c>
      <c r="CK501" s="70">
        <f t="shared" si="40"/>
        <v>5034.12</v>
      </c>
      <c r="CL501" s="70">
        <f t="shared" si="36"/>
        <v>6023.5140000000001</v>
      </c>
      <c r="CM501" s="61"/>
      <c r="CN501" s="61"/>
      <c r="CO501" s="61"/>
      <c r="CP501" s="61"/>
      <c r="CQ501" s="61"/>
      <c r="CR501" s="61"/>
      <c r="CS501" s="61"/>
      <c r="CT501" s="61"/>
      <c r="CU501" s="61"/>
      <c r="CV501" s="61"/>
      <c r="CW501" s="61"/>
      <c r="CX501" s="61"/>
      <c r="CY501" s="61"/>
      <c r="CZ501" s="61"/>
      <c r="DA501" s="61"/>
      <c r="DB501" s="61"/>
      <c r="DC501" s="61"/>
      <c r="DD501" s="61"/>
      <c r="DE501" s="61"/>
      <c r="DF501" s="61"/>
      <c r="DG501" s="61"/>
      <c r="DH501" s="61"/>
      <c r="DI501" s="61"/>
      <c r="DJ501" s="61"/>
      <c r="DK501" s="61"/>
      <c r="DL501" s="61"/>
      <c r="DM501" s="61"/>
      <c r="DN501" s="61"/>
      <c r="DO501" s="61"/>
      <c r="DP501" s="61"/>
      <c r="DQ501" s="61"/>
      <c r="DR501" s="61"/>
      <c r="DS501" s="61"/>
      <c r="DT501" s="61"/>
      <c r="DU501" s="61"/>
      <c r="DV501" s="61"/>
      <c r="DW501" s="61"/>
      <c r="DX501" s="61"/>
      <c r="DY501" s="61"/>
      <c r="DZ501" s="61"/>
      <c r="EA501" s="61"/>
      <c r="EB501" s="61"/>
      <c r="EC501" s="61"/>
      <c r="ED501" s="61"/>
      <c r="EE501" s="61"/>
      <c r="EF501" s="61"/>
      <c r="EG501" s="61"/>
      <c r="EH501" s="61"/>
      <c r="EI501" s="61"/>
      <c r="EJ501" s="61"/>
      <c r="EK501" s="61"/>
      <c r="EL501" s="61"/>
      <c r="EM501" s="61"/>
      <c r="EN501" s="61"/>
      <c r="EO501" s="61"/>
      <c r="EP501" s="61"/>
      <c r="EQ501" s="61"/>
      <c r="ER501" s="61"/>
      <c r="ES501" s="61"/>
      <c r="ET501" s="61"/>
      <c r="EU501" s="61"/>
      <c r="EV501" s="61"/>
      <c r="EW501" s="61"/>
    </row>
    <row r="502" spans="1:153">
      <c r="A502" s="56">
        <v>41852</v>
      </c>
      <c r="B502" s="57">
        <v>2014</v>
      </c>
      <c r="C502" s="71">
        <v>16.225999999999999</v>
      </c>
      <c r="D502" s="61">
        <v>0.221</v>
      </c>
      <c r="E502" s="61">
        <v>2986.5940000000001</v>
      </c>
      <c r="F502" s="61">
        <v>125.437</v>
      </c>
      <c r="G502" s="61">
        <v>16.004999999999999</v>
      </c>
      <c r="H502" s="61">
        <v>571</v>
      </c>
      <c r="I502" s="61">
        <v>264.20100000000002</v>
      </c>
      <c r="J502" s="61">
        <v>306.79899999999998</v>
      </c>
      <c r="K502" s="61">
        <v>2785.5239999999999</v>
      </c>
      <c r="L502" s="61">
        <v>-303.60199999999998</v>
      </c>
      <c r="M502" s="61">
        <v>3596.9949999999999</v>
      </c>
      <c r="N502" s="61">
        <v>151.07400000000001</v>
      </c>
      <c r="O502" s="71">
        <v>19.276</v>
      </c>
      <c r="P502" s="60">
        <v>207.93899999999999</v>
      </c>
      <c r="Q502" s="61">
        <v>180.37100000000001</v>
      </c>
      <c r="R502" s="61">
        <v>431.26499999999999</v>
      </c>
      <c r="S502" s="61">
        <v>769.38400000000001</v>
      </c>
      <c r="T502" s="61">
        <v>188.34700000000001</v>
      </c>
      <c r="U502" s="61">
        <v>18.033000000000001</v>
      </c>
      <c r="V502" s="61">
        <v>35.027999999999999</v>
      </c>
      <c r="W502" s="61">
        <v>96.710999999999999</v>
      </c>
      <c r="X502" s="61">
        <v>207.93899999999999</v>
      </c>
      <c r="Y502" s="61">
        <v>42.954000000000001</v>
      </c>
      <c r="Z502" s="61">
        <v>183.09</v>
      </c>
      <c r="AA502" s="61">
        <v>433.983</v>
      </c>
      <c r="AB502" s="60">
        <v>772.10299999999995</v>
      </c>
      <c r="AC502" s="62">
        <v>48.646000000000001</v>
      </c>
      <c r="AD502" s="61">
        <v>2.0430000000000001</v>
      </c>
      <c r="AE502" s="61">
        <v>0.26700000000000002</v>
      </c>
      <c r="AF502" s="61">
        <v>178</v>
      </c>
      <c r="AG502" s="61">
        <v>363</v>
      </c>
      <c r="AH502" s="61">
        <v>-232</v>
      </c>
      <c r="AI502" s="61">
        <v>458.64600000000002</v>
      </c>
      <c r="AJ502" s="61">
        <v>19.263000000000002</v>
      </c>
      <c r="AK502" s="62">
        <v>2.52</v>
      </c>
      <c r="AL502" s="63">
        <f t="shared" si="41"/>
        <v>19.263000000000002</v>
      </c>
      <c r="AM502" s="64">
        <v>2.52</v>
      </c>
      <c r="AN502" s="65" t="s">
        <v>121</v>
      </c>
      <c r="AO502" s="61" t="s">
        <v>121</v>
      </c>
      <c r="AP502" s="61">
        <v>2.7839999999999998</v>
      </c>
      <c r="AQ502" s="61">
        <v>0.11700000000000001</v>
      </c>
      <c r="AR502" s="61">
        <v>1.4999999999999999E-2</v>
      </c>
      <c r="AS502" s="61" t="s">
        <v>122</v>
      </c>
      <c r="AT502" s="61">
        <v>8</v>
      </c>
      <c r="AU502" s="61">
        <v>2</v>
      </c>
      <c r="AV502" s="61">
        <v>0.78400000000000003</v>
      </c>
      <c r="AW502" s="61">
        <v>3.3000000000000002E-2</v>
      </c>
      <c r="AX502" s="65">
        <v>4.0000000000000001E-3</v>
      </c>
      <c r="AY502" s="66">
        <v>3.363</v>
      </c>
      <c r="AZ502" s="61">
        <v>11.106999999999999</v>
      </c>
      <c r="BA502" s="61">
        <v>49.136000000000003</v>
      </c>
      <c r="BB502" s="61">
        <v>63.606000000000002</v>
      </c>
      <c r="BC502" s="61">
        <v>2.5999999999999999E-2</v>
      </c>
      <c r="BD502" s="61">
        <v>1.673</v>
      </c>
      <c r="BE502" s="61">
        <v>5.3170000000000002</v>
      </c>
      <c r="BF502" s="61">
        <v>6.0999999999999999E-2</v>
      </c>
      <c r="BG502" s="61">
        <v>6.4930000000000003</v>
      </c>
      <c r="BH502" s="61">
        <v>4.1550000000000002</v>
      </c>
      <c r="BI502" s="61">
        <v>0.316</v>
      </c>
      <c r="BJ502" s="61">
        <v>10.964</v>
      </c>
      <c r="BK502" s="66">
        <v>18.041</v>
      </c>
      <c r="BL502" s="67">
        <v>95.210999999999999</v>
      </c>
      <c r="BM502" s="61">
        <v>19.276</v>
      </c>
      <c r="BN502" s="61">
        <v>2.52</v>
      </c>
      <c r="BO502" s="61">
        <v>4.0000000000000001E-3</v>
      </c>
      <c r="BP502" s="61">
        <v>117.011</v>
      </c>
      <c r="BQ502" s="61">
        <v>187.40799999999999</v>
      </c>
      <c r="BR502" s="61">
        <v>12.638999999999999</v>
      </c>
      <c r="BS502" s="61">
        <v>17.484000000000002</v>
      </c>
      <c r="BT502" s="61">
        <v>96.632000000000005</v>
      </c>
      <c r="BU502" s="61">
        <v>22.576000000000001</v>
      </c>
      <c r="BV502" s="61">
        <v>23.863</v>
      </c>
      <c r="BW502" s="61">
        <v>46.44</v>
      </c>
      <c r="BX502" s="67">
        <v>360.60300000000001</v>
      </c>
      <c r="BY502" s="68">
        <v>156316</v>
      </c>
      <c r="BZ502" s="68">
        <v>120117</v>
      </c>
      <c r="CA502" s="69">
        <v>4434</v>
      </c>
      <c r="CB502" s="68">
        <v>128313</v>
      </c>
      <c r="CC502" s="68">
        <v>40032</v>
      </c>
      <c r="CD502" s="68">
        <v>143597</v>
      </c>
      <c r="CE502" s="64"/>
      <c r="CF502" s="64"/>
      <c r="CG502" s="70">
        <f t="shared" si="37"/>
        <v>5389.1459999999997</v>
      </c>
      <c r="CH502" s="70">
        <f t="shared" si="38"/>
        <v>186.22800000000001</v>
      </c>
      <c r="CI502" s="70">
        <f t="shared" si="39"/>
        <v>1681.3440000000001</v>
      </c>
      <c r="CJ502" s="70">
        <f t="shared" si="40"/>
        <v>6565.2719999999999</v>
      </c>
      <c r="CK502" s="70">
        <f t="shared" si="40"/>
        <v>5044.9139999999998</v>
      </c>
      <c r="CL502" s="70">
        <f t="shared" si="36"/>
        <v>6031.0739999999996</v>
      </c>
      <c r="CM502" s="61"/>
      <c r="CN502" s="61"/>
      <c r="CO502" s="61"/>
      <c r="CP502" s="61"/>
      <c r="CQ502" s="61"/>
      <c r="CR502" s="61"/>
      <c r="CS502" s="61"/>
      <c r="CT502" s="61"/>
      <c r="CU502" s="61"/>
      <c r="CV502" s="61"/>
      <c r="CW502" s="61"/>
      <c r="CX502" s="61"/>
      <c r="CY502" s="61"/>
      <c r="CZ502" s="61"/>
      <c r="DA502" s="61"/>
      <c r="DB502" s="61"/>
      <c r="DC502" s="61"/>
      <c r="DD502" s="61"/>
      <c r="DE502" s="61"/>
      <c r="DF502" s="61"/>
      <c r="DG502" s="61"/>
      <c r="DH502" s="61"/>
      <c r="DI502" s="61"/>
      <c r="DJ502" s="61"/>
      <c r="DK502" s="61"/>
      <c r="DL502" s="61"/>
      <c r="DM502" s="61"/>
      <c r="DN502" s="61"/>
      <c r="DO502" s="61"/>
      <c r="DP502" s="61"/>
      <c r="DQ502" s="61"/>
      <c r="DR502" s="61"/>
      <c r="DS502" s="61"/>
      <c r="DT502" s="61"/>
      <c r="DU502" s="61"/>
      <c r="DV502" s="61"/>
      <c r="DW502" s="61"/>
      <c r="DX502" s="61"/>
      <c r="DY502" s="61"/>
      <c r="DZ502" s="61"/>
      <c r="EA502" s="61"/>
      <c r="EB502" s="61"/>
      <c r="EC502" s="61"/>
      <c r="ED502" s="61"/>
      <c r="EE502" s="61"/>
      <c r="EF502" s="61"/>
      <c r="EG502" s="61"/>
      <c r="EH502" s="61"/>
      <c r="EI502" s="61"/>
      <c r="EJ502" s="61"/>
      <c r="EK502" s="61"/>
      <c r="EL502" s="61"/>
      <c r="EM502" s="61"/>
      <c r="EN502" s="61"/>
      <c r="EO502" s="61"/>
      <c r="EP502" s="61"/>
      <c r="EQ502" s="61"/>
      <c r="ER502" s="61"/>
      <c r="ES502" s="61"/>
      <c r="ET502" s="61"/>
      <c r="EU502" s="61"/>
      <c r="EV502" s="61"/>
      <c r="EW502" s="61"/>
    </row>
    <row r="503" spans="1:153">
      <c r="A503" s="56">
        <v>41883</v>
      </c>
      <c r="B503" s="57">
        <v>2014</v>
      </c>
      <c r="C503" s="71">
        <v>14.964</v>
      </c>
      <c r="D503" s="61">
        <v>0.20399999999999999</v>
      </c>
      <c r="E503" s="61">
        <v>2754.2060000000001</v>
      </c>
      <c r="F503" s="61">
        <v>115.67700000000001</v>
      </c>
      <c r="G503" s="61">
        <v>14.76</v>
      </c>
      <c r="H503" s="61">
        <v>352</v>
      </c>
      <c r="I503" s="61">
        <v>136.25800000000001</v>
      </c>
      <c r="J503" s="61">
        <v>215.74199999999999</v>
      </c>
      <c r="K503" s="61">
        <v>2293.2849999999999</v>
      </c>
      <c r="L503" s="61">
        <v>-492.23899999999998</v>
      </c>
      <c r="M503" s="61">
        <v>3462.1869999999999</v>
      </c>
      <c r="N503" s="61">
        <v>145.41200000000001</v>
      </c>
      <c r="O503" s="71">
        <v>18.553999999999998</v>
      </c>
      <c r="P503" s="60">
        <v>195.84200000000001</v>
      </c>
      <c r="Q503" s="61">
        <v>174.84200000000001</v>
      </c>
      <c r="R503" s="61">
        <v>411.32</v>
      </c>
      <c r="S503" s="61">
        <v>724.54600000000005</v>
      </c>
      <c r="T503" s="61">
        <v>152.851</v>
      </c>
      <c r="U503" s="61">
        <v>17.652000000000001</v>
      </c>
      <c r="V503" s="61">
        <v>33.182000000000002</v>
      </c>
      <c r="W503" s="61">
        <v>109.541</v>
      </c>
      <c r="X503" s="61">
        <v>195.84200000000001</v>
      </c>
      <c r="Y503" s="61">
        <v>40.634999999999998</v>
      </c>
      <c r="Z503" s="61">
        <v>173.602</v>
      </c>
      <c r="AA503" s="61">
        <v>410.07900000000001</v>
      </c>
      <c r="AB503" s="60">
        <v>723.30600000000004</v>
      </c>
      <c r="AC503" s="62">
        <v>141.65299999999999</v>
      </c>
      <c r="AD503" s="61">
        <v>5.9489999999999998</v>
      </c>
      <c r="AE503" s="61">
        <v>0.77800000000000002</v>
      </c>
      <c r="AF503" s="61">
        <v>267</v>
      </c>
      <c r="AG503" s="61">
        <v>374</v>
      </c>
      <c r="AH503" s="61">
        <v>11</v>
      </c>
      <c r="AI503" s="61">
        <v>397.65300000000002</v>
      </c>
      <c r="AJ503" s="61">
        <v>16.701000000000001</v>
      </c>
      <c r="AK503" s="62">
        <v>2.1850000000000001</v>
      </c>
      <c r="AL503" s="63">
        <f t="shared" si="41"/>
        <v>16.701000000000001</v>
      </c>
      <c r="AM503" s="64">
        <v>2.1850000000000001</v>
      </c>
      <c r="AN503" s="65" t="s">
        <v>121</v>
      </c>
      <c r="AO503" s="61" t="s">
        <v>121</v>
      </c>
      <c r="AP503" s="61">
        <v>16.690999999999999</v>
      </c>
      <c r="AQ503" s="61">
        <v>0.70099999999999996</v>
      </c>
      <c r="AR503" s="61">
        <v>8.8999999999999996E-2</v>
      </c>
      <c r="AS503" s="61" t="s">
        <v>122</v>
      </c>
      <c r="AT503" s="61">
        <v>9</v>
      </c>
      <c r="AU503" s="61">
        <v>1</v>
      </c>
      <c r="AV503" s="61">
        <v>15.691000000000001</v>
      </c>
      <c r="AW503" s="61">
        <v>0.65900000000000003</v>
      </c>
      <c r="AX503" s="65">
        <v>8.4000000000000005E-2</v>
      </c>
      <c r="AY503" s="66">
        <v>3.2549999999999999</v>
      </c>
      <c r="AZ503" s="61">
        <v>10.295999999999999</v>
      </c>
      <c r="BA503" s="61">
        <v>47.551000000000002</v>
      </c>
      <c r="BB503" s="61">
        <v>61.101999999999997</v>
      </c>
      <c r="BC503" s="61">
        <v>2.5999999999999999E-2</v>
      </c>
      <c r="BD503" s="61">
        <v>1.619</v>
      </c>
      <c r="BE503" s="61">
        <v>4.7910000000000004</v>
      </c>
      <c r="BF503" s="61">
        <v>7.3999999999999996E-2</v>
      </c>
      <c r="BG503" s="61">
        <v>6.2309999999999999</v>
      </c>
      <c r="BH503" s="61">
        <v>3.9359999999999999</v>
      </c>
      <c r="BI503" s="61">
        <v>0.29499999999999998</v>
      </c>
      <c r="BJ503" s="61">
        <v>10.462</v>
      </c>
      <c r="BK503" s="66">
        <v>16.971</v>
      </c>
      <c r="BL503" s="67">
        <v>88.727999999999994</v>
      </c>
      <c r="BM503" s="61">
        <v>18.553999999999998</v>
      </c>
      <c r="BN503" s="61">
        <v>2.1850000000000001</v>
      </c>
      <c r="BO503" s="61">
        <v>8.4000000000000005E-2</v>
      </c>
      <c r="BP503" s="61">
        <v>109.551</v>
      </c>
      <c r="BQ503" s="61">
        <v>152.00899999999999</v>
      </c>
      <c r="BR503" s="61">
        <v>12.433</v>
      </c>
      <c r="BS503" s="61">
        <v>17.073</v>
      </c>
      <c r="BT503" s="61">
        <v>109.447</v>
      </c>
      <c r="BU503" s="61">
        <v>20.837</v>
      </c>
      <c r="BV503" s="61">
        <v>22.388999999999999</v>
      </c>
      <c r="BW503" s="61">
        <v>43.225999999999999</v>
      </c>
      <c r="BX503" s="67">
        <v>334.18799999999999</v>
      </c>
      <c r="BY503" s="68">
        <v>148194</v>
      </c>
      <c r="BZ503" s="68">
        <v>118002</v>
      </c>
      <c r="CA503" s="69">
        <v>3768</v>
      </c>
      <c r="CB503" s="68">
        <v>131436</v>
      </c>
      <c r="CC503" s="68">
        <v>32909</v>
      </c>
      <c r="CD503" s="68">
        <v>135635</v>
      </c>
      <c r="CE503" s="64"/>
      <c r="CF503" s="64"/>
      <c r="CG503" s="70">
        <f t="shared" si="37"/>
        <v>5520.3119999999999</v>
      </c>
      <c r="CH503" s="70">
        <f t="shared" si="38"/>
        <v>158.256</v>
      </c>
      <c r="CI503" s="70">
        <f t="shared" si="39"/>
        <v>1382.1780000000001</v>
      </c>
      <c r="CJ503" s="70">
        <f t="shared" si="40"/>
        <v>6224.1480000000001</v>
      </c>
      <c r="CK503" s="70">
        <f t="shared" si="40"/>
        <v>4956.0839999999998</v>
      </c>
      <c r="CL503" s="70">
        <f t="shared" si="36"/>
        <v>5696.67</v>
      </c>
      <c r="CM503" s="61"/>
      <c r="CN503" s="61"/>
      <c r="CO503" s="61"/>
      <c r="CP503" s="61"/>
      <c r="CQ503" s="61"/>
      <c r="CR503" s="61"/>
      <c r="CS503" s="61"/>
      <c r="CT503" s="61"/>
      <c r="CU503" s="61"/>
      <c r="CV503" s="61"/>
      <c r="CW503" s="61"/>
      <c r="CX503" s="61"/>
      <c r="CY503" s="61"/>
      <c r="CZ503" s="61"/>
      <c r="DA503" s="61"/>
      <c r="DB503" s="61"/>
      <c r="DC503" s="61"/>
      <c r="DD503" s="61"/>
      <c r="DE503" s="61"/>
      <c r="DF503" s="61"/>
      <c r="DG503" s="61"/>
      <c r="DH503" s="61"/>
      <c r="DI503" s="61"/>
      <c r="DJ503" s="61"/>
      <c r="DK503" s="61"/>
      <c r="DL503" s="61"/>
      <c r="DM503" s="61"/>
      <c r="DN503" s="61"/>
      <c r="DO503" s="61"/>
      <c r="DP503" s="61"/>
      <c r="DQ503" s="61"/>
      <c r="DR503" s="61"/>
      <c r="DS503" s="61"/>
      <c r="DT503" s="61"/>
      <c r="DU503" s="61"/>
      <c r="DV503" s="61"/>
      <c r="DW503" s="61"/>
      <c r="DX503" s="61"/>
      <c r="DY503" s="61"/>
      <c r="DZ503" s="61"/>
      <c r="EA503" s="61"/>
      <c r="EB503" s="61"/>
      <c r="EC503" s="61"/>
      <c r="ED503" s="61"/>
      <c r="EE503" s="61"/>
      <c r="EF503" s="61"/>
      <c r="EG503" s="61"/>
      <c r="EH503" s="61"/>
      <c r="EI503" s="61"/>
      <c r="EJ503" s="61"/>
      <c r="EK503" s="61"/>
      <c r="EL503" s="61"/>
      <c r="EM503" s="61"/>
      <c r="EN503" s="61"/>
      <c r="EO503" s="61"/>
      <c r="EP503" s="61"/>
      <c r="EQ503" s="61"/>
      <c r="ER503" s="61"/>
      <c r="ES503" s="61"/>
      <c r="ET503" s="61"/>
      <c r="EU503" s="61"/>
      <c r="EV503" s="61"/>
      <c r="EW503" s="61"/>
    </row>
    <row r="504" spans="1:153">
      <c r="A504" s="56">
        <v>41913</v>
      </c>
      <c r="B504" s="57">
        <v>2014</v>
      </c>
      <c r="C504" s="71">
        <v>15.909000000000001</v>
      </c>
      <c r="D504" s="61">
        <v>0.217</v>
      </c>
      <c r="E504" s="61">
        <v>2928.28</v>
      </c>
      <c r="F504" s="61">
        <v>122.988</v>
      </c>
      <c r="G504" s="61">
        <v>15.693</v>
      </c>
      <c r="H504" s="61">
        <v>507</v>
      </c>
      <c r="I504" s="61">
        <v>39.654000000000003</v>
      </c>
      <c r="J504" s="61">
        <v>467.346</v>
      </c>
      <c r="K504" s="61">
        <v>2640.5210000000002</v>
      </c>
      <c r="L504" s="61">
        <v>347.23599999999999</v>
      </c>
      <c r="M504" s="61">
        <v>3048.39</v>
      </c>
      <c r="N504" s="61">
        <v>128.03200000000001</v>
      </c>
      <c r="O504" s="71">
        <v>16.335999999999999</v>
      </c>
      <c r="P504" s="60">
        <v>200.48599999999999</v>
      </c>
      <c r="Q504" s="61">
        <v>181.96600000000001</v>
      </c>
      <c r="R504" s="61">
        <v>424.91899999999998</v>
      </c>
      <c r="S504" s="61">
        <v>775.08299999999997</v>
      </c>
      <c r="T504" s="61">
        <v>163.167</v>
      </c>
      <c r="U504" s="61">
        <v>18.184000000000001</v>
      </c>
      <c r="V504" s="61">
        <v>30.858000000000001</v>
      </c>
      <c r="W504" s="61">
        <v>137.95599999999999</v>
      </c>
      <c r="X504" s="61">
        <v>200.48599999999999</v>
      </c>
      <c r="Y504" s="61">
        <v>42.466999999999999</v>
      </c>
      <c r="Z504" s="61">
        <v>182.91399999999999</v>
      </c>
      <c r="AA504" s="61">
        <v>425.86700000000002</v>
      </c>
      <c r="AB504" s="60">
        <v>776.03099999999995</v>
      </c>
      <c r="AC504" s="62">
        <v>350.52</v>
      </c>
      <c r="AD504" s="61">
        <v>14.722</v>
      </c>
      <c r="AE504" s="61">
        <v>1.9259999999999999</v>
      </c>
      <c r="AF504" s="61">
        <v>235</v>
      </c>
      <c r="AG504" s="61">
        <v>223</v>
      </c>
      <c r="AH504" s="61">
        <v>-151</v>
      </c>
      <c r="AI504" s="61">
        <v>736.52</v>
      </c>
      <c r="AJ504" s="61">
        <v>30.934000000000001</v>
      </c>
      <c r="AK504" s="62">
        <v>4.0460000000000003</v>
      </c>
      <c r="AL504" s="63">
        <f t="shared" si="41"/>
        <v>30.934000000000001</v>
      </c>
      <c r="AM504" s="64">
        <v>4.0460000000000003</v>
      </c>
      <c r="AN504" s="65" t="s">
        <v>121</v>
      </c>
      <c r="AO504" s="61" t="s">
        <v>121</v>
      </c>
      <c r="AP504" s="61">
        <v>38.085999999999999</v>
      </c>
      <c r="AQ504" s="61">
        <v>1.6</v>
      </c>
      <c r="AR504" s="61">
        <v>0.20399999999999999</v>
      </c>
      <c r="AS504" s="61" t="s">
        <v>122</v>
      </c>
      <c r="AT504" s="61" t="s">
        <v>122</v>
      </c>
      <c r="AU504" s="61">
        <v>-9</v>
      </c>
      <c r="AV504" s="61">
        <v>47.085999999999999</v>
      </c>
      <c r="AW504" s="61">
        <v>1.978</v>
      </c>
      <c r="AX504" s="65">
        <v>0.252</v>
      </c>
      <c r="AY504" s="66">
        <v>3.363</v>
      </c>
      <c r="AZ504" s="61">
        <v>9.5920000000000005</v>
      </c>
      <c r="BA504" s="61">
        <v>49.136000000000003</v>
      </c>
      <c r="BB504" s="61">
        <v>62.091000000000001</v>
      </c>
      <c r="BC504" s="61">
        <v>2.1999999999999999E-2</v>
      </c>
      <c r="BD504" s="61">
        <v>1.673</v>
      </c>
      <c r="BE504" s="61">
        <v>4.3250000000000002</v>
      </c>
      <c r="BF504" s="61">
        <v>0.10299999999999999</v>
      </c>
      <c r="BG504" s="61">
        <v>6.4260000000000002</v>
      </c>
      <c r="BH504" s="61">
        <v>3.8</v>
      </c>
      <c r="BI504" s="61">
        <v>0.31900000000000001</v>
      </c>
      <c r="BJ504" s="61">
        <v>10.545999999999999</v>
      </c>
      <c r="BK504" s="66">
        <v>16.670000000000002</v>
      </c>
      <c r="BL504" s="67">
        <v>96.164000000000001</v>
      </c>
      <c r="BM504" s="61">
        <v>16.335999999999999</v>
      </c>
      <c r="BN504" s="61">
        <v>4.0460000000000003</v>
      </c>
      <c r="BO504" s="61">
        <v>0.252</v>
      </c>
      <c r="BP504" s="61">
        <v>116.79900000000001</v>
      </c>
      <c r="BQ504" s="61">
        <v>162.25700000000001</v>
      </c>
      <c r="BR504" s="61">
        <v>12.79</v>
      </c>
      <c r="BS504" s="61">
        <v>15.974</v>
      </c>
      <c r="BT504" s="61">
        <v>137.80699999999999</v>
      </c>
      <c r="BU504" s="61">
        <v>20.279</v>
      </c>
      <c r="BV504" s="61">
        <v>22.125</v>
      </c>
      <c r="BW504" s="61">
        <v>42.402999999999999</v>
      </c>
      <c r="BX504" s="67">
        <v>371.23200000000003</v>
      </c>
      <c r="BY504" s="68">
        <v>144522</v>
      </c>
      <c r="BZ504" s="68">
        <v>132255</v>
      </c>
      <c r="CA504" s="69">
        <v>3727</v>
      </c>
      <c r="CB504" s="68">
        <v>120372</v>
      </c>
      <c r="CC504" s="68">
        <v>28803</v>
      </c>
      <c r="CD504" s="68">
        <v>129013</v>
      </c>
      <c r="CE504" s="64"/>
      <c r="CF504" s="64"/>
      <c r="CG504" s="70">
        <f t="shared" si="37"/>
        <v>5055.6239999999998</v>
      </c>
      <c r="CH504" s="70">
        <f t="shared" si="38"/>
        <v>156.53399999999999</v>
      </c>
      <c r="CI504" s="70">
        <f t="shared" si="39"/>
        <v>1209.7260000000001</v>
      </c>
      <c r="CJ504" s="70">
        <f t="shared" si="40"/>
        <v>6069.924</v>
      </c>
      <c r="CK504" s="70">
        <f t="shared" si="40"/>
        <v>5554.71</v>
      </c>
      <c r="CL504" s="70">
        <f t="shared" si="36"/>
        <v>5418.5460000000003</v>
      </c>
      <c r="CM504" s="61"/>
      <c r="CN504" s="61"/>
      <c r="CO504" s="61"/>
      <c r="CP504" s="61"/>
      <c r="CQ504" s="61"/>
      <c r="CR504" s="61"/>
      <c r="CS504" s="61"/>
      <c r="CT504" s="61"/>
      <c r="CU504" s="61"/>
      <c r="CV504" s="61"/>
      <c r="CW504" s="61"/>
      <c r="CX504" s="61"/>
      <c r="CY504" s="61"/>
      <c r="CZ504" s="61"/>
      <c r="DA504" s="61"/>
      <c r="DB504" s="61"/>
      <c r="DC504" s="61"/>
      <c r="DD504" s="61"/>
      <c r="DE504" s="61"/>
      <c r="DF504" s="61"/>
      <c r="DG504" s="61"/>
      <c r="DH504" s="61"/>
      <c r="DI504" s="61"/>
      <c r="DJ504" s="61"/>
      <c r="DK504" s="61"/>
      <c r="DL504" s="61"/>
      <c r="DM504" s="61"/>
      <c r="DN504" s="61"/>
      <c r="DO504" s="61"/>
      <c r="DP504" s="61"/>
      <c r="DQ504" s="61"/>
      <c r="DR504" s="61"/>
      <c r="DS504" s="61"/>
      <c r="DT504" s="61"/>
      <c r="DU504" s="61"/>
      <c r="DV504" s="61"/>
      <c r="DW504" s="61"/>
      <c r="DX504" s="61"/>
      <c r="DY504" s="61"/>
      <c r="DZ504" s="61"/>
      <c r="EA504" s="61"/>
      <c r="EB504" s="61"/>
      <c r="EC504" s="61"/>
      <c r="ED504" s="61"/>
      <c r="EE504" s="61"/>
      <c r="EF504" s="61"/>
      <c r="EG504" s="61"/>
      <c r="EH504" s="61"/>
      <c r="EI504" s="61"/>
      <c r="EJ504" s="61"/>
      <c r="EK504" s="61"/>
      <c r="EL504" s="61"/>
      <c r="EM504" s="61"/>
      <c r="EN504" s="61"/>
      <c r="EO504" s="61"/>
      <c r="EP504" s="61"/>
      <c r="EQ504" s="61"/>
      <c r="ER504" s="61"/>
      <c r="ES504" s="61"/>
      <c r="ET504" s="61"/>
      <c r="EU504" s="61"/>
      <c r="EV504" s="61"/>
      <c r="EW504" s="61"/>
    </row>
    <row r="505" spans="1:153">
      <c r="A505" s="56">
        <v>41944</v>
      </c>
      <c r="B505" s="57">
        <v>2014</v>
      </c>
      <c r="C505" s="71">
        <v>14.183</v>
      </c>
      <c r="D505" s="61">
        <v>0.193</v>
      </c>
      <c r="E505" s="61">
        <v>2610.4569999999999</v>
      </c>
      <c r="F505" s="61">
        <v>109.639</v>
      </c>
      <c r="G505" s="61">
        <v>13.989000000000001</v>
      </c>
      <c r="H505" s="61">
        <v>989</v>
      </c>
      <c r="I505" s="61">
        <v>65.076999999999998</v>
      </c>
      <c r="J505" s="61">
        <v>923.923</v>
      </c>
      <c r="K505" s="61">
        <v>3084.221</v>
      </c>
      <c r="L505" s="61">
        <v>443.7</v>
      </c>
      <c r="M505" s="61">
        <v>3090.68</v>
      </c>
      <c r="N505" s="61">
        <v>129.809</v>
      </c>
      <c r="O505" s="71">
        <v>16.562999999999999</v>
      </c>
      <c r="P505" s="60">
        <v>198.64400000000001</v>
      </c>
      <c r="Q505" s="61">
        <v>179.89</v>
      </c>
      <c r="R505" s="61">
        <v>420.08199999999999</v>
      </c>
      <c r="S505" s="61">
        <v>819.81100000000004</v>
      </c>
      <c r="T505" s="61">
        <v>177.10400000000001</v>
      </c>
      <c r="U505" s="61">
        <v>18.175000000000001</v>
      </c>
      <c r="V505" s="61">
        <v>25.044</v>
      </c>
      <c r="W505" s="61">
        <v>179.40600000000001</v>
      </c>
      <c r="X505" s="61">
        <v>198.64400000000001</v>
      </c>
      <c r="Y505" s="61">
        <v>41.548999999999999</v>
      </c>
      <c r="Z505" s="61">
        <v>176.28</v>
      </c>
      <c r="AA505" s="61">
        <v>416.47199999999998</v>
      </c>
      <c r="AB505" s="60">
        <v>816.20100000000002</v>
      </c>
      <c r="AC505" s="62">
        <v>391.971</v>
      </c>
      <c r="AD505" s="61">
        <v>16.463000000000001</v>
      </c>
      <c r="AE505" s="61">
        <v>2.153</v>
      </c>
      <c r="AF505" s="61"/>
      <c r="AG505" s="61">
        <v>222</v>
      </c>
      <c r="AH505" s="61">
        <v>-1</v>
      </c>
      <c r="AI505" s="61">
        <v>392.971</v>
      </c>
      <c r="AJ505" s="61">
        <v>16.504999999999999</v>
      </c>
      <c r="AK505" s="62">
        <v>2.1589999999999998</v>
      </c>
      <c r="AL505" s="63">
        <f t="shared" si="41"/>
        <v>16.504999999999999</v>
      </c>
      <c r="AM505" s="64">
        <v>2.1589999999999998</v>
      </c>
      <c r="AN505" s="65" t="s">
        <v>121</v>
      </c>
      <c r="AO505" s="61" t="s">
        <v>121</v>
      </c>
      <c r="AP505" s="61">
        <v>32.53</v>
      </c>
      <c r="AQ505" s="61">
        <v>1.3660000000000001</v>
      </c>
      <c r="AR505" s="61">
        <v>0.17399999999999999</v>
      </c>
      <c r="AS505" s="61" t="s">
        <v>122</v>
      </c>
      <c r="AT505" s="61">
        <v>5</v>
      </c>
      <c r="AU505" s="61">
        <v>5</v>
      </c>
      <c r="AV505" s="61">
        <v>27.53</v>
      </c>
      <c r="AW505" s="61">
        <v>1.1559999999999999</v>
      </c>
      <c r="AX505" s="65">
        <v>0.14799999999999999</v>
      </c>
      <c r="AY505" s="66">
        <v>3.2549999999999999</v>
      </c>
      <c r="AZ505" s="61">
        <v>7.9409999999999998</v>
      </c>
      <c r="BA505" s="61">
        <v>47.551000000000002</v>
      </c>
      <c r="BB505" s="61">
        <v>58.747</v>
      </c>
      <c r="BC505" s="61">
        <v>1.7999999999999999E-2</v>
      </c>
      <c r="BD505" s="61">
        <v>1.619</v>
      </c>
      <c r="BE505" s="61">
        <v>3.48</v>
      </c>
      <c r="BF505" s="61">
        <v>0.125</v>
      </c>
      <c r="BG505" s="61">
        <v>6.1989999999999998</v>
      </c>
      <c r="BH505" s="61">
        <v>3.6469999999999998</v>
      </c>
      <c r="BI505" s="61">
        <v>0.30399999999999999</v>
      </c>
      <c r="BJ505" s="61">
        <v>10.15</v>
      </c>
      <c r="BK505" s="66">
        <v>15.393000000000001</v>
      </c>
      <c r="BL505" s="67">
        <v>91.608000000000004</v>
      </c>
      <c r="BM505" s="61">
        <v>16.562999999999999</v>
      </c>
      <c r="BN505" s="61">
        <v>2.1589999999999998</v>
      </c>
      <c r="BO505" s="61">
        <v>0.14799999999999999</v>
      </c>
      <c r="BP505" s="61">
        <v>110.47799999999999</v>
      </c>
      <c r="BQ505" s="61">
        <v>176.143</v>
      </c>
      <c r="BR505" s="61">
        <v>12.956</v>
      </c>
      <c r="BS505" s="61">
        <v>12.846</v>
      </c>
      <c r="BT505" s="61">
        <v>179.221</v>
      </c>
      <c r="BU505" s="61">
        <v>21.603999999999999</v>
      </c>
      <c r="BV505" s="61">
        <v>22.023</v>
      </c>
      <c r="BW505" s="61">
        <v>43.627000000000002</v>
      </c>
      <c r="BX505" s="67">
        <v>424.79399999999998</v>
      </c>
      <c r="BY505" s="68">
        <v>150349</v>
      </c>
      <c r="BZ505" s="68">
        <v>117516</v>
      </c>
      <c r="CA505" s="69">
        <v>4092</v>
      </c>
      <c r="CB505" s="68">
        <v>126215</v>
      </c>
      <c r="CC505" s="68">
        <v>33030</v>
      </c>
      <c r="CD505" s="68">
        <v>137767</v>
      </c>
      <c r="CE505" s="64"/>
      <c r="CF505" s="64"/>
      <c r="CG505" s="70">
        <f t="shared" si="37"/>
        <v>5301.03</v>
      </c>
      <c r="CH505" s="70">
        <f t="shared" si="38"/>
        <v>171.864</v>
      </c>
      <c r="CI505" s="70">
        <f t="shared" si="39"/>
        <v>1387.26</v>
      </c>
      <c r="CJ505" s="70">
        <f t="shared" si="40"/>
        <v>6314.6580000000004</v>
      </c>
      <c r="CK505" s="70">
        <f t="shared" si="40"/>
        <v>4935.6719999999996</v>
      </c>
      <c r="CL505" s="70">
        <f t="shared" si="36"/>
        <v>5786.2139999999999</v>
      </c>
      <c r="CM505" s="61"/>
      <c r="CN505" s="61"/>
      <c r="CO505" s="61"/>
      <c r="CP505" s="61"/>
      <c r="CQ505" s="61"/>
      <c r="CR505" s="61"/>
      <c r="CS505" s="61"/>
      <c r="CT505" s="61"/>
      <c r="CU505" s="61"/>
      <c r="CV505" s="61"/>
      <c r="CW505" s="61"/>
      <c r="CX505" s="61"/>
      <c r="CY505" s="61"/>
      <c r="CZ505" s="61"/>
      <c r="DA505" s="61"/>
      <c r="DB505" s="61"/>
      <c r="DC505" s="61"/>
      <c r="DD505" s="61"/>
      <c r="DE505" s="61"/>
      <c r="DF505" s="61"/>
      <c r="DG505" s="61"/>
      <c r="DH505" s="61"/>
      <c r="DI505" s="61"/>
      <c r="DJ505" s="61"/>
      <c r="DK505" s="61"/>
      <c r="DL505" s="61"/>
      <c r="DM505" s="61"/>
      <c r="DN505" s="61"/>
      <c r="DO505" s="61"/>
      <c r="DP505" s="61"/>
      <c r="DQ505" s="61"/>
      <c r="DR505" s="61"/>
      <c r="DS505" s="61"/>
      <c r="DT505" s="61"/>
      <c r="DU505" s="61"/>
      <c r="DV505" s="61"/>
      <c r="DW505" s="61"/>
      <c r="DX505" s="61"/>
      <c r="DY505" s="61"/>
      <c r="DZ505" s="61"/>
      <c r="EA505" s="61"/>
      <c r="EB505" s="61"/>
      <c r="EC505" s="61"/>
      <c r="ED505" s="61"/>
      <c r="EE505" s="61"/>
      <c r="EF505" s="61"/>
      <c r="EG505" s="61"/>
      <c r="EH505" s="61"/>
      <c r="EI505" s="61"/>
      <c r="EJ505" s="61"/>
      <c r="EK505" s="61"/>
      <c r="EL505" s="61"/>
      <c r="EM505" s="61"/>
      <c r="EN505" s="61"/>
      <c r="EO505" s="61"/>
      <c r="EP505" s="61"/>
      <c r="EQ505" s="61"/>
      <c r="ER505" s="61"/>
      <c r="ES505" s="61"/>
      <c r="ET505" s="61"/>
      <c r="EU505" s="61"/>
      <c r="EV505" s="61"/>
      <c r="EW505" s="61"/>
    </row>
    <row r="506" spans="1:153">
      <c r="A506" s="56">
        <v>41974</v>
      </c>
      <c r="B506" s="57">
        <v>2014</v>
      </c>
      <c r="C506" s="71">
        <v>16.073</v>
      </c>
      <c r="D506" s="61">
        <v>0.219</v>
      </c>
      <c r="E506" s="61">
        <v>2958.4389999999999</v>
      </c>
      <c r="F506" s="61">
        <v>124.254</v>
      </c>
      <c r="G506" s="61">
        <v>15.853999999999999</v>
      </c>
      <c r="H506" s="61">
        <v>540</v>
      </c>
      <c r="I506" s="61">
        <v>50.536000000000001</v>
      </c>
      <c r="J506" s="61">
        <v>489.464</v>
      </c>
      <c r="K506" s="61">
        <v>3130.6190000000001</v>
      </c>
      <c r="L506" s="61">
        <v>46.398000000000003</v>
      </c>
      <c r="M506" s="61">
        <v>3401.5050000000001</v>
      </c>
      <c r="N506" s="61">
        <v>142.863</v>
      </c>
      <c r="O506" s="71">
        <v>18.228999999999999</v>
      </c>
      <c r="P506" s="60">
        <v>208.08799999999999</v>
      </c>
      <c r="Q506" s="61">
        <v>195.32900000000001</v>
      </c>
      <c r="R506" s="61">
        <v>446.97500000000002</v>
      </c>
      <c r="S506" s="61">
        <v>839.005</v>
      </c>
      <c r="T506" s="61">
        <v>212.32400000000001</v>
      </c>
      <c r="U506" s="61">
        <v>18.468</v>
      </c>
      <c r="V506" s="61">
        <v>21.347999999999999</v>
      </c>
      <c r="W506" s="61">
        <v>139.88900000000001</v>
      </c>
      <c r="X506" s="61">
        <v>208.08799999999999</v>
      </c>
      <c r="Y506" s="61">
        <v>43.558</v>
      </c>
      <c r="Z506" s="61">
        <v>187.06399999999999</v>
      </c>
      <c r="AA506" s="61">
        <v>438.71100000000001</v>
      </c>
      <c r="AB506" s="60">
        <v>830.74099999999999</v>
      </c>
      <c r="AC506" s="62">
        <v>543.59799999999996</v>
      </c>
      <c r="AD506" s="61">
        <v>22.831</v>
      </c>
      <c r="AE506" s="61">
        <v>2.9870000000000001</v>
      </c>
      <c r="AF506" s="61">
        <v>267</v>
      </c>
      <c r="AG506" s="61">
        <v>350</v>
      </c>
      <c r="AH506" s="61">
        <v>128</v>
      </c>
      <c r="AI506" s="61">
        <v>682.59799999999996</v>
      </c>
      <c r="AJ506" s="61">
        <v>28.669</v>
      </c>
      <c r="AK506" s="62">
        <v>3.75</v>
      </c>
      <c r="AL506" s="63">
        <f t="shared" si="41"/>
        <v>28.669</v>
      </c>
      <c r="AM506" s="64">
        <v>3.75</v>
      </c>
      <c r="AN506" s="65" t="s">
        <v>121</v>
      </c>
      <c r="AO506" s="61" t="s">
        <v>121</v>
      </c>
      <c r="AP506" s="61">
        <v>42.103000000000002</v>
      </c>
      <c r="AQ506" s="61">
        <v>1.768</v>
      </c>
      <c r="AR506" s="61">
        <v>0.22600000000000001</v>
      </c>
      <c r="AS506" s="61" t="s">
        <v>122</v>
      </c>
      <c r="AT506" s="61">
        <v>7</v>
      </c>
      <c r="AU506" s="61">
        <v>2</v>
      </c>
      <c r="AV506" s="61">
        <v>40.103000000000002</v>
      </c>
      <c r="AW506" s="61">
        <v>1.6839999999999999</v>
      </c>
      <c r="AX506" s="65">
        <v>0.215</v>
      </c>
      <c r="AY506" s="66">
        <v>3.363</v>
      </c>
      <c r="AZ506" s="61">
        <v>7.7039999999999997</v>
      </c>
      <c r="BA506" s="61">
        <v>49.136000000000003</v>
      </c>
      <c r="BB506" s="61">
        <v>60.203000000000003</v>
      </c>
      <c r="BC506" s="61">
        <v>2.3E-2</v>
      </c>
      <c r="BD506" s="61">
        <v>1.673</v>
      </c>
      <c r="BE506" s="61">
        <v>3.3180000000000001</v>
      </c>
      <c r="BF506" s="61">
        <v>9.8000000000000004E-2</v>
      </c>
      <c r="BG506" s="61">
        <v>6.4379999999999997</v>
      </c>
      <c r="BH506" s="61">
        <v>3.839</v>
      </c>
      <c r="BI506" s="61">
        <v>0.312</v>
      </c>
      <c r="BJ506" s="61">
        <v>10.589</v>
      </c>
      <c r="BK506" s="66">
        <v>15.701000000000001</v>
      </c>
      <c r="BL506" s="67">
        <v>94.034000000000006</v>
      </c>
      <c r="BM506" s="61">
        <v>18.228999999999999</v>
      </c>
      <c r="BN506" s="61">
        <v>3.75</v>
      </c>
      <c r="BO506" s="61">
        <v>0.215</v>
      </c>
      <c r="BP506" s="61">
        <v>116.227</v>
      </c>
      <c r="BQ506" s="61">
        <v>211.114</v>
      </c>
      <c r="BR506" s="61">
        <v>13.074999999999999</v>
      </c>
      <c r="BS506" s="61">
        <v>9.6110000000000007</v>
      </c>
      <c r="BT506" s="61">
        <v>139.749</v>
      </c>
      <c r="BU506" s="61">
        <v>22.468</v>
      </c>
      <c r="BV506" s="61">
        <v>23.013000000000002</v>
      </c>
      <c r="BW506" s="61">
        <v>45.481000000000002</v>
      </c>
      <c r="BX506" s="67">
        <v>419.03</v>
      </c>
      <c r="BY506" s="68">
        <v>165009</v>
      </c>
      <c r="BZ506" s="68">
        <v>129524</v>
      </c>
      <c r="CA506" s="69">
        <v>7601</v>
      </c>
      <c r="CB506" s="68">
        <v>136286</v>
      </c>
      <c r="CC506" s="68">
        <v>35324</v>
      </c>
      <c r="CD506" s="68">
        <v>153149</v>
      </c>
      <c r="CE506" s="64"/>
      <c r="CF506" s="64"/>
      <c r="CG506" s="70">
        <f t="shared" si="37"/>
        <v>5724.0119999999997</v>
      </c>
      <c r="CH506" s="70">
        <f t="shared" si="38"/>
        <v>319.24200000000002</v>
      </c>
      <c r="CI506" s="70">
        <f t="shared" si="39"/>
        <v>1483.6079999999999</v>
      </c>
      <c r="CJ506" s="70">
        <f t="shared" si="40"/>
        <v>6930.3779999999997</v>
      </c>
      <c r="CK506" s="70">
        <f t="shared" si="40"/>
        <v>5440.0079999999998</v>
      </c>
      <c r="CL506" s="70">
        <f t="shared" si="36"/>
        <v>6432.2579999999998</v>
      </c>
      <c r="CM506" s="61"/>
      <c r="CN506" s="61"/>
      <c r="CO506" s="61"/>
      <c r="CP506" s="61"/>
      <c r="CQ506" s="61"/>
      <c r="CR506" s="61"/>
      <c r="CS506" s="61"/>
      <c r="CT506" s="61"/>
      <c r="CU506" s="61"/>
      <c r="CV506" s="61"/>
      <c r="CW506" s="61"/>
      <c r="CX506" s="61"/>
      <c r="CY506" s="61"/>
      <c r="CZ506" s="61"/>
      <c r="DA506" s="61"/>
      <c r="DB506" s="61"/>
      <c r="DC506" s="61"/>
      <c r="DD506" s="61"/>
      <c r="DE506" s="61"/>
      <c r="DF506" s="61"/>
      <c r="DG506" s="61"/>
      <c r="DH506" s="61"/>
      <c r="DI506" s="61"/>
      <c r="DJ506" s="61"/>
      <c r="DK506" s="61"/>
      <c r="DL506" s="61"/>
      <c r="DM506" s="61"/>
      <c r="DN506" s="61"/>
      <c r="DO506" s="61"/>
      <c r="DP506" s="61"/>
      <c r="DQ506" s="61"/>
      <c r="DR506" s="61"/>
      <c r="DS506" s="61"/>
      <c r="DT506" s="61"/>
      <c r="DU506" s="61"/>
      <c r="DV506" s="61"/>
      <c r="DW506" s="61"/>
      <c r="DX506" s="61"/>
      <c r="DY506" s="61"/>
      <c r="DZ506" s="61"/>
      <c r="EA506" s="61"/>
      <c r="EB506" s="61"/>
      <c r="EC506" s="61"/>
      <c r="ED506" s="61"/>
      <c r="EE506" s="61"/>
      <c r="EF506" s="61"/>
      <c r="EG506" s="61"/>
      <c r="EH506" s="61"/>
      <c r="EI506" s="61"/>
      <c r="EJ506" s="61"/>
      <c r="EK506" s="61"/>
      <c r="EL506" s="61"/>
      <c r="EM506" s="61"/>
      <c r="EN506" s="61"/>
      <c r="EO506" s="61"/>
      <c r="EP506" s="61"/>
      <c r="EQ506" s="61"/>
      <c r="ER506" s="61"/>
      <c r="ES506" s="61"/>
      <c r="ET506" s="61"/>
      <c r="EU506" s="61"/>
      <c r="EV506" s="61"/>
      <c r="EW506" s="61"/>
    </row>
    <row r="507" spans="1:153">
      <c r="A507" s="56">
        <v>42005</v>
      </c>
      <c r="B507" s="57">
        <v>2015</v>
      </c>
      <c r="C507" s="71">
        <v>9.3840000000000003</v>
      </c>
      <c r="D507" s="61">
        <v>0.128</v>
      </c>
      <c r="E507" s="61">
        <v>1727.2909999999999</v>
      </c>
      <c r="F507" s="61">
        <v>72.546000000000006</v>
      </c>
      <c r="G507" s="61">
        <v>9.2569999999999997</v>
      </c>
      <c r="H507" s="61">
        <v>372</v>
      </c>
      <c r="I507" s="61">
        <v>21.933</v>
      </c>
      <c r="J507" s="61">
        <v>350.06700000000001</v>
      </c>
      <c r="K507" s="61">
        <v>4032.4470000000001</v>
      </c>
      <c r="L507" s="61">
        <v>901.82899999999995</v>
      </c>
      <c r="M507" s="61">
        <v>1175.529</v>
      </c>
      <c r="N507" s="61">
        <v>49.372</v>
      </c>
      <c r="O507" s="71">
        <v>6.3</v>
      </c>
      <c r="P507" s="60">
        <v>202.23400000000001</v>
      </c>
      <c r="Q507" s="61">
        <v>181.67500000000001</v>
      </c>
      <c r="R507" s="61">
        <v>427.05399999999997</v>
      </c>
      <c r="S507" s="61">
        <v>832.21600000000001</v>
      </c>
      <c r="T507" s="61">
        <v>224.82499999999999</v>
      </c>
      <c r="U507" s="61">
        <v>18.077999999999999</v>
      </c>
      <c r="V507" s="61">
        <v>21.039000000000001</v>
      </c>
      <c r="W507" s="61">
        <v>141.22</v>
      </c>
      <c r="X507" s="61">
        <v>202.23400000000001</v>
      </c>
      <c r="Y507" s="61">
        <v>43.145000000000003</v>
      </c>
      <c r="Z507" s="61">
        <v>166.886</v>
      </c>
      <c r="AA507" s="61">
        <v>412.26400000000001</v>
      </c>
      <c r="AB507" s="60">
        <v>817.42600000000004</v>
      </c>
      <c r="AC507" s="62">
        <v>416.77800000000002</v>
      </c>
      <c r="AD507" s="61">
        <v>17.504999999999999</v>
      </c>
      <c r="AE507" s="61">
        <v>2.29</v>
      </c>
      <c r="AF507" s="61">
        <v>134</v>
      </c>
      <c r="AG507" s="61">
        <v>403</v>
      </c>
      <c r="AH507" s="61">
        <v>53</v>
      </c>
      <c r="AI507" s="61">
        <v>497.77800000000002</v>
      </c>
      <c r="AJ507" s="61">
        <v>20.907</v>
      </c>
      <c r="AK507" s="62">
        <v>2.7349999999999999</v>
      </c>
      <c r="AL507" s="63">
        <f t="shared" si="41"/>
        <v>20.907</v>
      </c>
      <c r="AM507" s="64">
        <v>2.7349999999999999</v>
      </c>
      <c r="AN507" s="65" t="s">
        <v>121</v>
      </c>
      <c r="AO507" s="61" t="s">
        <v>121</v>
      </c>
      <c r="AP507" s="61">
        <v>42.17</v>
      </c>
      <c r="AQ507" s="61">
        <v>1.7709999999999999</v>
      </c>
      <c r="AR507" s="61">
        <v>0.22600000000000001</v>
      </c>
      <c r="AS507" s="61" t="s">
        <v>122</v>
      </c>
      <c r="AT507" s="61">
        <v>6</v>
      </c>
      <c r="AU507" s="61">
        <v>-1</v>
      </c>
      <c r="AV507" s="61">
        <v>43.17</v>
      </c>
      <c r="AW507" s="61">
        <v>1.8129999999999999</v>
      </c>
      <c r="AX507" s="65">
        <v>0.23100000000000001</v>
      </c>
      <c r="AY507" s="66">
        <v>3.363</v>
      </c>
      <c r="AZ507" s="61">
        <v>6.49</v>
      </c>
      <c r="BA507" s="61">
        <v>43.546999999999997</v>
      </c>
      <c r="BB507" s="61">
        <v>53.401000000000003</v>
      </c>
      <c r="BC507" s="61">
        <v>3.1E-2</v>
      </c>
      <c r="BD507" s="61">
        <v>1.673</v>
      </c>
      <c r="BE507" s="61">
        <v>3.2360000000000002</v>
      </c>
      <c r="BF507" s="61">
        <v>0.1</v>
      </c>
      <c r="BG507" s="61">
        <v>6.8170000000000002</v>
      </c>
      <c r="BH507" s="61">
        <v>3.8580000000000001</v>
      </c>
      <c r="BI507" s="61">
        <v>2.0190000000000001</v>
      </c>
      <c r="BJ507" s="61">
        <v>12.694000000000001</v>
      </c>
      <c r="BK507" s="66">
        <v>17.733000000000001</v>
      </c>
      <c r="BL507" s="67">
        <v>87.584000000000003</v>
      </c>
      <c r="BM507" s="61">
        <v>6.3</v>
      </c>
      <c r="BN507" s="61">
        <v>2.7349999999999999</v>
      </c>
      <c r="BO507" s="61">
        <v>0.23100000000000001</v>
      </c>
      <c r="BP507" s="61">
        <v>96.85</v>
      </c>
      <c r="BQ507" s="61">
        <v>223.667</v>
      </c>
      <c r="BR507" s="61">
        <v>12.685</v>
      </c>
      <c r="BS507" s="61">
        <v>10.563000000000001</v>
      </c>
      <c r="BT507" s="61">
        <v>141.072</v>
      </c>
      <c r="BU507" s="61">
        <v>22.132000000000001</v>
      </c>
      <c r="BV507" s="61">
        <v>22.651</v>
      </c>
      <c r="BW507" s="61">
        <v>44.781999999999996</v>
      </c>
      <c r="BX507" s="67">
        <v>432.76900000000001</v>
      </c>
      <c r="BY507" s="68">
        <v>149892</v>
      </c>
      <c r="BZ507" s="68">
        <v>129758</v>
      </c>
      <c r="CA507" s="69">
        <v>10813</v>
      </c>
      <c r="CB507" s="68">
        <v>132608</v>
      </c>
      <c r="CC507" s="68">
        <v>34748</v>
      </c>
      <c r="CD507" s="68">
        <v>139175</v>
      </c>
      <c r="CE507" s="64"/>
      <c r="CF507" s="64"/>
      <c r="CG507" s="70">
        <f t="shared" si="37"/>
        <v>5569.5360000000001</v>
      </c>
      <c r="CH507" s="70">
        <f t="shared" si="38"/>
        <v>454.14600000000002</v>
      </c>
      <c r="CI507" s="70">
        <f t="shared" si="39"/>
        <v>1459.4159999999999</v>
      </c>
      <c r="CJ507" s="70">
        <f t="shared" si="40"/>
        <v>6295.4639999999999</v>
      </c>
      <c r="CK507" s="70">
        <f t="shared" si="40"/>
        <v>5449.8360000000002</v>
      </c>
      <c r="CL507" s="70">
        <f t="shared" si="36"/>
        <v>5845.35</v>
      </c>
      <c r="CM507" s="61"/>
      <c r="CN507" s="61"/>
      <c r="CO507" s="61"/>
      <c r="CP507" s="61"/>
      <c r="CQ507" s="61"/>
      <c r="CR507" s="61"/>
      <c r="CS507" s="61"/>
      <c r="CT507" s="61"/>
      <c r="CU507" s="61"/>
      <c r="CV507" s="61"/>
      <c r="CW507" s="61"/>
      <c r="CX507" s="61"/>
      <c r="CY507" s="61"/>
      <c r="CZ507" s="61"/>
      <c r="DA507" s="61"/>
      <c r="DB507" s="61"/>
      <c r="DC507" s="61"/>
      <c r="DD507" s="61"/>
      <c r="DE507" s="61"/>
      <c r="DF507" s="61"/>
      <c r="DG507" s="61"/>
      <c r="DH507" s="61"/>
      <c r="DI507" s="61"/>
      <c r="DJ507" s="61"/>
      <c r="DK507" s="61"/>
      <c r="DL507" s="61"/>
      <c r="DM507" s="61"/>
      <c r="DN507" s="61"/>
      <c r="DO507" s="61"/>
      <c r="DP507" s="61"/>
      <c r="DQ507" s="61"/>
      <c r="DR507" s="61"/>
      <c r="DS507" s="61"/>
      <c r="DT507" s="61"/>
      <c r="DU507" s="61"/>
      <c r="DV507" s="61"/>
      <c r="DW507" s="61"/>
      <c r="DX507" s="61"/>
      <c r="DY507" s="61"/>
      <c r="DZ507" s="61"/>
      <c r="EA507" s="61"/>
      <c r="EB507" s="61"/>
      <c r="EC507" s="61"/>
      <c r="ED507" s="61"/>
      <c r="EE507" s="61"/>
      <c r="EF507" s="61"/>
      <c r="EG507" s="61"/>
      <c r="EH507" s="61"/>
      <c r="EI507" s="61"/>
      <c r="EJ507" s="61"/>
      <c r="EK507" s="61"/>
      <c r="EL507" s="61"/>
      <c r="EM507" s="61"/>
      <c r="EN507" s="61"/>
      <c r="EO507" s="61"/>
      <c r="EP507" s="61"/>
      <c r="EQ507" s="61"/>
      <c r="ER507" s="61"/>
      <c r="ES507" s="61"/>
      <c r="ET507" s="61"/>
      <c r="EU507" s="61"/>
      <c r="EV507" s="61"/>
      <c r="EW507" s="61"/>
    </row>
    <row r="508" spans="1:153">
      <c r="A508" s="56">
        <v>42036</v>
      </c>
      <c r="B508" s="57">
        <v>2015</v>
      </c>
      <c r="C508" s="71">
        <v>10.055999999999999</v>
      </c>
      <c r="D508" s="61">
        <v>0.13700000000000001</v>
      </c>
      <c r="E508" s="61">
        <v>1850.855</v>
      </c>
      <c r="F508" s="61">
        <v>77.736000000000004</v>
      </c>
      <c r="G508" s="61">
        <v>9.9190000000000005</v>
      </c>
      <c r="H508" s="61">
        <v>526</v>
      </c>
      <c r="I508" s="61">
        <v>23.384</v>
      </c>
      <c r="J508" s="61">
        <v>502.61599999999999</v>
      </c>
      <c r="K508" s="61">
        <v>4244.5129999999999</v>
      </c>
      <c r="L508" s="61">
        <v>212.066</v>
      </c>
      <c r="M508" s="61">
        <v>2141.4050000000002</v>
      </c>
      <c r="N508" s="61">
        <v>89.938999999999993</v>
      </c>
      <c r="O508" s="71">
        <v>11.476000000000001</v>
      </c>
      <c r="P508" s="60">
        <v>182.56100000000001</v>
      </c>
      <c r="Q508" s="61">
        <v>164.88800000000001</v>
      </c>
      <c r="R508" s="61">
        <v>385.88499999999999</v>
      </c>
      <c r="S508" s="61">
        <v>774.09500000000003</v>
      </c>
      <c r="T508" s="61">
        <v>207.57300000000001</v>
      </c>
      <c r="U508" s="61">
        <v>16.608000000000001</v>
      </c>
      <c r="V508" s="61">
        <v>25.05</v>
      </c>
      <c r="W508" s="61">
        <v>138.97900000000001</v>
      </c>
      <c r="X508" s="61">
        <v>182.56100000000001</v>
      </c>
      <c r="Y508" s="61">
        <v>38.436</v>
      </c>
      <c r="Z508" s="61">
        <v>160.59200000000001</v>
      </c>
      <c r="AA508" s="61">
        <v>381.589</v>
      </c>
      <c r="AB508" s="60">
        <v>769.79899999999998</v>
      </c>
      <c r="AC508" s="62">
        <v>320.97800000000001</v>
      </c>
      <c r="AD508" s="61">
        <v>13.481</v>
      </c>
      <c r="AE508" s="61">
        <v>1.7629999999999999</v>
      </c>
      <c r="AF508" s="61">
        <v>199</v>
      </c>
      <c r="AG508" s="61">
        <v>382</v>
      </c>
      <c r="AH508" s="61">
        <v>-21</v>
      </c>
      <c r="AI508" s="61">
        <v>540.97799999999995</v>
      </c>
      <c r="AJ508" s="61">
        <v>22.721</v>
      </c>
      <c r="AK508" s="62">
        <v>2.972</v>
      </c>
      <c r="AL508" s="63">
        <f t="shared" si="41"/>
        <v>22.721</v>
      </c>
      <c r="AM508" s="64">
        <v>2.972</v>
      </c>
      <c r="AN508" s="65" t="s">
        <v>121</v>
      </c>
      <c r="AO508" s="61" t="s">
        <v>121</v>
      </c>
      <c r="AP508" s="61">
        <v>32.125</v>
      </c>
      <c r="AQ508" s="61">
        <v>1.349</v>
      </c>
      <c r="AR508" s="61">
        <v>0.17199999999999999</v>
      </c>
      <c r="AS508" s="61" t="s">
        <v>122</v>
      </c>
      <c r="AT508" s="61">
        <v>8</v>
      </c>
      <c r="AU508" s="61">
        <v>2</v>
      </c>
      <c r="AV508" s="61">
        <v>30.125</v>
      </c>
      <c r="AW508" s="61">
        <v>1.2649999999999999</v>
      </c>
      <c r="AX508" s="65">
        <v>0.161</v>
      </c>
      <c r="AY508" s="66">
        <v>3.0379999999999998</v>
      </c>
      <c r="AZ508" s="61">
        <v>7.1239999999999997</v>
      </c>
      <c r="BA508" s="61">
        <v>39.332999999999998</v>
      </c>
      <c r="BB508" s="61">
        <v>49.494999999999997</v>
      </c>
      <c r="BC508" s="61">
        <v>2.4E-2</v>
      </c>
      <c r="BD508" s="61">
        <v>1.5109999999999999</v>
      </c>
      <c r="BE508" s="61">
        <v>3.5329999999999999</v>
      </c>
      <c r="BF508" s="61">
        <v>8.6999999999999994E-2</v>
      </c>
      <c r="BG508" s="61">
        <v>6.181</v>
      </c>
      <c r="BH508" s="61">
        <v>3.3919999999999999</v>
      </c>
      <c r="BI508" s="61">
        <v>1.907</v>
      </c>
      <c r="BJ508" s="61">
        <v>11.48</v>
      </c>
      <c r="BK508" s="66">
        <v>16.635000000000002</v>
      </c>
      <c r="BL508" s="67">
        <v>82.738</v>
      </c>
      <c r="BM508" s="61">
        <v>11.476000000000001</v>
      </c>
      <c r="BN508" s="61">
        <v>2.972</v>
      </c>
      <c r="BO508" s="61">
        <v>0.161</v>
      </c>
      <c r="BP508" s="61">
        <v>97.346999999999994</v>
      </c>
      <c r="BQ508" s="61">
        <v>206.57400000000001</v>
      </c>
      <c r="BR508" s="61">
        <v>11.737</v>
      </c>
      <c r="BS508" s="61">
        <v>13.592000000000001</v>
      </c>
      <c r="BT508" s="61">
        <v>138.85</v>
      </c>
      <c r="BU508" s="61">
        <v>20.920999999999999</v>
      </c>
      <c r="BV508" s="61">
        <v>20.486000000000001</v>
      </c>
      <c r="BW508" s="61">
        <v>41.406999999999996</v>
      </c>
      <c r="BX508" s="67">
        <v>412.16</v>
      </c>
      <c r="BY508" s="68">
        <v>133066</v>
      </c>
      <c r="BZ508" s="68">
        <v>127659</v>
      </c>
      <c r="CA508" s="69">
        <v>10851</v>
      </c>
      <c r="CB508" s="68">
        <v>123608</v>
      </c>
      <c r="CC508" s="68">
        <v>26410</v>
      </c>
      <c r="CD508" s="68">
        <v>122885</v>
      </c>
      <c r="CE508" s="64"/>
      <c r="CF508" s="64"/>
      <c r="CG508" s="70">
        <f t="shared" si="37"/>
        <v>5191.5360000000001</v>
      </c>
      <c r="CH508" s="70">
        <f t="shared" si="38"/>
        <v>455.74200000000002</v>
      </c>
      <c r="CI508" s="70">
        <f t="shared" si="39"/>
        <v>1109.22</v>
      </c>
      <c r="CJ508" s="70">
        <f t="shared" si="40"/>
        <v>5588.7719999999999</v>
      </c>
      <c r="CK508" s="70">
        <f t="shared" si="40"/>
        <v>5361.6779999999999</v>
      </c>
      <c r="CL508" s="70">
        <f t="shared" si="36"/>
        <v>5161.17</v>
      </c>
      <c r="CM508" s="61"/>
      <c r="CN508" s="61"/>
      <c r="CO508" s="61"/>
      <c r="CP508" s="61"/>
      <c r="CQ508" s="61"/>
      <c r="CR508" s="61"/>
      <c r="CS508" s="61"/>
      <c r="CT508" s="61"/>
      <c r="CU508" s="61"/>
      <c r="CV508" s="61"/>
      <c r="CW508" s="61"/>
      <c r="CX508" s="61"/>
      <c r="CY508" s="61"/>
      <c r="CZ508" s="61"/>
      <c r="DA508" s="61"/>
      <c r="DB508" s="61"/>
      <c r="DC508" s="61"/>
      <c r="DD508" s="61"/>
      <c r="DE508" s="61"/>
      <c r="DF508" s="61"/>
      <c r="DG508" s="61"/>
      <c r="DH508" s="61"/>
      <c r="DI508" s="61"/>
      <c r="DJ508" s="61"/>
      <c r="DK508" s="61"/>
      <c r="DL508" s="61"/>
      <c r="DM508" s="61"/>
      <c r="DN508" s="61"/>
      <c r="DO508" s="61"/>
      <c r="DP508" s="61"/>
      <c r="DQ508" s="61"/>
      <c r="DR508" s="61"/>
      <c r="DS508" s="61"/>
      <c r="DT508" s="61"/>
      <c r="DU508" s="61"/>
      <c r="DV508" s="61"/>
      <c r="DW508" s="61"/>
      <c r="DX508" s="61"/>
      <c r="DY508" s="61"/>
      <c r="DZ508" s="61"/>
      <c r="EA508" s="61"/>
      <c r="EB508" s="61"/>
      <c r="EC508" s="61"/>
      <c r="ED508" s="61"/>
      <c r="EE508" s="61"/>
      <c r="EF508" s="61"/>
      <c r="EG508" s="61"/>
      <c r="EH508" s="61"/>
      <c r="EI508" s="61"/>
      <c r="EJ508" s="61"/>
      <c r="EK508" s="61"/>
      <c r="EL508" s="61"/>
      <c r="EM508" s="61"/>
      <c r="EN508" s="61"/>
      <c r="EO508" s="61"/>
      <c r="EP508" s="61"/>
      <c r="EQ508" s="61"/>
      <c r="ER508" s="61"/>
      <c r="ES508" s="61"/>
      <c r="ET508" s="61"/>
      <c r="EU508" s="61"/>
      <c r="EV508" s="61"/>
      <c r="EW508" s="61"/>
    </row>
    <row r="509" spans="1:153">
      <c r="A509" s="56">
        <v>42064</v>
      </c>
      <c r="B509" s="57">
        <v>2015</v>
      </c>
      <c r="C509" s="71">
        <v>12.635</v>
      </c>
      <c r="D509" s="61">
        <v>0.17199999999999999</v>
      </c>
      <c r="E509" s="61">
        <v>2325.5450000000001</v>
      </c>
      <c r="F509" s="61">
        <v>97.673000000000002</v>
      </c>
      <c r="G509" s="61">
        <v>12.462999999999999</v>
      </c>
      <c r="H509" s="61">
        <v>340</v>
      </c>
      <c r="I509" s="61">
        <v>190.709</v>
      </c>
      <c r="J509" s="61">
        <v>149.291</v>
      </c>
      <c r="K509" s="61">
        <v>4244.0209999999997</v>
      </c>
      <c r="L509" s="61">
        <v>-0.49199999999999999</v>
      </c>
      <c r="M509" s="61">
        <v>2475.328</v>
      </c>
      <c r="N509" s="61">
        <v>103.964</v>
      </c>
      <c r="O509" s="71">
        <v>13.265000000000001</v>
      </c>
      <c r="P509" s="60">
        <v>192.63900000000001</v>
      </c>
      <c r="Q509" s="61">
        <v>183.13200000000001</v>
      </c>
      <c r="R509" s="61">
        <v>418.601</v>
      </c>
      <c r="S509" s="61">
        <v>840.61800000000005</v>
      </c>
      <c r="T509" s="61">
        <v>226.15199999999999</v>
      </c>
      <c r="U509" s="61">
        <v>18.376999999999999</v>
      </c>
      <c r="V509" s="61">
        <v>34.909999999999997</v>
      </c>
      <c r="W509" s="61">
        <v>142.578</v>
      </c>
      <c r="X509" s="61">
        <v>192.63900000000001</v>
      </c>
      <c r="Y509" s="61">
        <v>42.831000000000003</v>
      </c>
      <c r="Z509" s="61">
        <v>179.01499999999999</v>
      </c>
      <c r="AA509" s="61">
        <v>414.48500000000001</v>
      </c>
      <c r="AB509" s="60">
        <v>836.50099999999998</v>
      </c>
      <c r="AC509" s="62">
        <v>383.57</v>
      </c>
      <c r="AD509" s="61">
        <v>16.11</v>
      </c>
      <c r="AE509" s="61">
        <v>2.1070000000000002</v>
      </c>
      <c r="AF509" s="61">
        <v>429</v>
      </c>
      <c r="AG509" s="61">
        <v>532</v>
      </c>
      <c r="AH509" s="61">
        <v>150</v>
      </c>
      <c r="AI509" s="61">
        <v>662.57</v>
      </c>
      <c r="AJ509" s="61">
        <v>27.827999999999999</v>
      </c>
      <c r="AK509" s="62">
        <v>3.64</v>
      </c>
      <c r="AL509" s="63">
        <f t="shared" si="41"/>
        <v>27.827999999999999</v>
      </c>
      <c r="AM509" s="64">
        <v>3.64</v>
      </c>
      <c r="AN509" s="65" t="s">
        <v>121</v>
      </c>
      <c r="AO509" s="61" t="s">
        <v>121</v>
      </c>
      <c r="AP509" s="61">
        <v>27.091000000000001</v>
      </c>
      <c r="AQ509" s="61">
        <v>1.1379999999999999</v>
      </c>
      <c r="AR509" s="61">
        <v>0.14499999999999999</v>
      </c>
      <c r="AS509" s="61" t="s">
        <v>122</v>
      </c>
      <c r="AT509" s="61" t="s">
        <v>122</v>
      </c>
      <c r="AU509" s="61">
        <v>-8</v>
      </c>
      <c r="AV509" s="61">
        <v>35.091000000000001</v>
      </c>
      <c r="AW509" s="61">
        <v>1.474</v>
      </c>
      <c r="AX509" s="65">
        <v>0.188</v>
      </c>
      <c r="AY509" s="66">
        <v>3.363</v>
      </c>
      <c r="AZ509" s="61">
        <v>10.038</v>
      </c>
      <c r="BA509" s="61">
        <v>43.546999999999997</v>
      </c>
      <c r="BB509" s="61">
        <v>56.948999999999998</v>
      </c>
      <c r="BC509" s="61">
        <v>2.5000000000000001E-2</v>
      </c>
      <c r="BD509" s="61">
        <v>1.673</v>
      </c>
      <c r="BE509" s="61">
        <v>4.766</v>
      </c>
      <c r="BF509" s="61">
        <v>9.5000000000000001E-2</v>
      </c>
      <c r="BG509" s="61">
        <v>6.7370000000000001</v>
      </c>
      <c r="BH509" s="61">
        <v>3.8820000000000001</v>
      </c>
      <c r="BI509" s="61">
        <v>2.1269999999999998</v>
      </c>
      <c r="BJ509" s="61">
        <v>12.746</v>
      </c>
      <c r="BK509" s="66">
        <v>19.305</v>
      </c>
      <c r="BL509" s="67">
        <v>92.26</v>
      </c>
      <c r="BM509" s="61">
        <v>13.265000000000001</v>
      </c>
      <c r="BN509" s="61">
        <v>3.64</v>
      </c>
      <c r="BO509" s="61">
        <v>0.188</v>
      </c>
      <c r="BP509" s="61">
        <v>109.35299999999999</v>
      </c>
      <c r="BQ509" s="61">
        <v>224.91399999999999</v>
      </c>
      <c r="BR509" s="61">
        <v>12.984</v>
      </c>
      <c r="BS509" s="61">
        <v>18.975999999999999</v>
      </c>
      <c r="BT509" s="61">
        <v>142.43899999999999</v>
      </c>
      <c r="BU509" s="61">
        <v>20.609000000000002</v>
      </c>
      <c r="BV509" s="61">
        <v>22.402999999999999</v>
      </c>
      <c r="BW509" s="61">
        <v>43.011000000000003</v>
      </c>
      <c r="BX509" s="67">
        <v>442.32400000000001</v>
      </c>
      <c r="BY509" s="68">
        <v>151705</v>
      </c>
      <c r="BZ509" s="68">
        <v>126423</v>
      </c>
      <c r="CA509" s="69">
        <v>10029</v>
      </c>
      <c r="CB509" s="68">
        <v>128692</v>
      </c>
      <c r="CC509" s="68">
        <v>31549</v>
      </c>
      <c r="CD509" s="68">
        <v>140317</v>
      </c>
      <c r="CE509" s="64"/>
      <c r="CF509" s="64"/>
      <c r="CG509" s="70">
        <f t="shared" si="37"/>
        <v>5405.0640000000003</v>
      </c>
      <c r="CH509" s="70">
        <f t="shared" si="38"/>
        <v>421.21800000000002</v>
      </c>
      <c r="CI509" s="70">
        <f t="shared" si="39"/>
        <v>1325.058</v>
      </c>
      <c r="CJ509" s="70">
        <f t="shared" si="40"/>
        <v>6371.61</v>
      </c>
      <c r="CK509" s="70">
        <f t="shared" si="40"/>
        <v>5309.7659999999996</v>
      </c>
      <c r="CL509" s="70">
        <f t="shared" ref="CL509:CL572" si="42">CD509*42/1000</f>
        <v>5893.3140000000003</v>
      </c>
      <c r="CM509" s="61"/>
      <c r="CN509" s="61"/>
      <c r="CO509" s="61"/>
      <c r="CP509" s="61"/>
      <c r="CQ509" s="61"/>
      <c r="CR509" s="61"/>
      <c r="CS509" s="61"/>
      <c r="CT509" s="61"/>
      <c r="CU509" s="61"/>
      <c r="CV509" s="61"/>
      <c r="CW509" s="61"/>
      <c r="CX509" s="61"/>
      <c r="CY509" s="61"/>
      <c r="CZ509" s="61"/>
      <c r="DA509" s="61"/>
      <c r="DB509" s="61"/>
      <c r="DC509" s="61"/>
      <c r="DD509" s="61"/>
      <c r="DE509" s="61"/>
      <c r="DF509" s="61"/>
      <c r="DG509" s="61"/>
      <c r="DH509" s="61"/>
      <c r="DI509" s="61"/>
      <c r="DJ509" s="61"/>
      <c r="DK509" s="61"/>
      <c r="DL509" s="61"/>
      <c r="DM509" s="61"/>
      <c r="DN509" s="61"/>
      <c r="DO509" s="61"/>
      <c r="DP509" s="61"/>
      <c r="DQ509" s="61"/>
      <c r="DR509" s="61"/>
      <c r="DS509" s="61"/>
      <c r="DT509" s="61"/>
      <c r="DU509" s="61"/>
      <c r="DV509" s="61"/>
      <c r="DW509" s="61"/>
      <c r="DX509" s="61"/>
      <c r="DY509" s="61"/>
      <c r="DZ509" s="61"/>
      <c r="EA509" s="61"/>
      <c r="EB509" s="61"/>
      <c r="EC509" s="61"/>
      <c r="ED509" s="61"/>
      <c r="EE509" s="61"/>
      <c r="EF509" s="61"/>
      <c r="EG509" s="61"/>
      <c r="EH509" s="61"/>
      <c r="EI509" s="61"/>
      <c r="EJ509" s="61"/>
      <c r="EK509" s="61"/>
      <c r="EL509" s="61"/>
      <c r="EM509" s="61"/>
      <c r="EN509" s="61"/>
      <c r="EO509" s="61"/>
      <c r="EP509" s="61"/>
      <c r="EQ509" s="61"/>
      <c r="ER509" s="61"/>
      <c r="ES509" s="61"/>
      <c r="ET509" s="61"/>
      <c r="EU509" s="61"/>
      <c r="EV509" s="61"/>
      <c r="EW509" s="61"/>
    </row>
    <row r="510" spans="1:153">
      <c r="A510" s="56">
        <v>42095</v>
      </c>
      <c r="B510" s="57">
        <v>2015</v>
      </c>
      <c r="C510" s="71">
        <v>13.951000000000001</v>
      </c>
      <c r="D510" s="61">
        <v>0.19</v>
      </c>
      <c r="E510" s="61">
        <v>2567.8490000000002</v>
      </c>
      <c r="F510" s="61">
        <v>107.85</v>
      </c>
      <c r="G510" s="61">
        <v>13.760999999999999</v>
      </c>
      <c r="H510" s="61">
        <v>330</v>
      </c>
      <c r="I510" s="61">
        <v>240.14099999999999</v>
      </c>
      <c r="J510" s="61">
        <v>89.858999999999995</v>
      </c>
      <c r="K510" s="61">
        <v>4070.6350000000002</v>
      </c>
      <c r="L510" s="61">
        <v>-173.386</v>
      </c>
      <c r="M510" s="61">
        <v>2831.0940000000001</v>
      </c>
      <c r="N510" s="61">
        <v>118.90600000000001</v>
      </c>
      <c r="O510" s="71">
        <v>15.172000000000001</v>
      </c>
      <c r="P510" s="60">
        <v>187.51</v>
      </c>
      <c r="Q510" s="61">
        <v>175.482</v>
      </c>
      <c r="R510" s="61">
        <v>404.64499999999998</v>
      </c>
      <c r="S510" s="61">
        <v>836.98199999999997</v>
      </c>
      <c r="T510" s="61">
        <v>209.29499999999999</v>
      </c>
      <c r="U510" s="61">
        <v>17.071000000000002</v>
      </c>
      <c r="V510" s="61">
        <v>39.557000000000002</v>
      </c>
      <c r="W510" s="61">
        <v>166.41499999999999</v>
      </c>
      <c r="X510" s="61">
        <v>187.51</v>
      </c>
      <c r="Y510" s="61">
        <v>41.652000000000001</v>
      </c>
      <c r="Z510" s="61">
        <v>173.571</v>
      </c>
      <c r="AA510" s="61">
        <v>402.73399999999998</v>
      </c>
      <c r="AB510" s="60">
        <v>835.07100000000003</v>
      </c>
      <c r="AC510" s="62">
        <v>374.58699999999999</v>
      </c>
      <c r="AD510" s="61">
        <v>15.733000000000001</v>
      </c>
      <c r="AE510" s="61">
        <v>2.0579999999999998</v>
      </c>
      <c r="AF510" s="61">
        <v>266</v>
      </c>
      <c r="AG510" s="61">
        <v>467</v>
      </c>
      <c r="AH510" s="61">
        <v>-65</v>
      </c>
      <c r="AI510" s="61">
        <v>705.58699999999999</v>
      </c>
      <c r="AJ510" s="61">
        <v>29.635000000000002</v>
      </c>
      <c r="AK510" s="62">
        <v>3.8759999999999999</v>
      </c>
      <c r="AL510" s="63">
        <f t="shared" si="41"/>
        <v>29.635000000000002</v>
      </c>
      <c r="AM510" s="64">
        <v>3.8759999999999999</v>
      </c>
      <c r="AN510" s="65" t="s">
        <v>121</v>
      </c>
      <c r="AO510" s="61" t="s">
        <v>121</v>
      </c>
      <c r="AP510" s="61">
        <v>29.681000000000001</v>
      </c>
      <c r="AQ510" s="61">
        <v>1.2470000000000001</v>
      </c>
      <c r="AR510" s="61">
        <v>0.159</v>
      </c>
      <c r="AS510" s="61" t="s">
        <v>122</v>
      </c>
      <c r="AT510" s="61" t="s">
        <v>122</v>
      </c>
      <c r="AU510" s="61">
        <v>0</v>
      </c>
      <c r="AV510" s="61">
        <v>29.681000000000001</v>
      </c>
      <c r="AW510" s="61">
        <v>1.2470000000000001</v>
      </c>
      <c r="AX510" s="65">
        <v>0.159</v>
      </c>
      <c r="AY510" s="66">
        <v>3.2549999999999999</v>
      </c>
      <c r="AZ510" s="61">
        <v>11.305999999999999</v>
      </c>
      <c r="BA510" s="61">
        <v>42.143000000000001</v>
      </c>
      <c r="BB510" s="61">
        <v>56.704000000000001</v>
      </c>
      <c r="BC510" s="61">
        <v>2.5000000000000001E-2</v>
      </c>
      <c r="BD510" s="61">
        <v>1.619</v>
      </c>
      <c r="BE510" s="61">
        <v>5.2510000000000003</v>
      </c>
      <c r="BF510" s="61">
        <v>0.106</v>
      </c>
      <c r="BG510" s="61">
        <v>6.5179999999999998</v>
      </c>
      <c r="BH510" s="61">
        <v>3.859</v>
      </c>
      <c r="BI510" s="61">
        <v>2.036</v>
      </c>
      <c r="BJ510" s="61">
        <v>12.414</v>
      </c>
      <c r="BK510" s="66">
        <v>19.416</v>
      </c>
      <c r="BL510" s="67">
        <v>88.334999999999994</v>
      </c>
      <c r="BM510" s="61">
        <v>15.172000000000001</v>
      </c>
      <c r="BN510" s="61">
        <v>3.8759999999999999</v>
      </c>
      <c r="BO510" s="61">
        <v>0.159</v>
      </c>
      <c r="BP510" s="61">
        <v>107.542</v>
      </c>
      <c r="BQ510" s="61">
        <v>207.98699999999999</v>
      </c>
      <c r="BR510" s="61">
        <v>11.851000000000001</v>
      </c>
      <c r="BS510" s="61">
        <v>21.774000000000001</v>
      </c>
      <c r="BT510" s="61">
        <v>166.25899999999999</v>
      </c>
      <c r="BU510" s="61">
        <v>17.821000000000002</v>
      </c>
      <c r="BV510" s="61">
        <v>21.821999999999999</v>
      </c>
      <c r="BW510" s="61">
        <v>39.643999999999998</v>
      </c>
      <c r="BX510" s="67">
        <v>447.51499999999999</v>
      </c>
      <c r="BY510" s="68">
        <v>149743</v>
      </c>
      <c r="BZ510" s="68">
        <v>120822</v>
      </c>
      <c r="CA510" s="69">
        <v>7294</v>
      </c>
      <c r="CB510" s="68">
        <v>129776</v>
      </c>
      <c r="CC510" s="68">
        <v>36575</v>
      </c>
      <c r="CD510" s="68">
        <v>138960</v>
      </c>
      <c r="CE510" s="64"/>
      <c r="CF510" s="64"/>
      <c r="CG510" s="70">
        <f t="shared" si="37"/>
        <v>5450.5919999999996</v>
      </c>
      <c r="CH510" s="70">
        <f t="shared" si="38"/>
        <v>306.34800000000001</v>
      </c>
      <c r="CI510" s="70">
        <f t="shared" si="39"/>
        <v>1536.15</v>
      </c>
      <c r="CJ510" s="70">
        <f t="shared" si="40"/>
        <v>6289.2060000000001</v>
      </c>
      <c r="CK510" s="70">
        <f t="shared" si="40"/>
        <v>5074.5240000000003</v>
      </c>
      <c r="CL510" s="70">
        <f t="shared" si="42"/>
        <v>5836.32</v>
      </c>
      <c r="CM510" s="61"/>
      <c r="CN510" s="61"/>
      <c r="CO510" s="61"/>
      <c r="CP510" s="61"/>
      <c r="CQ510" s="61"/>
      <c r="CR510" s="61"/>
      <c r="CS510" s="61"/>
      <c r="CT510" s="61"/>
      <c r="CU510" s="61"/>
      <c r="CV510" s="61"/>
      <c r="CW510" s="61"/>
      <c r="CX510" s="61"/>
      <c r="CY510" s="61"/>
      <c r="CZ510" s="61"/>
      <c r="DA510" s="61"/>
      <c r="DB510" s="61"/>
      <c r="DC510" s="61"/>
      <c r="DD510" s="61"/>
      <c r="DE510" s="61"/>
      <c r="DF510" s="61"/>
      <c r="DG510" s="61"/>
      <c r="DH510" s="61"/>
      <c r="DI510" s="61"/>
      <c r="DJ510" s="61"/>
      <c r="DK510" s="61"/>
      <c r="DL510" s="61"/>
      <c r="DM510" s="61"/>
      <c r="DN510" s="61"/>
      <c r="DO510" s="61"/>
      <c r="DP510" s="61"/>
      <c r="DQ510" s="61"/>
      <c r="DR510" s="61"/>
      <c r="DS510" s="61"/>
      <c r="DT510" s="61"/>
      <c r="DU510" s="61"/>
      <c r="DV510" s="61"/>
      <c r="DW510" s="61"/>
      <c r="DX510" s="61"/>
      <c r="DY510" s="61"/>
      <c r="DZ510" s="61"/>
      <c r="EA510" s="61"/>
      <c r="EB510" s="61"/>
      <c r="EC510" s="61"/>
      <c r="ED510" s="61"/>
      <c r="EE510" s="61"/>
      <c r="EF510" s="61"/>
      <c r="EG510" s="61"/>
      <c r="EH510" s="61"/>
      <c r="EI510" s="61"/>
      <c r="EJ510" s="61"/>
      <c r="EK510" s="61"/>
      <c r="EL510" s="61"/>
      <c r="EM510" s="61"/>
      <c r="EN510" s="61"/>
      <c r="EO510" s="61"/>
      <c r="EP510" s="61"/>
      <c r="EQ510" s="61"/>
      <c r="ER510" s="61"/>
      <c r="ES510" s="61"/>
      <c r="ET510" s="61"/>
      <c r="EU510" s="61"/>
      <c r="EV510" s="61"/>
      <c r="EW510" s="61"/>
    </row>
    <row r="511" spans="1:153">
      <c r="A511" s="56">
        <v>42125</v>
      </c>
      <c r="B511" s="57">
        <v>2015</v>
      </c>
      <c r="C511" s="71">
        <v>15.127000000000001</v>
      </c>
      <c r="D511" s="61">
        <v>0.20599999999999999</v>
      </c>
      <c r="E511" s="61">
        <v>2784.297</v>
      </c>
      <c r="F511" s="61">
        <v>116.94</v>
      </c>
      <c r="G511" s="61">
        <v>14.920999999999999</v>
      </c>
      <c r="H511" s="61">
        <v>336</v>
      </c>
      <c r="I511" s="61">
        <v>254.77199999999999</v>
      </c>
      <c r="J511" s="61">
        <v>81.227999999999994</v>
      </c>
      <c r="K511" s="61">
        <v>3599.2579999999998</v>
      </c>
      <c r="L511" s="61">
        <v>-471.37700000000001</v>
      </c>
      <c r="M511" s="61">
        <v>3336.902</v>
      </c>
      <c r="N511" s="61">
        <v>140.15</v>
      </c>
      <c r="O511" s="71">
        <v>17.882000000000001</v>
      </c>
      <c r="P511" s="60">
        <v>193.15899999999999</v>
      </c>
      <c r="Q511" s="61">
        <v>186.80500000000001</v>
      </c>
      <c r="R511" s="61">
        <v>422.303</v>
      </c>
      <c r="S511" s="61">
        <v>830.35599999999999</v>
      </c>
      <c r="T511" s="61">
        <v>187.44800000000001</v>
      </c>
      <c r="U511" s="61">
        <v>18.341000000000001</v>
      </c>
      <c r="V511" s="61">
        <v>42.515999999999998</v>
      </c>
      <c r="W511" s="61">
        <v>159.74799999999999</v>
      </c>
      <c r="X511" s="61">
        <v>193.15899999999999</v>
      </c>
      <c r="Y511" s="61">
        <v>42.338999999999999</v>
      </c>
      <c r="Z511" s="61">
        <v>188.596</v>
      </c>
      <c r="AA511" s="61">
        <v>424.09399999999999</v>
      </c>
      <c r="AB511" s="60">
        <v>832.14700000000005</v>
      </c>
      <c r="AC511" s="62">
        <v>374.79</v>
      </c>
      <c r="AD511" s="61">
        <v>15.741</v>
      </c>
      <c r="AE511" s="61">
        <v>2.0590000000000002</v>
      </c>
      <c r="AF511" s="61">
        <v>539</v>
      </c>
      <c r="AG511" s="61">
        <v>716</v>
      </c>
      <c r="AH511" s="61">
        <v>249</v>
      </c>
      <c r="AI511" s="61">
        <v>664.79</v>
      </c>
      <c r="AJ511" s="61">
        <v>27.920999999999999</v>
      </c>
      <c r="AK511" s="62">
        <v>3.6520000000000001</v>
      </c>
      <c r="AL511" s="63">
        <f t="shared" si="41"/>
        <v>27.920999999999999</v>
      </c>
      <c r="AM511" s="64">
        <v>3.6520000000000001</v>
      </c>
      <c r="AN511" s="65" t="s">
        <v>121</v>
      </c>
      <c r="AO511" s="61" t="s">
        <v>121</v>
      </c>
      <c r="AP511" s="61">
        <v>35.915999999999997</v>
      </c>
      <c r="AQ511" s="61">
        <v>1.508</v>
      </c>
      <c r="AR511" s="61">
        <v>0.192</v>
      </c>
      <c r="AS511" s="61" t="s">
        <v>122</v>
      </c>
      <c r="AT511" s="61">
        <v>4</v>
      </c>
      <c r="AU511" s="61">
        <v>4</v>
      </c>
      <c r="AV511" s="61">
        <v>31.916</v>
      </c>
      <c r="AW511" s="61">
        <v>1.34</v>
      </c>
      <c r="AX511" s="65">
        <v>0.17100000000000001</v>
      </c>
      <c r="AY511" s="66">
        <v>3.363</v>
      </c>
      <c r="AZ511" s="61">
        <v>12.507999999999999</v>
      </c>
      <c r="BA511" s="61">
        <v>43.546999999999997</v>
      </c>
      <c r="BB511" s="61">
        <v>59.418999999999997</v>
      </c>
      <c r="BC511" s="61">
        <v>2.4E-2</v>
      </c>
      <c r="BD511" s="61">
        <v>1.673</v>
      </c>
      <c r="BE511" s="61">
        <v>5.77</v>
      </c>
      <c r="BF511" s="61">
        <v>9.7000000000000003E-2</v>
      </c>
      <c r="BG511" s="61">
        <v>6.5759999999999996</v>
      </c>
      <c r="BH511" s="61">
        <v>4.0069999999999997</v>
      </c>
      <c r="BI511" s="61">
        <v>2.226</v>
      </c>
      <c r="BJ511" s="61">
        <v>12.808999999999999</v>
      </c>
      <c r="BK511" s="66">
        <v>20.372</v>
      </c>
      <c r="BL511" s="67">
        <v>96.563999999999993</v>
      </c>
      <c r="BM511" s="61">
        <v>17.882000000000001</v>
      </c>
      <c r="BN511" s="61">
        <v>3.6520000000000001</v>
      </c>
      <c r="BO511" s="61">
        <v>0.17100000000000001</v>
      </c>
      <c r="BP511" s="61">
        <v>118.27</v>
      </c>
      <c r="BQ511" s="61">
        <v>186.23699999999999</v>
      </c>
      <c r="BR511" s="61">
        <v>12.948</v>
      </c>
      <c r="BS511" s="61">
        <v>22.876000000000001</v>
      </c>
      <c r="BT511" s="61">
        <v>159.608</v>
      </c>
      <c r="BU511" s="61">
        <v>18.431000000000001</v>
      </c>
      <c r="BV511" s="61">
        <v>22.969000000000001</v>
      </c>
      <c r="BW511" s="61">
        <v>41.4</v>
      </c>
      <c r="BX511" s="67">
        <v>423.06900000000002</v>
      </c>
      <c r="BY511" s="68">
        <v>154467</v>
      </c>
      <c r="BZ511" s="68">
        <v>117104</v>
      </c>
      <c r="CA511" s="69">
        <v>5936</v>
      </c>
      <c r="CB511" s="68">
        <v>135402</v>
      </c>
      <c r="CC511" s="68">
        <v>39694</v>
      </c>
      <c r="CD511" s="68">
        <v>143017</v>
      </c>
      <c r="CE511" s="64"/>
      <c r="CF511" s="64"/>
      <c r="CG511" s="70">
        <f t="shared" si="37"/>
        <v>5686.884</v>
      </c>
      <c r="CH511" s="70">
        <f t="shared" si="38"/>
        <v>249.31200000000001</v>
      </c>
      <c r="CI511" s="70">
        <f t="shared" si="39"/>
        <v>1667.1479999999999</v>
      </c>
      <c r="CJ511" s="70">
        <f t="shared" si="40"/>
        <v>6487.6139999999996</v>
      </c>
      <c r="CK511" s="70">
        <f t="shared" si="40"/>
        <v>4918.3680000000004</v>
      </c>
      <c r="CL511" s="70">
        <f t="shared" si="42"/>
        <v>6006.7139999999999</v>
      </c>
      <c r="CM511" s="61"/>
      <c r="CN511" s="61"/>
      <c r="CO511" s="61"/>
      <c r="CP511" s="61"/>
      <c r="CQ511" s="61"/>
      <c r="CR511" s="61"/>
      <c r="CS511" s="61"/>
      <c r="CT511" s="61"/>
      <c r="CU511" s="61"/>
      <c r="CV511" s="61"/>
      <c r="CW511" s="61"/>
      <c r="CX511" s="61"/>
      <c r="CY511" s="61"/>
      <c r="CZ511" s="61"/>
      <c r="DA511" s="61"/>
      <c r="DB511" s="61"/>
      <c r="DC511" s="61"/>
      <c r="DD511" s="61"/>
      <c r="DE511" s="61"/>
      <c r="DF511" s="61"/>
      <c r="DG511" s="61"/>
      <c r="DH511" s="61"/>
      <c r="DI511" s="61"/>
      <c r="DJ511" s="61"/>
      <c r="DK511" s="61"/>
      <c r="DL511" s="61"/>
      <c r="DM511" s="61"/>
      <c r="DN511" s="61"/>
      <c r="DO511" s="61"/>
      <c r="DP511" s="61"/>
      <c r="DQ511" s="61"/>
      <c r="DR511" s="61"/>
      <c r="DS511" s="61"/>
      <c r="DT511" s="61"/>
      <c r="DU511" s="61"/>
      <c r="DV511" s="61"/>
      <c r="DW511" s="61"/>
      <c r="DX511" s="61"/>
      <c r="DY511" s="61"/>
      <c r="DZ511" s="61"/>
      <c r="EA511" s="61"/>
      <c r="EB511" s="61"/>
      <c r="EC511" s="61"/>
      <c r="ED511" s="61"/>
      <c r="EE511" s="61"/>
      <c r="EF511" s="61"/>
      <c r="EG511" s="61"/>
      <c r="EH511" s="61"/>
      <c r="EI511" s="61"/>
      <c r="EJ511" s="61"/>
      <c r="EK511" s="61"/>
      <c r="EL511" s="61"/>
      <c r="EM511" s="61"/>
      <c r="EN511" s="61"/>
      <c r="EO511" s="61"/>
      <c r="EP511" s="61"/>
      <c r="EQ511" s="61"/>
      <c r="ER511" s="61"/>
      <c r="ES511" s="61"/>
      <c r="ET511" s="61"/>
      <c r="EU511" s="61"/>
      <c r="EV511" s="61"/>
      <c r="EW511" s="61"/>
    </row>
    <row r="512" spans="1:153">
      <c r="A512" s="56">
        <v>42156</v>
      </c>
      <c r="B512" s="57">
        <v>2015</v>
      </c>
      <c r="C512" s="71">
        <v>15.759</v>
      </c>
      <c r="D512" s="61">
        <v>0.215</v>
      </c>
      <c r="E512" s="61">
        <v>2900.5790000000002</v>
      </c>
      <c r="F512" s="61">
        <v>121.824</v>
      </c>
      <c r="G512" s="61">
        <v>15.544</v>
      </c>
      <c r="H512" s="61">
        <v>673</v>
      </c>
      <c r="I512" s="61">
        <v>259.88200000000001</v>
      </c>
      <c r="J512" s="61">
        <v>413.11799999999999</v>
      </c>
      <c r="K512" s="61">
        <v>3062.7910000000002</v>
      </c>
      <c r="L512" s="61">
        <v>-536.46600000000001</v>
      </c>
      <c r="M512" s="61">
        <v>3850.163</v>
      </c>
      <c r="N512" s="61">
        <v>161.70699999999999</v>
      </c>
      <c r="O512" s="71">
        <v>20.632999999999999</v>
      </c>
      <c r="P512" s="60">
        <v>190.357</v>
      </c>
      <c r="Q512" s="61">
        <v>187.42099999999999</v>
      </c>
      <c r="R512" s="61">
        <v>419.76299999999998</v>
      </c>
      <c r="S512" s="61">
        <v>795.45699999999999</v>
      </c>
      <c r="T512" s="61">
        <v>190.137</v>
      </c>
      <c r="U512" s="61">
        <v>17.341999999999999</v>
      </c>
      <c r="V512" s="61">
        <v>43.209000000000003</v>
      </c>
      <c r="W512" s="61">
        <v>125.006</v>
      </c>
      <c r="X512" s="61">
        <v>190.357</v>
      </c>
      <c r="Y512" s="61">
        <v>41.984999999999999</v>
      </c>
      <c r="Z512" s="61">
        <v>189.441</v>
      </c>
      <c r="AA512" s="61">
        <v>421.78300000000002</v>
      </c>
      <c r="AB512" s="60">
        <v>797.47699999999998</v>
      </c>
      <c r="AC512" s="62">
        <v>343.33300000000003</v>
      </c>
      <c r="AD512" s="61">
        <v>14.42</v>
      </c>
      <c r="AE512" s="61">
        <v>1.8859999999999999</v>
      </c>
      <c r="AF512" s="61">
        <v>346</v>
      </c>
      <c r="AG512" s="61">
        <v>694</v>
      </c>
      <c r="AH512" s="61">
        <v>-22</v>
      </c>
      <c r="AI512" s="61">
        <v>711.33299999999997</v>
      </c>
      <c r="AJ512" s="61">
        <v>29.876000000000001</v>
      </c>
      <c r="AK512" s="62">
        <v>3.9079999999999999</v>
      </c>
      <c r="AL512" s="63">
        <f t="shared" si="41"/>
        <v>29.876000000000001</v>
      </c>
      <c r="AM512" s="64">
        <v>3.9079999999999999</v>
      </c>
      <c r="AN512" s="65" t="s">
        <v>121</v>
      </c>
      <c r="AO512" s="61" t="s">
        <v>121</v>
      </c>
      <c r="AP512" s="61">
        <v>27.251000000000001</v>
      </c>
      <c r="AQ512" s="61">
        <v>1.145</v>
      </c>
      <c r="AR512" s="61">
        <v>0.14599999999999999</v>
      </c>
      <c r="AS512" s="61" t="s">
        <v>122</v>
      </c>
      <c r="AT512" s="61">
        <v>4</v>
      </c>
      <c r="AU512" s="61">
        <v>0</v>
      </c>
      <c r="AV512" s="61">
        <v>27.251000000000001</v>
      </c>
      <c r="AW512" s="61">
        <v>1.145</v>
      </c>
      <c r="AX512" s="65">
        <v>0.14599999999999999</v>
      </c>
      <c r="AY512" s="66">
        <v>3.2549999999999999</v>
      </c>
      <c r="AZ512" s="61">
        <v>12.73</v>
      </c>
      <c r="BA512" s="61">
        <v>42.143000000000001</v>
      </c>
      <c r="BB512" s="61">
        <v>58.127000000000002</v>
      </c>
      <c r="BC512" s="61">
        <v>3.3000000000000002E-2</v>
      </c>
      <c r="BD512" s="61">
        <v>1.619</v>
      </c>
      <c r="BE512" s="61">
        <v>5.7229999999999999</v>
      </c>
      <c r="BF512" s="61">
        <v>7.4999999999999997E-2</v>
      </c>
      <c r="BG512" s="61">
        <v>6.4690000000000003</v>
      </c>
      <c r="BH512" s="61">
        <v>3.931</v>
      </c>
      <c r="BI512" s="61">
        <v>2.177</v>
      </c>
      <c r="BJ512" s="61">
        <v>12.577</v>
      </c>
      <c r="BK512" s="66">
        <v>20.027000000000001</v>
      </c>
      <c r="BL512" s="67">
        <v>94.423000000000002</v>
      </c>
      <c r="BM512" s="61">
        <v>20.632999999999999</v>
      </c>
      <c r="BN512" s="61">
        <v>3.9079999999999999</v>
      </c>
      <c r="BO512" s="61">
        <v>0.14599999999999999</v>
      </c>
      <c r="BP512" s="61">
        <v>119.11</v>
      </c>
      <c r="BQ512" s="61">
        <v>189.04300000000001</v>
      </c>
      <c r="BR512" s="61">
        <v>12.122999999999999</v>
      </c>
      <c r="BS512" s="61">
        <v>23.396999999999998</v>
      </c>
      <c r="BT512" s="61">
        <v>124.89700000000001</v>
      </c>
      <c r="BU512" s="61">
        <v>20.611000000000001</v>
      </c>
      <c r="BV512" s="61">
        <v>23.125</v>
      </c>
      <c r="BW512" s="61">
        <v>43.735999999999997</v>
      </c>
      <c r="BX512" s="67">
        <v>393.19600000000003</v>
      </c>
      <c r="BY512" s="68">
        <v>150954</v>
      </c>
      <c r="BZ512" s="68">
        <v>116905</v>
      </c>
      <c r="CA512" s="69">
        <v>3970</v>
      </c>
      <c r="CB512" s="68">
        <v>139636</v>
      </c>
      <c r="CC512" s="68">
        <v>36293</v>
      </c>
      <c r="CD512" s="68">
        <v>139756</v>
      </c>
      <c r="CE512" s="64"/>
      <c r="CF512" s="64"/>
      <c r="CG512" s="70">
        <f t="shared" si="37"/>
        <v>5864.7120000000004</v>
      </c>
      <c r="CH512" s="70">
        <f t="shared" si="38"/>
        <v>166.74</v>
      </c>
      <c r="CI512" s="70">
        <f t="shared" si="39"/>
        <v>1524.306</v>
      </c>
      <c r="CJ512" s="70">
        <f t="shared" si="40"/>
        <v>6340.0680000000002</v>
      </c>
      <c r="CK512" s="70">
        <f t="shared" si="40"/>
        <v>4910.01</v>
      </c>
      <c r="CL512" s="70">
        <f t="shared" si="42"/>
        <v>5869.7520000000004</v>
      </c>
      <c r="CM512" s="61"/>
      <c r="CN512" s="61"/>
      <c r="CO512" s="61"/>
      <c r="CP512" s="61"/>
      <c r="CQ512" s="61"/>
      <c r="CR512" s="61"/>
      <c r="CS512" s="61"/>
      <c r="CT512" s="61"/>
      <c r="CU512" s="61"/>
      <c r="CV512" s="61"/>
      <c r="CW512" s="61"/>
      <c r="CX512" s="61"/>
      <c r="CY512" s="61"/>
      <c r="CZ512" s="61"/>
      <c r="DA512" s="61"/>
      <c r="DB512" s="61"/>
      <c r="DC512" s="61"/>
      <c r="DD512" s="61"/>
      <c r="DE512" s="61"/>
      <c r="DF512" s="61"/>
      <c r="DG512" s="61"/>
      <c r="DH512" s="61"/>
      <c r="DI512" s="61"/>
      <c r="DJ512" s="61"/>
      <c r="DK512" s="61"/>
      <c r="DL512" s="61"/>
      <c r="DM512" s="61"/>
      <c r="DN512" s="61"/>
      <c r="DO512" s="61"/>
      <c r="DP512" s="61"/>
      <c r="DQ512" s="61"/>
      <c r="DR512" s="61"/>
      <c r="DS512" s="61"/>
      <c r="DT512" s="61"/>
      <c r="DU512" s="61"/>
      <c r="DV512" s="61"/>
      <c r="DW512" s="61"/>
      <c r="DX512" s="61"/>
      <c r="DY512" s="61"/>
      <c r="DZ512" s="61"/>
      <c r="EA512" s="61"/>
      <c r="EB512" s="61"/>
      <c r="EC512" s="61"/>
      <c r="ED512" s="61"/>
      <c r="EE512" s="61"/>
      <c r="EF512" s="61"/>
      <c r="EG512" s="61"/>
      <c r="EH512" s="61"/>
      <c r="EI512" s="61"/>
      <c r="EJ512" s="61"/>
      <c r="EK512" s="61"/>
      <c r="EL512" s="61"/>
      <c r="EM512" s="61"/>
      <c r="EN512" s="61"/>
      <c r="EO512" s="61"/>
      <c r="EP512" s="61"/>
      <c r="EQ512" s="61"/>
      <c r="ER512" s="61"/>
      <c r="ES512" s="61"/>
      <c r="ET512" s="61"/>
      <c r="EU512" s="61"/>
      <c r="EV512" s="61"/>
      <c r="EW512" s="61"/>
    </row>
    <row r="513" spans="1:153">
      <c r="A513" s="56">
        <v>42186</v>
      </c>
      <c r="B513" s="57">
        <v>2015</v>
      </c>
      <c r="C513" s="71">
        <v>15.662000000000001</v>
      </c>
      <c r="D513" s="61">
        <v>0.21299999999999999</v>
      </c>
      <c r="E513" s="61">
        <v>2882.7510000000002</v>
      </c>
      <c r="F513" s="61">
        <v>121.07599999999999</v>
      </c>
      <c r="G513" s="61">
        <v>15.449</v>
      </c>
      <c r="H513" s="61">
        <v>1157</v>
      </c>
      <c r="I513" s="61">
        <v>255.05</v>
      </c>
      <c r="J513" s="61">
        <v>901.95</v>
      </c>
      <c r="K513" s="61">
        <v>3403.6529999999998</v>
      </c>
      <c r="L513" s="61">
        <v>340.86200000000002</v>
      </c>
      <c r="M513" s="61">
        <v>3443.8389999999999</v>
      </c>
      <c r="N513" s="61">
        <v>144.64099999999999</v>
      </c>
      <c r="O513" s="71">
        <v>18.456</v>
      </c>
      <c r="P513" s="60">
        <v>199.08600000000001</v>
      </c>
      <c r="Q513" s="61">
        <v>190.74600000000001</v>
      </c>
      <c r="R513" s="61">
        <v>435.43900000000002</v>
      </c>
      <c r="S513" s="61">
        <v>821.50800000000004</v>
      </c>
      <c r="T513" s="61">
        <v>195.726</v>
      </c>
      <c r="U513" s="61">
        <v>18.03</v>
      </c>
      <c r="V513" s="61">
        <v>44.939</v>
      </c>
      <c r="W513" s="61">
        <v>127.373</v>
      </c>
      <c r="X513" s="61">
        <v>199.08600000000001</v>
      </c>
      <c r="Y513" s="61">
        <v>45.607999999999997</v>
      </c>
      <c r="Z513" s="61">
        <v>192.173</v>
      </c>
      <c r="AA513" s="61">
        <v>436.86700000000002</v>
      </c>
      <c r="AB513" s="60">
        <v>822.93600000000004</v>
      </c>
      <c r="AC513" s="62">
        <v>369.55399999999997</v>
      </c>
      <c r="AD513" s="61">
        <v>15.521000000000001</v>
      </c>
      <c r="AE513" s="61">
        <v>2.0299999999999998</v>
      </c>
      <c r="AF513" s="61">
        <v>535</v>
      </c>
      <c r="AG513" s="61">
        <v>722</v>
      </c>
      <c r="AH513" s="61">
        <v>28</v>
      </c>
      <c r="AI513" s="61">
        <v>876.55399999999997</v>
      </c>
      <c r="AJ513" s="61">
        <v>36.814999999999998</v>
      </c>
      <c r="AK513" s="62">
        <v>4.8159999999999998</v>
      </c>
      <c r="AL513" s="63">
        <f t="shared" si="41"/>
        <v>36.814999999999998</v>
      </c>
      <c r="AM513" s="64">
        <v>4.8159999999999998</v>
      </c>
      <c r="AN513" s="65" t="s">
        <v>121</v>
      </c>
      <c r="AO513" s="61" t="s">
        <v>121</v>
      </c>
      <c r="AP513" s="61">
        <v>37.414000000000001</v>
      </c>
      <c r="AQ513" s="61">
        <v>1.571</v>
      </c>
      <c r="AR513" s="61">
        <v>0.20100000000000001</v>
      </c>
      <c r="AS513" s="61" t="s">
        <v>122</v>
      </c>
      <c r="AT513" s="61">
        <v>9</v>
      </c>
      <c r="AU513" s="61">
        <v>5</v>
      </c>
      <c r="AV513" s="61">
        <v>32.414000000000001</v>
      </c>
      <c r="AW513" s="61">
        <v>1.361</v>
      </c>
      <c r="AX513" s="65">
        <v>0.17399999999999999</v>
      </c>
      <c r="AY513" s="66">
        <v>3.363</v>
      </c>
      <c r="AZ513" s="61">
        <v>13.523</v>
      </c>
      <c r="BA513" s="61">
        <v>43.546999999999997</v>
      </c>
      <c r="BB513" s="61">
        <v>60.433</v>
      </c>
      <c r="BC513" s="61">
        <v>2.9000000000000001E-2</v>
      </c>
      <c r="BD513" s="61">
        <v>1.673</v>
      </c>
      <c r="BE513" s="61">
        <v>5.9740000000000002</v>
      </c>
      <c r="BF513" s="61">
        <v>6.8000000000000005E-2</v>
      </c>
      <c r="BG513" s="61">
        <v>6.8220000000000001</v>
      </c>
      <c r="BH513" s="61">
        <v>4.2679999999999998</v>
      </c>
      <c r="BI513" s="61">
        <v>2.2370000000000001</v>
      </c>
      <c r="BJ513" s="61">
        <v>13.327</v>
      </c>
      <c r="BK513" s="66">
        <v>21.071000000000002</v>
      </c>
      <c r="BL513" s="67">
        <v>97.034000000000006</v>
      </c>
      <c r="BM513" s="61">
        <v>18.456</v>
      </c>
      <c r="BN513" s="61">
        <v>4.8159999999999998</v>
      </c>
      <c r="BO513" s="61">
        <v>0.17399999999999999</v>
      </c>
      <c r="BP513" s="61">
        <v>120.479</v>
      </c>
      <c r="BQ513" s="61">
        <v>194.624</v>
      </c>
      <c r="BR513" s="61">
        <v>12.637</v>
      </c>
      <c r="BS513" s="61">
        <v>24.024999999999999</v>
      </c>
      <c r="BT513" s="61">
        <v>127.28100000000001</v>
      </c>
      <c r="BU513" s="61">
        <v>22.353999999999999</v>
      </c>
      <c r="BV513" s="61">
        <v>25.606999999999999</v>
      </c>
      <c r="BW513" s="61">
        <v>47.960999999999999</v>
      </c>
      <c r="BX513" s="67">
        <v>406.52800000000002</v>
      </c>
      <c r="BY513" s="68">
        <v>158137</v>
      </c>
      <c r="BZ513" s="68">
        <v>120937</v>
      </c>
      <c r="CA513" s="69">
        <v>4423</v>
      </c>
      <c r="CB513" s="68">
        <v>142053</v>
      </c>
      <c r="CC513" s="68">
        <v>41176</v>
      </c>
      <c r="CD513" s="68">
        <v>145581</v>
      </c>
      <c r="CE513" s="64"/>
      <c r="CF513" s="64"/>
      <c r="CG513" s="70">
        <f t="shared" si="37"/>
        <v>5966.2259999999997</v>
      </c>
      <c r="CH513" s="70">
        <f t="shared" si="38"/>
        <v>185.76599999999999</v>
      </c>
      <c r="CI513" s="70">
        <f t="shared" si="39"/>
        <v>1729.3920000000001</v>
      </c>
      <c r="CJ513" s="70">
        <f t="shared" si="40"/>
        <v>6641.7539999999999</v>
      </c>
      <c r="CK513" s="70">
        <f t="shared" si="40"/>
        <v>5079.3540000000003</v>
      </c>
      <c r="CL513" s="70">
        <f t="shared" si="42"/>
        <v>6114.402</v>
      </c>
      <c r="CM513" s="61"/>
      <c r="CN513" s="61"/>
      <c r="CO513" s="61"/>
      <c r="CP513" s="61"/>
      <c r="CQ513" s="61"/>
      <c r="CR513" s="61"/>
      <c r="CS513" s="61"/>
      <c r="CT513" s="61"/>
      <c r="CU513" s="61"/>
      <c r="CV513" s="61"/>
      <c r="CW513" s="61"/>
      <c r="CX513" s="61"/>
      <c r="CY513" s="61"/>
      <c r="CZ513" s="61"/>
      <c r="DA513" s="61"/>
      <c r="DB513" s="61"/>
      <c r="DC513" s="61"/>
      <c r="DD513" s="61"/>
      <c r="DE513" s="61"/>
      <c r="DF513" s="61"/>
      <c r="DG513" s="61"/>
      <c r="DH513" s="61"/>
      <c r="DI513" s="61"/>
      <c r="DJ513" s="61"/>
      <c r="DK513" s="61"/>
      <c r="DL513" s="61"/>
      <c r="DM513" s="61"/>
      <c r="DN513" s="61"/>
      <c r="DO513" s="61"/>
      <c r="DP513" s="61"/>
      <c r="DQ513" s="61"/>
      <c r="DR513" s="61"/>
      <c r="DS513" s="61"/>
      <c r="DT513" s="61"/>
      <c r="DU513" s="61"/>
      <c r="DV513" s="61"/>
      <c r="DW513" s="61"/>
      <c r="DX513" s="61"/>
      <c r="DY513" s="61"/>
      <c r="DZ513" s="61"/>
      <c r="EA513" s="61"/>
      <c r="EB513" s="61"/>
      <c r="EC513" s="61"/>
      <c r="ED513" s="61"/>
      <c r="EE513" s="61"/>
      <c r="EF513" s="61"/>
      <c r="EG513" s="61"/>
      <c r="EH513" s="61"/>
      <c r="EI513" s="61"/>
      <c r="EJ513" s="61"/>
      <c r="EK513" s="61"/>
      <c r="EL513" s="61"/>
      <c r="EM513" s="61"/>
      <c r="EN513" s="61"/>
      <c r="EO513" s="61"/>
      <c r="EP513" s="61"/>
      <c r="EQ513" s="61"/>
      <c r="ER513" s="61"/>
      <c r="ES513" s="61"/>
      <c r="ET513" s="61"/>
      <c r="EU513" s="61"/>
      <c r="EV513" s="61"/>
      <c r="EW513" s="61"/>
    </row>
    <row r="514" spans="1:153">
      <c r="A514" s="56">
        <v>42217</v>
      </c>
      <c r="B514" s="57">
        <v>2015</v>
      </c>
      <c r="C514" s="71">
        <v>15.933999999999999</v>
      </c>
      <c r="D514" s="61">
        <v>0.217</v>
      </c>
      <c r="E514" s="61">
        <v>2932.7620000000002</v>
      </c>
      <c r="F514" s="61">
        <v>123.176</v>
      </c>
      <c r="G514" s="61">
        <v>15.717000000000001</v>
      </c>
      <c r="H514" s="61">
        <v>961</v>
      </c>
      <c r="I514" s="61">
        <v>274.57499999999999</v>
      </c>
      <c r="J514" s="61">
        <v>686.42499999999995</v>
      </c>
      <c r="K514" s="61">
        <v>3333.0340000000001</v>
      </c>
      <c r="L514" s="61">
        <v>-70.619</v>
      </c>
      <c r="M514" s="61">
        <v>3689.806</v>
      </c>
      <c r="N514" s="61">
        <v>154.97200000000001</v>
      </c>
      <c r="O514" s="71">
        <v>19.774000000000001</v>
      </c>
      <c r="P514" s="60">
        <v>199.922</v>
      </c>
      <c r="Q514" s="61">
        <v>188.21299999999999</v>
      </c>
      <c r="R514" s="61">
        <v>432.20499999999998</v>
      </c>
      <c r="S514" s="61">
        <v>795.29499999999996</v>
      </c>
      <c r="T514" s="61">
        <v>178.10300000000001</v>
      </c>
      <c r="U514" s="61">
        <v>17.911999999999999</v>
      </c>
      <c r="V514" s="61">
        <v>45.246000000000002</v>
      </c>
      <c r="W514" s="61">
        <v>121.827</v>
      </c>
      <c r="X514" s="61">
        <v>199.922</v>
      </c>
      <c r="Y514" s="61">
        <v>44.070999999999998</v>
      </c>
      <c r="Z514" s="61">
        <v>192.44499999999999</v>
      </c>
      <c r="AA514" s="61">
        <v>436.43799999999999</v>
      </c>
      <c r="AB514" s="60">
        <v>799.52700000000004</v>
      </c>
      <c r="AC514" s="62">
        <v>359.53399999999999</v>
      </c>
      <c r="AD514" s="61">
        <v>15.1</v>
      </c>
      <c r="AE514" s="61">
        <v>1.9750000000000001</v>
      </c>
      <c r="AF514" s="61">
        <v>560</v>
      </c>
      <c r="AG514" s="61">
        <v>879</v>
      </c>
      <c r="AH514" s="61">
        <v>157</v>
      </c>
      <c r="AI514" s="61">
        <v>762.53399999999999</v>
      </c>
      <c r="AJ514" s="61">
        <v>32.026000000000003</v>
      </c>
      <c r="AK514" s="62">
        <v>4.1890000000000001</v>
      </c>
      <c r="AL514" s="63">
        <f t="shared" si="41"/>
        <v>32.026000000000003</v>
      </c>
      <c r="AM514" s="64">
        <v>4.1890000000000001</v>
      </c>
      <c r="AN514" s="65" t="s">
        <v>121</v>
      </c>
      <c r="AO514" s="61" t="s">
        <v>121</v>
      </c>
      <c r="AP514" s="61">
        <v>36.737000000000002</v>
      </c>
      <c r="AQ514" s="61">
        <v>1.5429999999999999</v>
      </c>
      <c r="AR514" s="61">
        <v>0.19700000000000001</v>
      </c>
      <c r="AS514" s="61" t="s">
        <v>122</v>
      </c>
      <c r="AT514" s="61">
        <v>4</v>
      </c>
      <c r="AU514" s="61">
        <v>-5</v>
      </c>
      <c r="AV514" s="61">
        <v>41.737000000000002</v>
      </c>
      <c r="AW514" s="61">
        <v>1.7529999999999999</v>
      </c>
      <c r="AX514" s="65">
        <v>0.224</v>
      </c>
      <c r="AY514" s="66">
        <v>3.363</v>
      </c>
      <c r="AZ514" s="61">
        <v>13.484999999999999</v>
      </c>
      <c r="BA514" s="61">
        <v>43.546999999999997</v>
      </c>
      <c r="BB514" s="61">
        <v>60.396000000000001</v>
      </c>
      <c r="BC514" s="61">
        <v>2.3E-2</v>
      </c>
      <c r="BD514" s="61">
        <v>1.673</v>
      </c>
      <c r="BE514" s="61">
        <v>5.7859999999999996</v>
      </c>
      <c r="BF514" s="61">
        <v>6.7000000000000004E-2</v>
      </c>
      <c r="BG514" s="61">
        <v>6.7009999999999996</v>
      </c>
      <c r="BH514" s="61">
        <v>4.0830000000000002</v>
      </c>
      <c r="BI514" s="61">
        <v>2.25</v>
      </c>
      <c r="BJ514" s="61">
        <v>13.034000000000001</v>
      </c>
      <c r="BK514" s="66">
        <v>20.582000000000001</v>
      </c>
      <c r="BL514" s="67">
        <v>97.614000000000004</v>
      </c>
      <c r="BM514" s="61">
        <v>19.774000000000001</v>
      </c>
      <c r="BN514" s="61">
        <v>4.1890000000000001</v>
      </c>
      <c r="BO514" s="61">
        <v>0.224</v>
      </c>
      <c r="BP514" s="61">
        <v>121.801</v>
      </c>
      <c r="BQ514" s="61">
        <v>177.24100000000001</v>
      </c>
      <c r="BR514" s="61">
        <v>12.519</v>
      </c>
      <c r="BS514" s="61">
        <v>24.582999999999998</v>
      </c>
      <c r="BT514" s="61">
        <v>121.736</v>
      </c>
      <c r="BU514" s="61">
        <v>22.963999999999999</v>
      </c>
      <c r="BV514" s="61">
        <v>24.774000000000001</v>
      </c>
      <c r="BW514" s="61">
        <v>47.738999999999997</v>
      </c>
      <c r="BX514" s="67">
        <v>383.81799999999998</v>
      </c>
      <c r="BY514" s="68">
        <v>158304</v>
      </c>
      <c r="BZ514" s="68">
        <v>121355</v>
      </c>
      <c r="CA514" s="69">
        <v>4336</v>
      </c>
      <c r="CB514" s="68">
        <v>152529</v>
      </c>
      <c r="CC514" s="68">
        <v>33051</v>
      </c>
      <c r="CD514" s="68">
        <v>144796</v>
      </c>
      <c r="CE514" s="64"/>
      <c r="CF514" s="64"/>
      <c r="CG514" s="70">
        <f t="shared" si="37"/>
        <v>6406.2179999999998</v>
      </c>
      <c r="CH514" s="70">
        <f t="shared" si="38"/>
        <v>182.11199999999999</v>
      </c>
      <c r="CI514" s="70">
        <f t="shared" si="39"/>
        <v>1388.1420000000001</v>
      </c>
      <c r="CJ514" s="70">
        <f t="shared" si="40"/>
        <v>6648.768</v>
      </c>
      <c r="CK514" s="70">
        <f t="shared" si="40"/>
        <v>5096.91</v>
      </c>
      <c r="CL514" s="70">
        <f t="shared" si="42"/>
        <v>6081.4319999999998</v>
      </c>
      <c r="CM514" s="61"/>
      <c r="CN514" s="61"/>
      <c r="CO514" s="61"/>
      <c r="CP514" s="61"/>
      <c r="CQ514" s="61"/>
      <c r="CR514" s="61"/>
      <c r="CS514" s="61"/>
      <c r="CT514" s="61"/>
      <c r="CU514" s="61"/>
      <c r="CV514" s="61"/>
      <c r="CW514" s="61"/>
      <c r="CX514" s="61"/>
      <c r="CY514" s="61"/>
      <c r="CZ514" s="61"/>
      <c r="DA514" s="61"/>
      <c r="DB514" s="61"/>
      <c r="DC514" s="61"/>
      <c r="DD514" s="61"/>
      <c r="DE514" s="61"/>
      <c r="DF514" s="61"/>
      <c r="DG514" s="61"/>
      <c r="DH514" s="61"/>
      <c r="DI514" s="61"/>
      <c r="DJ514" s="61"/>
      <c r="DK514" s="61"/>
      <c r="DL514" s="61"/>
      <c r="DM514" s="61"/>
      <c r="DN514" s="61"/>
      <c r="DO514" s="61"/>
      <c r="DP514" s="61"/>
      <c r="DQ514" s="61"/>
      <c r="DR514" s="61"/>
      <c r="DS514" s="61"/>
      <c r="DT514" s="61"/>
      <c r="DU514" s="61"/>
      <c r="DV514" s="61"/>
      <c r="DW514" s="61"/>
      <c r="DX514" s="61"/>
      <c r="DY514" s="61"/>
      <c r="DZ514" s="61"/>
      <c r="EA514" s="61"/>
      <c r="EB514" s="61"/>
      <c r="EC514" s="61"/>
      <c r="ED514" s="61"/>
      <c r="EE514" s="61"/>
      <c r="EF514" s="61"/>
      <c r="EG514" s="61"/>
      <c r="EH514" s="61"/>
      <c r="EI514" s="61"/>
      <c r="EJ514" s="61"/>
      <c r="EK514" s="61"/>
      <c r="EL514" s="61"/>
      <c r="EM514" s="61"/>
      <c r="EN514" s="61"/>
      <c r="EO514" s="61"/>
      <c r="EP514" s="61"/>
      <c r="EQ514" s="61"/>
      <c r="ER514" s="61"/>
      <c r="ES514" s="61"/>
      <c r="ET514" s="61"/>
      <c r="EU514" s="61"/>
      <c r="EV514" s="61"/>
      <c r="EW514" s="61"/>
    </row>
    <row r="515" spans="1:153">
      <c r="A515" s="56">
        <v>42248</v>
      </c>
      <c r="B515" s="57">
        <v>2015</v>
      </c>
      <c r="C515" s="71">
        <v>13.468</v>
      </c>
      <c r="D515" s="61">
        <v>0.183</v>
      </c>
      <c r="E515" s="61">
        <v>2479.0160000000001</v>
      </c>
      <c r="F515" s="61">
        <v>104.119</v>
      </c>
      <c r="G515" s="61">
        <v>13.285</v>
      </c>
      <c r="H515" s="61">
        <v>1062</v>
      </c>
      <c r="I515" s="61">
        <v>200.16800000000001</v>
      </c>
      <c r="J515" s="61">
        <v>861.83199999999999</v>
      </c>
      <c r="K515" s="61">
        <v>3021.4810000000002</v>
      </c>
      <c r="L515" s="61">
        <v>-311.553</v>
      </c>
      <c r="M515" s="61">
        <v>3652.4009999999998</v>
      </c>
      <c r="N515" s="61">
        <v>153.40100000000001</v>
      </c>
      <c r="O515" s="71">
        <v>19.573</v>
      </c>
      <c r="P515" s="60">
        <v>189.65799999999999</v>
      </c>
      <c r="Q515" s="61">
        <v>178.667</v>
      </c>
      <c r="R515" s="61">
        <v>410.19099999999997</v>
      </c>
      <c r="S515" s="61">
        <v>745.60400000000004</v>
      </c>
      <c r="T515" s="61">
        <v>149.90100000000001</v>
      </c>
      <c r="U515" s="61">
        <v>16.422999999999998</v>
      </c>
      <c r="V515" s="61">
        <v>38.959000000000003</v>
      </c>
      <c r="W515" s="61">
        <v>130.131</v>
      </c>
      <c r="X515" s="61">
        <v>189.65799999999999</v>
      </c>
      <c r="Y515" s="61">
        <v>41.866999999999997</v>
      </c>
      <c r="Z515" s="61">
        <v>185.619</v>
      </c>
      <c r="AA515" s="61">
        <v>417.14400000000001</v>
      </c>
      <c r="AB515" s="60">
        <v>752.55700000000002</v>
      </c>
      <c r="AC515" s="62">
        <v>329.673</v>
      </c>
      <c r="AD515" s="61">
        <v>13.846</v>
      </c>
      <c r="AE515" s="61">
        <v>1.8109999999999999</v>
      </c>
      <c r="AF515" s="61">
        <v>312</v>
      </c>
      <c r="AG515" s="61">
        <v>725</v>
      </c>
      <c r="AH515" s="61">
        <v>-154</v>
      </c>
      <c r="AI515" s="61">
        <v>795.673</v>
      </c>
      <c r="AJ515" s="61">
        <v>33.417999999999999</v>
      </c>
      <c r="AK515" s="62">
        <v>4.3710000000000004</v>
      </c>
      <c r="AL515" s="63">
        <f t="shared" si="41"/>
        <v>33.417999999999999</v>
      </c>
      <c r="AM515" s="64">
        <v>4.3710000000000004</v>
      </c>
      <c r="AN515" s="65" t="s">
        <v>121</v>
      </c>
      <c r="AO515" s="61" t="s">
        <v>121</v>
      </c>
      <c r="AP515" s="61">
        <v>33.679000000000002</v>
      </c>
      <c r="AQ515" s="61">
        <v>1.415</v>
      </c>
      <c r="AR515" s="61">
        <v>0.18</v>
      </c>
      <c r="AS515" s="61" t="s">
        <v>122</v>
      </c>
      <c r="AT515" s="61">
        <v>7</v>
      </c>
      <c r="AU515" s="61">
        <v>3</v>
      </c>
      <c r="AV515" s="61">
        <v>30.678999999999998</v>
      </c>
      <c r="AW515" s="61">
        <v>1.2889999999999999</v>
      </c>
      <c r="AX515" s="65">
        <v>0.16400000000000001</v>
      </c>
      <c r="AY515" s="66">
        <v>3.2549999999999999</v>
      </c>
      <c r="AZ515" s="61">
        <v>12.253</v>
      </c>
      <c r="BA515" s="61">
        <v>42.143000000000001</v>
      </c>
      <c r="BB515" s="61">
        <v>57.65</v>
      </c>
      <c r="BC515" s="61">
        <v>0.02</v>
      </c>
      <c r="BD515" s="61">
        <v>1.619</v>
      </c>
      <c r="BE515" s="61">
        <v>5.149</v>
      </c>
      <c r="BF515" s="61">
        <v>7.2999999999999995E-2</v>
      </c>
      <c r="BG515" s="61">
        <v>6.5389999999999997</v>
      </c>
      <c r="BH515" s="61">
        <v>4.0449999999999999</v>
      </c>
      <c r="BI515" s="61">
        <v>2.161</v>
      </c>
      <c r="BJ515" s="61">
        <v>12.744999999999999</v>
      </c>
      <c r="BK515" s="66">
        <v>19.606000000000002</v>
      </c>
      <c r="BL515" s="67">
        <v>93.751999999999995</v>
      </c>
      <c r="BM515" s="61">
        <v>19.573</v>
      </c>
      <c r="BN515" s="61">
        <v>4.3710000000000004</v>
      </c>
      <c r="BO515" s="61">
        <v>0.16400000000000001</v>
      </c>
      <c r="BP515" s="61">
        <v>117.861</v>
      </c>
      <c r="BQ515" s="61">
        <v>149.16499999999999</v>
      </c>
      <c r="BR515" s="61">
        <v>11.202999999999999</v>
      </c>
      <c r="BS515" s="61">
        <v>20.283999999999999</v>
      </c>
      <c r="BT515" s="61">
        <v>130.03200000000001</v>
      </c>
      <c r="BU515" s="61">
        <v>19.934999999999999</v>
      </c>
      <c r="BV515" s="61">
        <v>23.120999999999999</v>
      </c>
      <c r="BW515" s="61">
        <v>43.055</v>
      </c>
      <c r="BX515" s="67">
        <v>353.73899999999998</v>
      </c>
      <c r="BY515" s="68">
        <v>151824</v>
      </c>
      <c r="BZ515" s="68">
        <v>121889</v>
      </c>
      <c r="CA515" s="69">
        <v>3088</v>
      </c>
      <c r="CB515" s="68">
        <v>149403</v>
      </c>
      <c r="CC515" s="68">
        <v>38304</v>
      </c>
      <c r="CD515" s="68">
        <v>139326</v>
      </c>
      <c r="CE515" s="64"/>
      <c r="CF515" s="64"/>
      <c r="CG515" s="70">
        <f t="shared" ref="CG515:CG578" si="43">CB515*42/1000</f>
        <v>6274.9260000000004</v>
      </c>
      <c r="CH515" s="70">
        <f t="shared" ref="CH515:CH578" si="44">CA515*42/1000</f>
        <v>129.696</v>
      </c>
      <c r="CI515" s="70">
        <f t="shared" ref="CI515:CI578" si="45">CC515*42/1000</f>
        <v>1608.768</v>
      </c>
      <c r="CJ515" s="70">
        <f t="shared" si="40"/>
        <v>6376.6080000000002</v>
      </c>
      <c r="CK515" s="70">
        <f t="shared" si="40"/>
        <v>5119.3379999999997</v>
      </c>
      <c r="CL515" s="70">
        <f t="shared" si="42"/>
        <v>5851.692</v>
      </c>
      <c r="CM515" s="61"/>
      <c r="CN515" s="61"/>
      <c r="CO515" s="61"/>
      <c r="CP515" s="61"/>
      <c r="CQ515" s="61"/>
      <c r="CR515" s="61"/>
      <c r="CS515" s="61"/>
      <c r="CT515" s="61"/>
      <c r="CU515" s="61"/>
      <c r="CV515" s="61"/>
      <c r="CW515" s="61"/>
      <c r="CX515" s="61"/>
      <c r="CY515" s="61"/>
      <c r="CZ515" s="61"/>
      <c r="DA515" s="61"/>
      <c r="DB515" s="61"/>
      <c r="DC515" s="61"/>
      <c r="DD515" s="61"/>
      <c r="DE515" s="61"/>
      <c r="DF515" s="61"/>
      <c r="DG515" s="61"/>
      <c r="DH515" s="61"/>
      <c r="DI515" s="61"/>
      <c r="DJ515" s="61"/>
      <c r="DK515" s="61"/>
      <c r="DL515" s="61"/>
      <c r="DM515" s="61"/>
      <c r="DN515" s="61"/>
      <c r="DO515" s="61"/>
      <c r="DP515" s="61"/>
      <c r="DQ515" s="61"/>
      <c r="DR515" s="61"/>
      <c r="DS515" s="61"/>
      <c r="DT515" s="61"/>
      <c r="DU515" s="61"/>
      <c r="DV515" s="61"/>
      <c r="DW515" s="61"/>
      <c r="DX515" s="61"/>
      <c r="DY515" s="61"/>
      <c r="DZ515" s="61"/>
      <c r="EA515" s="61"/>
      <c r="EB515" s="61"/>
      <c r="EC515" s="61"/>
      <c r="ED515" s="61"/>
      <c r="EE515" s="61"/>
      <c r="EF515" s="61"/>
      <c r="EG515" s="61"/>
      <c r="EH515" s="61"/>
      <c r="EI515" s="61"/>
      <c r="EJ515" s="61"/>
      <c r="EK515" s="61"/>
      <c r="EL515" s="61"/>
      <c r="EM515" s="61"/>
      <c r="EN515" s="61"/>
      <c r="EO515" s="61"/>
      <c r="EP515" s="61"/>
      <c r="EQ515" s="61"/>
      <c r="ER515" s="61"/>
      <c r="ES515" s="61"/>
      <c r="ET515" s="61"/>
      <c r="EU515" s="61"/>
      <c r="EV515" s="61"/>
      <c r="EW515" s="61"/>
    </row>
    <row r="516" spans="1:153">
      <c r="A516" s="56">
        <v>42278</v>
      </c>
      <c r="B516" s="57">
        <v>2015</v>
      </c>
      <c r="C516" s="71">
        <v>13.772</v>
      </c>
      <c r="D516" s="61">
        <v>0.188</v>
      </c>
      <c r="E516" s="61">
        <v>2534.9299999999998</v>
      </c>
      <c r="F516" s="61">
        <v>106.467</v>
      </c>
      <c r="G516" s="61">
        <v>13.585000000000001</v>
      </c>
      <c r="H516" s="61">
        <v>863</v>
      </c>
      <c r="I516" s="61">
        <v>160.74100000000001</v>
      </c>
      <c r="J516" s="61">
        <v>702.25900000000001</v>
      </c>
      <c r="K516" s="61">
        <v>3069.6860000000001</v>
      </c>
      <c r="L516" s="61">
        <v>48.204000000000001</v>
      </c>
      <c r="M516" s="61">
        <v>3188.9850000000001</v>
      </c>
      <c r="N516" s="61">
        <v>133.93700000000001</v>
      </c>
      <c r="O516" s="71">
        <v>17.09</v>
      </c>
      <c r="P516" s="60">
        <v>187.83199999999999</v>
      </c>
      <c r="Q516" s="61">
        <v>186.315</v>
      </c>
      <c r="R516" s="61">
        <v>418.69</v>
      </c>
      <c r="S516" s="61">
        <v>778.14300000000003</v>
      </c>
      <c r="T516" s="61">
        <v>154.89599999999999</v>
      </c>
      <c r="U516" s="61">
        <v>17.716000000000001</v>
      </c>
      <c r="V516" s="61">
        <v>34.277999999999999</v>
      </c>
      <c r="W516" s="61">
        <v>152.56399999999999</v>
      </c>
      <c r="X516" s="61">
        <v>187.83199999999999</v>
      </c>
      <c r="Y516" s="61">
        <v>44.542999999999999</v>
      </c>
      <c r="Z516" s="61">
        <v>187.005</v>
      </c>
      <c r="AA516" s="61">
        <v>419.37900000000002</v>
      </c>
      <c r="AB516" s="60">
        <v>778.83199999999999</v>
      </c>
      <c r="AC516" s="62">
        <v>319.38400000000001</v>
      </c>
      <c r="AD516" s="61">
        <v>13.414</v>
      </c>
      <c r="AE516" s="61">
        <v>1.7549999999999999</v>
      </c>
      <c r="AF516" s="61">
        <v>599</v>
      </c>
      <c r="AG516" s="61">
        <v>810</v>
      </c>
      <c r="AH516" s="61">
        <v>85</v>
      </c>
      <c r="AI516" s="61">
        <v>833.38400000000001</v>
      </c>
      <c r="AJ516" s="61">
        <v>35.002000000000002</v>
      </c>
      <c r="AK516" s="62">
        <v>4.5789999999999997</v>
      </c>
      <c r="AL516" s="63">
        <f t="shared" si="41"/>
        <v>35.002000000000002</v>
      </c>
      <c r="AM516" s="64">
        <v>4.5789999999999997</v>
      </c>
      <c r="AN516" s="65" t="s">
        <v>121</v>
      </c>
      <c r="AO516" s="61" t="s">
        <v>121</v>
      </c>
      <c r="AP516" s="61">
        <v>31.69</v>
      </c>
      <c r="AQ516" s="61">
        <v>1.331</v>
      </c>
      <c r="AR516" s="61">
        <v>0.17</v>
      </c>
      <c r="AS516" s="61" t="s">
        <v>122</v>
      </c>
      <c r="AT516" s="61">
        <v>10</v>
      </c>
      <c r="AU516" s="61">
        <v>3</v>
      </c>
      <c r="AV516" s="61">
        <v>28.69</v>
      </c>
      <c r="AW516" s="61">
        <v>1.2050000000000001</v>
      </c>
      <c r="AX516" s="65">
        <v>0.154</v>
      </c>
      <c r="AY516" s="66">
        <v>3.363</v>
      </c>
      <c r="AZ516" s="61">
        <v>11.090999999999999</v>
      </c>
      <c r="BA516" s="61">
        <v>43.546999999999997</v>
      </c>
      <c r="BB516" s="61">
        <v>58.002000000000002</v>
      </c>
      <c r="BC516" s="61">
        <v>2.5999999999999999E-2</v>
      </c>
      <c r="BD516" s="61">
        <v>1.673</v>
      </c>
      <c r="BE516" s="61">
        <v>4.5410000000000004</v>
      </c>
      <c r="BF516" s="61">
        <v>0.104</v>
      </c>
      <c r="BG516" s="61">
        <v>6.69</v>
      </c>
      <c r="BH516" s="61">
        <v>3.7759999999999998</v>
      </c>
      <c r="BI516" s="61">
        <v>2.1779999999999999</v>
      </c>
      <c r="BJ516" s="61">
        <v>12.645</v>
      </c>
      <c r="BK516" s="66">
        <v>18.989000000000001</v>
      </c>
      <c r="BL516" s="67">
        <v>94.489000000000004</v>
      </c>
      <c r="BM516" s="61">
        <v>17.09</v>
      </c>
      <c r="BN516" s="61">
        <v>4.5789999999999997</v>
      </c>
      <c r="BO516" s="61">
        <v>0.154</v>
      </c>
      <c r="BP516" s="61">
        <v>116.31100000000001</v>
      </c>
      <c r="BQ516" s="61">
        <v>153.804</v>
      </c>
      <c r="BR516" s="61">
        <v>12.323</v>
      </c>
      <c r="BS516" s="61">
        <v>17.466999999999999</v>
      </c>
      <c r="BT516" s="61">
        <v>152.41</v>
      </c>
      <c r="BU516" s="61">
        <v>17.459</v>
      </c>
      <c r="BV516" s="61">
        <v>23.881</v>
      </c>
      <c r="BW516" s="61">
        <v>41.34</v>
      </c>
      <c r="BX516" s="67">
        <v>377.34399999999999</v>
      </c>
      <c r="BY516" s="68">
        <v>149312</v>
      </c>
      <c r="BZ516" s="68">
        <v>124438</v>
      </c>
      <c r="CA516" s="69">
        <v>3128</v>
      </c>
      <c r="CB516" s="68">
        <v>143625</v>
      </c>
      <c r="CC516" s="68">
        <v>35640</v>
      </c>
      <c r="CD516" s="68">
        <v>137279</v>
      </c>
      <c r="CE516" s="64"/>
      <c r="CF516" s="64"/>
      <c r="CG516" s="70">
        <f t="shared" si="43"/>
        <v>6032.25</v>
      </c>
      <c r="CH516" s="70">
        <f t="shared" si="44"/>
        <v>131.376</v>
      </c>
      <c r="CI516" s="70">
        <f t="shared" si="45"/>
        <v>1496.88</v>
      </c>
      <c r="CJ516" s="70">
        <f t="shared" si="40"/>
        <v>6271.1040000000003</v>
      </c>
      <c r="CK516" s="70">
        <f t="shared" si="40"/>
        <v>5226.3959999999997</v>
      </c>
      <c r="CL516" s="70">
        <f t="shared" si="42"/>
        <v>5765.7179999999998</v>
      </c>
      <c r="CM516" s="61"/>
      <c r="CN516" s="61"/>
      <c r="CO516" s="61"/>
      <c r="CP516" s="61"/>
      <c r="CQ516" s="61"/>
      <c r="CR516" s="61"/>
      <c r="CS516" s="61"/>
      <c r="CT516" s="61"/>
      <c r="CU516" s="61"/>
      <c r="CV516" s="61"/>
      <c r="CW516" s="61"/>
      <c r="CX516" s="61"/>
      <c r="CY516" s="61"/>
      <c r="CZ516" s="61"/>
      <c r="DA516" s="61"/>
      <c r="DB516" s="61"/>
      <c r="DC516" s="61"/>
      <c r="DD516" s="61"/>
      <c r="DE516" s="61"/>
      <c r="DF516" s="61"/>
      <c r="DG516" s="61"/>
      <c r="DH516" s="61"/>
      <c r="DI516" s="61"/>
      <c r="DJ516" s="61"/>
      <c r="DK516" s="61"/>
      <c r="DL516" s="61"/>
      <c r="DM516" s="61"/>
      <c r="DN516" s="61"/>
      <c r="DO516" s="61"/>
      <c r="DP516" s="61"/>
      <c r="DQ516" s="61"/>
      <c r="DR516" s="61"/>
      <c r="DS516" s="61"/>
      <c r="DT516" s="61"/>
      <c r="DU516" s="61"/>
      <c r="DV516" s="61"/>
      <c r="DW516" s="61"/>
      <c r="DX516" s="61"/>
      <c r="DY516" s="61"/>
      <c r="DZ516" s="61"/>
      <c r="EA516" s="61"/>
      <c r="EB516" s="61"/>
      <c r="EC516" s="61"/>
      <c r="ED516" s="61"/>
      <c r="EE516" s="61"/>
      <c r="EF516" s="61"/>
      <c r="EG516" s="61"/>
      <c r="EH516" s="61"/>
      <c r="EI516" s="61"/>
      <c r="EJ516" s="61"/>
      <c r="EK516" s="61"/>
      <c r="EL516" s="61"/>
      <c r="EM516" s="61"/>
      <c r="EN516" s="61"/>
      <c r="EO516" s="61"/>
      <c r="EP516" s="61"/>
      <c r="EQ516" s="61"/>
      <c r="ER516" s="61"/>
      <c r="ES516" s="61"/>
      <c r="ET516" s="61"/>
      <c r="EU516" s="61"/>
      <c r="EV516" s="61"/>
      <c r="EW516" s="61"/>
    </row>
    <row r="517" spans="1:153">
      <c r="A517" s="56">
        <v>42309</v>
      </c>
      <c r="B517" s="57">
        <v>2015</v>
      </c>
      <c r="C517" s="71">
        <v>13.696999999999999</v>
      </c>
      <c r="D517" s="61">
        <v>0.187</v>
      </c>
      <c r="E517" s="61">
        <v>2521.0189999999998</v>
      </c>
      <c r="F517" s="61">
        <v>105.883</v>
      </c>
      <c r="G517" s="61">
        <v>13.51</v>
      </c>
      <c r="H517" s="61">
        <v>701</v>
      </c>
      <c r="I517" s="61">
        <v>75.918999999999997</v>
      </c>
      <c r="J517" s="61">
        <v>625.08100000000002</v>
      </c>
      <c r="K517" s="61">
        <v>3599.97</v>
      </c>
      <c r="L517" s="61">
        <v>530.28499999999997</v>
      </c>
      <c r="M517" s="61">
        <v>2615.8150000000001</v>
      </c>
      <c r="N517" s="61">
        <v>109.864</v>
      </c>
      <c r="O517" s="71">
        <v>14.018000000000001</v>
      </c>
      <c r="P517" s="60">
        <v>189.32</v>
      </c>
      <c r="Q517" s="61">
        <v>184.786</v>
      </c>
      <c r="R517" s="61">
        <v>419.255</v>
      </c>
      <c r="S517" s="61">
        <v>829.95600000000002</v>
      </c>
      <c r="T517" s="61">
        <v>180.113</v>
      </c>
      <c r="U517" s="61">
        <v>17.640999999999998</v>
      </c>
      <c r="V517" s="61">
        <v>29.632000000000001</v>
      </c>
      <c r="W517" s="61">
        <v>183.315</v>
      </c>
      <c r="X517" s="61">
        <v>189.32</v>
      </c>
      <c r="Y517" s="61">
        <v>45.15</v>
      </c>
      <c r="Z517" s="61">
        <v>181.63</v>
      </c>
      <c r="AA517" s="61">
        <v>416.1</v>
      </c>
      <c r="AB517" s="60">
        <v>826.80100000000004</v>
      </c>
      <c r="AC517" s="62">
        <v>301.32299999999998</v>
      </c>
      <c r="AD517" s="61">
        <v>12.656000000000001</v>
      </c>
      <c r="AE517" s="61">
        <v>1.655</v>
      </c>
      <c r="AF517" s="61">
        <v>472</v>
      </c>
      <c r="AG517" s="61">
        <v>657</v>
      </c>
      <c r="AH517" s="61">
        <v>-153</v>
      </c>
      <c r="AI517" s="61">
        <v>926.32299999999998</v>
      </c>
      <c r="AJ517" s="61">
        <v>38.905999999999999</v>
      </c>
      <c r="AK517" s="62">
        <v>5.0890000000000004</v>
      </c>
      <c r="AL517" s="63">
        <f t="shared" si="41"/>
        <v>38.905999999999999</v>
      </c>
      <c r="AM517" s="64">
        <v>5.0890000000000004</v>
      </c>
      <c r="AN517" s="65" t="s">
        <v>121</v>
      </c>
      <c r="AO517" s="61" t="s">
        <v>121</v>
      </c>
      <c r="AP517" s="61">
        <v>29.62</v>
      </c>
      <c r="AQ517" s="61">
        <v>1.244</v>
      </c>
      <c r="AR517" s="61">
        <v>0.159</v>
      </c>
      <c r="AS517" s="61" t="s">
        <v>122</v>
      </c>
      <c r="AT517" s="61">
        <v>11</v>
      </c>
      <c r="AU517" s="61">
        <v>1</v>
      </c>
      <c r="AV517" s="61">
        <v>28.62</v>
      </c>
      <c r="AW517" s="61">
        <v>1.202</v>
      </c>
      <c r="AX517" s="65">
        <v>0.153</v>
      </c>
      <c r="AY517" s="66">
        <v>3.2549999999999999</v>
      </c>
      <c r="AZ517" s="61">
        <v>9.1709999999999994</v>
      </c>
      <c r="BA517" s="61">
        <v>42.143000000000001</v>
      </c>
      <c r="BB517" s="61">
        <v>54.567999999999998</v>
      </c>
      <c r="BC517" s="61">
        <v>2.7E-2</v>
      </c>
      <c r="BD517" s="61">
        <v>1.619</v>
      </c>
      <c r="BE517" s="61">
        <v>3.6680000000000001</v>
      </c>
      <c r="BF517" s="61">
        <v>0.11799999999999999</v>
      </c>
      <c r="BG517" s="61">
        <v>6.4850000000000003</v>
      </c>
      <c r="BH517" s="61">
        <v>3.9129999999999998</v>
      </c>
      <c r="BI517" s="61">
        <v>2.1280000000000001</v>
      </c>
      <c r="BJ517" s="61">
        <v>12.525</v>
      </c>
      <c r="BK517" s="66">
        <v>17.957000000000001</v>
      </c>
      <c r="BL517" s="67">
        <v>92.287999999999997</v>
      </c>
      <c r="BM517" s="61">
        <v>14.018000000000001</v>
      </c>
      <c r="BN517" s="61">
        <v>5.0890000000000004</v>
      </c>
      <c r="BO517" s="61">
        <v>0.153</v>
      </c>
      <c r="BP517" s="61">
        <v>111.54900000000001</v>
      </c>
      <c r="BQ517" s="61">
        <v>178.84700000000001</v>
      </c>
      <c r="BR517" s="61">
        <v>12.420999999999999</v>
      </c>
      <c r="BS517" s="61">
        <v>15.848000000000001</v>
      </c>
      <c r="BT517" s="61">
        <v>183.142</v>
      </c>
      <c r="BU517" s="61">
        <v>19.195</v>
      </c>
      <c r="BV517" s="61">
        <v>24.738</v>
      </c>
      <c r="BW517" s="61">
        <v>43.933</v>
      </c>
      <c r="BX517" s="67">
        <v>434.19200000000001</v>
      </c>
      <c r="BY517" s="68">
        <v>155071</v>
      </c>
      <c r="BZ517" s="68">
        <v>112207</v>
      </c>
      <c r="CA517" s="69">
        <v>4509</v>
      </c>
      <c r="CB517" s="68">
        <v>157210</v>
      </c>
      <c r="CC517" s="68">
        <v>35341</v>
      </c>
      <c r="CD517" s="68">
        <v>144104</v>
      </c>
      <c r="CE517" s="64"/>
      <c r="CF517" s="64"/>
      <c r="CG517" s="70">
        <f t="shared" si="43"/>
        <v>6602.82</v>
      </c>
      <c r="CH517" s="70">
        <f t="shared" si="44"/>
        <v>189.37799999999999</v>
      </c>
      <c r="CI517" s="70">
        <f t="shared" si="45"/>
        <v>1484.3219999999999</v>
      </c>
      <c r="CJ517" s="70">
        <f t="shared" si="40"/>
        <v>6512.982</v>
      </c>
      <c r="CK517" s="70">
        <f t="shared" si="40"/>
        <v>4712.6940000000004</v>
      </c>
      <c r="CL517" s="70">
        <f t="shared" si="42"/>
        <v>6052.3680000000004</v>
      </c>
      <c r="CM517" s="61"/>
      <c r="CN517" s="61"/>
      <c r="CO517" s="61"/>
      <c r="CP517" s="61"/>
      <c r="CQ517" s="61"/>
      <c r="CR517" s="61"/>
      <c r="CS517" s="61"/>
      <c r="CT517" s="61"/>
      <c r="CU517" s="61"/>
      <c r="CV517" s="61"/>
      <c r="CW517" s="61"/>
      <c r="CX517" s="61"/>
      <c r="CY517" s="61"/>
      <c r="CZ517" s="61"/>
      <c r="DA517" s="61"/>
      <c r="DB517" s="61"/>
      <c r="DC517" s="61"/>
      <c r="DD517" s="61"/>
      <c r="DE517" s="61"/>
      <c r="DF517" s="61"/>
      <c r="DG517" s="61"/>
      <c r="DH517" s="61"/>
      <c r="DI517" s="61"/>
      <c r="DJ517" s="61"/>
      <c r="DK517" s="61"/>
      <c r="DL517" s="61"/>
      <c r="DM517" s="61"/>
      <c r="DN517" s="61"/>
      <c r="DO517" s="61"/>
      <c r="DP517" s="61"/>
      <c r="DQ517" s="61"/>
      <c r="DR517" s="61"/>
      <c r="DS517" s="61"/>
      <c r="DT517" s="61"/>
      <c r="DU517" s="61"/>
      <c r="DV517" s="61"/>
      <c r="DW517" s="61"/>
      <c r="DX517" s="61"/>
      <c r="DY517" s="61"/>
      <c r="DZ517" s="61"/>
      <c r="EA517" s="61"/>
      <c r="EB517" s="61"/>
      <c r="EC517" s="61"/>
      <c r="ED517" s="61"/>
      <c r="EE517" s="61"/>
      <c r="EF517" s="61"/>
      <c r="EG517" s="61"/>
      <c r="EH517" s="61"/>
      <c r="EI517" s="61"/>
      <c r="EJ517" s="61"/>
      <c r="EK517" s="61"/>
      <c r="EL517" s="61"/>
      <c r="EM517" s="61"/>
      <c r="EN517" s="61"/>
      <c r="EO517" s="61"/>
      <c r="EP517" s="61"/>
      <c r="EQ517" s="61"/>
      <c r="ER517" s="61"/>
      <c r="ES517" s="61"/>
      <c r="ET517" s="61"/>
      <c r="EU517" s="61"/>
      <c r="EV517" s="61"/>
      <c r="EW517" s="61"/>
    </row>
    <row r="518" spans="1:153">
      <c r="A518" s="56">
        <v>42339</v>
      </c>
      <c r="B518" s="57">
        <v>2015</v>
      </c>
      <c r="C518" s="71">
        <v>13.978</v>
      </c>
      <c r="D518" s="61">
        <v>0.19</v>
      </c>
      <c r="E518" s="61">
        <v>2572.7939999999999</v>
      </c>
      <c r="F518" s="61">
        <v>108.057</v>
      </c>
      <c r="G518" s="61">
        <v>13.788</v>
      </c>
      <c r="H518" s="61">
        <v>1078</v>
      </c>
      <c r="I518" s="61">
        <v>133.483</v>
      </c>
      <c r="J518" s="61">
        <v>944.51700000000005</v>
      </c>
      <c r="K518" s="61">
        <v>3943.299</v>
      </c>
      <c r="L518" s="61">
        <v>343.32799999999997</v>
      </c>
      <c r="M518" s="61">
        <v>3173.9830000000002</v>
      </c>
      <c r="N518" s="61">
        <v>133.30699999999999</v>
      </c>
      <c r="O518" s="71">
        <v>17.009</v>
      </c>
      <c r="P518" s="60">
        <v>197.49199999999999</v>
      </c>
      <c r="Q518" s="61">
        <v>193.08</v>
      </c>
      <c r="R518" s="61">
        <v>437.31700000000001</v>
      </c>
      <c r="S518" s="61">
        <v>885.702</v>
      </c>
      <c r="T518" s="61">
        <v>215.76400000000001</v>
      </c>
      <c r="U518" s="61">
        <v>18.218</v>
      </c>
      <c r="V518" s="61">
        <v>27.207000000000001</v>
      </c>
      <c r="W518" s="61">
        <v>187.196</v>
      </c>
      <c r="X518" s="61">
        <v>197.49199999999999</v>
      </c>
      <c r="Y518" s="61">
        <v>46.744999999999997</v>
      </c>
      <c r="Z518" s="61">
        <v>187.80099999999999</v>
      </c>
      <c r="AA518" s="61">
        <v>432.03800000000001</v>
      </c>
      <c r="AB518" s="60">
        <v>880.423</v>
      </c>
      <c r="AC518" s="62">
        <v>317.15600000000001</v>
      </c>
      <c r="AD518" s="61">
        <v>13.321</v>
      </c>
      <c r="AE518" s="61">
        <v>1.742</v>
      </c>
      <c r="AF518" s="61">
        <v>483</v>
      </c>
      <c r="AG518" s="61">
        <v>634</v>
      </c>
      <c r="AH518" s="61">
        <v>-23</v>
      </c>
      <c r="AI518" s="61">
        <v>823.15599999999995</v>
      </c>
      <c r="AJ518" s="61">
        <v>34.573</v>
      </c>
      <c r="AK518" s="62">
        <v>4.5220000000000002</v>
      </c>
      <c r="AL518" s="63">
        <f t="shared" si="41"/>
        <v>34.573</v>
      </c>
      <c r="AM518" s="64">
        <v>4.5220000000000002</v>
      </c>
      <c r="AN518" s="65" t="s">
        <v>121</v>
      </c>
      <c r="AO518" s="61" t="s">
        <v>121</v>
      </c>
      <c r="AP518" s="61">
        <v>30.001000000000001</v>
      </c>
      <c r="AQ518" s="61">
        <v>1.26</v>
      </c>
      <c r="AR518" s="61">
        <v>0.161</v>
      </c>
      <c r="AS518" s="61" t="s">
        <v>122</v>
      </c>
      <c r="AT518" s="61">
        <v>4</v>
      </c>
      <c r="AU518" s="61">
        <v>-7</v>
      </c>
      <c r="AV518" s="61">
        <v>37.000999999999998</v>
      </c>
      <c r="AW518" s="61">
        <v>1.554</v>
      </c>
      <c r="AX518" s="65">
        <v>0.19800000000000001</v>
      </c>
      <c r="AY518" s="66">
        <v>3.363</v>
      </c>
      <c r="AZ518" s="61">
        <v>8.4629999999999992</v>
      </c>
      <c r="BA518" s="61">
        <v>43.546999999999997</v>
      </c>
      <c r="BB518" s="61">
        <v>55.372999999999998</v>
      </c>
      <c r="BC518" s="61">
        <v>3.9E-2</v>
      </c>
      <c r="BD518" s="61">
        <v>1.673</v>
      </c>
      <c r="BE518" s="61">
        <v>3.472</v>
      </c>
      <c r="BF518" s="61">
        <v>0.113</v>
      </c>
      <c r="BG518" s="61">
        <v>6.7530000000000001</v>
      </c>
      <c r="BH518" s="61">
        <v>4.016</v>
      </c>
      <c r="BI518" s="61">
        <v>2.141</v>
      </c>
      <c r="BJ518" s="61">
        <v>12.91</v>
      </c>
      <c r="BK518" s="66">
        <v>18.206</v>
      </c>
      <c r="BL518" s="67">
        <v>92.86</v>
      </c>
      <c r="BM518" s="61">
        <v>17.009</v>
      </c>
      <c r="BN518" s="61">
        <v>4.5220000000000002</v>
      </c>
      <c r="BO518" s="61">
        <v>0.19800000000000001</v>
      </c>
      <c r="BP518" s="61">
        <v>114.59</v>
      </c>
      <c r="BQ518" s="61">
        <v>214.376</v>
      </c>
      <c r="BR518" s="61">
        <v>12.824999999999999</v>
      </c>
      <c r="BS518" s="61">
        <v>14.391999999999999</v>
      </c>
      <c r="BT518" s="61">
        <v>187.02699999999999</v>
      </c>
      <c r="BU518" s="61">
        <v>21.425999999999998</v>
      </c>
      <c r="BV518" s="61">
        <v>25.445</v>
      </c>
      <c r="BW518" s="61">
        <v>46.871000000000002</v>
      </c>
      <c r="BX518" s="67">
        <v>475.49099999999999</v>
      </c>
      <c r="BY518" s="68">
        <v>156305</v>
      </c>
      <c r="BZ518" s="68">
        <v>118765</v>
      </c>
      <c r="CA518" s="69">
        <v>4801</v>
      </c>
      <c r="CB518" s="68">
        <v>161326</v>
      </c>
      <c r="CC518" s="68">
        <v>40295</v>
      </c>
      <c r="CD518" s="68">
        <v>146012</v>
      </c>
      <c r="CE518" s="64"/>
      <c r="CF518" s="64"/>
      <c r="CG518" s="70">
        <f t="shared" si="43"/>
        <v>6775.692</v>
      </c>
      <c r="CH518" s="70">
        <f t="shared" si="44"/>
        <v>201.642</v>
      </c>
      <c r="CI518" s="70">
        <f t="shared" si="45"/>
        <v>1692.39</v>
      </c>
      <c r="CJ518" s="70">
        <f t="shared" si="40"/>
        <v>6564.81</v>
      </c>
      <c r="CK518" s="70">
        <f t="shared" si="40"/>
        <v>4988.13</v>
      </c>
      <c r="CL518" s="70">
        <f t="shared" si="42"/>
        <v>6132.5039999999999</v>
      </c>
      <c r="CM518" s="61"/>
      <c r="CN518" s="61"/>
      <c r="CO518" s="61"/>
      <c r="CP518" s="61"/>
      <c r="CQ518" s="61"/>
      <c r="CR518" s="61"/>
      <c r="CS518" s="61"/>
      <c r="CT518" s="61"/>
      <c r="CU518" s="61"/>
      <c r="CV518" s="61"/>
      <c r="CW518" s="61"/>
      <c r="CX518" s="61"/>
      <c r="CY518" s="61"/>
      <c r="CZ518" s="61"/>
      <c r="DA518" s="61"/>
      <c r="DB518" s="61"/>
      <c r="DC518" s="61"/>
      <c r="DD518" s="61"/>
      <c r="DE518" s="61"/>
      <c r="DF518" s="61"/>
      <c r="DG518" s="61"/>
      <c r="DH518" s="61"/>
      <c r="DI518" s="61"/>
      <c r="DJ518" s="61"/>
      <c r="DK518" s="61"/>
      <c r="DL518" s="61"/>
      <c r="DM518" s="61"/>
      <c r="DN518" s="61"/>
      <c r="DO518" s="61"/>
      <c r="DP518" s="61"/>
      <c r="DQ518" s="61"/>
      <c r="DR518" s="61"/>
      <c r="DS518" s="61"/>
      <c r="DT518" s="61"/>
      <c r="DU518" s="61"/>
      <c r="DV518" s="61"/>
      <c r="DW518" s="61"/>
      <c r="DX518" s="61"/>
      <c r="DY518" s="61"/>
      <c r="DZ518" s="61"/>
      <c r="EA518" s="61"/>
      <c r="EB518" s="61"/>
      <c r="EC518" s="61"/>
      <c r="ED518" s="61"/>
      <c r="EE518" s="61"/>
      <c r="EF518" s="61"/>
      <c r="EG518" s="61"/>
      <c r="EH518" s="61"/>
      <c r="EI518" s="61"/>
      <c r="EJ518" s="61"/>
      <c r="EK518" s="61"/>
      <c r="EL518" s="61"/>
      <c r="EM518" s="61"/>
      <c r="EN518" s="61"/>
      <c r="EO518" s="61"/>
      <c r="EP518" s="61"/>
      <c r="EQ518" s="61"/>
      <c r="ER518" s="61"/>
      <c r="ES518" s="61"/>
      <c r="ET518" s="61"/>
      <c r="EU518" s="61"/>
      <c r="EV518" s="61"/>
      <c r="EW518" s="61"/>
    </row>
    <row r="519" spans="1:153">
      <c r="A519" s="56">
        <v>42370</v>
      </c>
      <c r="B519" s="57">
        <v>2016</v>
      </c>
      <c r="C519" s="71">
        <v>13.528</v>
      </c>
      <c r="D519" s="61">
        <v>0.184</v>
      </c>
      <c r="E519" s="61">
        <v>2489.9110000000001</v>
      </c>
      <c r="F519" s="61">
        <v>104.57599999999999</v>
      </c>
      <c r="G519" s="61">
        <v>13.343</v>
      </c>
      <c r="H519" s="61">
        <v>248</v>
      </c>
      <c r="I519" s="61">
        <v>42.423999999999999</v>
      </c>
      <c r="J519" s="61">
        <v>205.57599999999999</v>
      </c>
      <c r="K519" s="61">
        <v>4222.3620000000001</v>
      </c>
      <c r="L519" s="61">
        <v>279.06299999999999</v>
      </c>
      <c r="M519" s="61">
        <v>2416.424</v>
      </c>
      <c r="N519" s="61">
        <v>101.49</v>
      </c>
      <c r="O519" s="71">
        <v>12.95</v>
      </c>
      <c r="P519" s="60">
        <v>197.18700000000001</v>
      </c>
      <c r="Q519" s="61">
        <v>188.59800000000001</v>
      </c>
      <c r="R519" s="61">
        <v>427.94900000000001</v>
      </c>
      <c r="S519" s="61">
        <v>878.46500000000003</v>
      </c>
      <c r="T519" s="61">
        <v>236.37100000000001</v>
      </c>
      <c r="U519" s="61">
        <v>17.670000000000002</v>
      </c>
      <c r="V519" s="61">
        <v>26.067</v>
      </c>
      <c r="W519" s="61">
        <v>170.40799999999999</v>
      </c>
      <c r="X519" s="61">
        <v>192.27099999999999</v>
      </c>
      <c r="Y519" s="61">
        <v>42.164000000000001</v>
      </c>
      <c r="Z519" s="61">
        <v>174.702</v>
      </c>
      <c r="AA519" s="61">
        <v>409.13799999999998</v>
      </c>
      <c r="AB519" s="60">
        <v>859.654</v>
      </c>
      <c r="AC519" s="62">
        <v>279.95600000000002</v>
      </c>
      <c r="AD519" s="61">
        <v>11.757999999999999</v>
      </c>
      <c r="AE519" s="61">
        <v>1.538</v>
      </c>
      <c r="AF519" s="61">
        <v>258</v>
      </c>
      <c r="AG519" s="61">
        <v>793</v>
      </c>
      <c r="AH519" s="61">
        <v>159</v>
      </c>
      <c r="AI519" s="61">
        <v>378.95600000000002</v>
      </c>
      <c r="AJ519" s="61">
        <v>15.916</v>
      </c>
      <c r="AK519" s="62">
        <v>2.0819999999999999</v>
      </c>
      <c r="AL519" s="63">
        <f t="shared" si="41"/>
        <v>15.916</v>
      </c>
      <c r="AM519" s="64">
        <v>2.0819999999999999</v>
      </c>
      <c r="AN519" s="65" t="s">
        <v>121</v>
      </c>
      <c r="AO519" s="61" t="s">
        <v>121</v>
      </c>
      <c r="AP519" s="61">
        <v>30.009</v>
      </c>
      <c r="AQ519" s="61">
        <v>1.26</v>
      </c>
      <c r="AR519" s="61">
        <v>0.161</v>
      </c>
      <c r="AS519" s="61" t="s">
        <v>122</v>
      </c>
      <c r="AT519" s="61">
        <v>8</v>
      </c>
      <c r="AU519" s="61">
        <v>4</v>
      </c>
      <c r="AV519" s="61">
        <v>26.009</v>
      </c>
      <c r="AW519" s="61">
        <v>1.0920000000000001</v>
      </c>
      <c r="AX519" s="65">
        <v>0.13900000000000001</v>
      </c>
      <c r="AY519" s="66">
        <v>3.3540000000000001</v>
      </c>
      <c r="AZ519" s="61">
        <v>8.1140000000000008</v>
      </c>
      <c r="BA519" s="61">
        <v>37.661000000000001</v>
      </c>
      <c r="BB519" s="61">
        <v>49.128999999999998</v>
      </c>
      <c r="BC519" s="61">
        <v>0.19400000000000001</v>
      </c>
      <c r="BD519" s="61">
        <v>1.669</v>
      </c>
      <c r="BE519" s="61">
        <v>3.4390000000000001</v>
      </c>
      <c r="BF519" s="61">
        <v>0.104</v>
      </c>
      <c r="BG519" s="61">
        <v>7.17</v>
      </c>
      <c r="BH519" s="61">
        <v>3.98</v>
      </c>
      <c r="BI519" s="61">
        <v>1.99</v>
      </c>
      <c r="BJ519" s="61">
        <v>13.14</v>
      </c>
      <c r="BK519" s="66">
        <v>18.545999999999999</v>
      </c>
      <c r="BL519" s="67">
        <v>88.18</v>
      </c>
      <c r="BM519" s="61">
        <v>12.95</v>
      </c>
      <c r="BN519" s="61">
        <v>2.0819999999999999</v>
      </c>
      <c r="BO519" s="61">
        <v>0.13900000000000001</v>
      </c>
      <c r="BP519" s="61">
        <v>103.351</v>
      </c>
      <c r="BQ519" s="61">
        <v>234.98099999999999</v>
      </c>
      <c r="BR519" s="61">
        <v>12.292</v>
      </c>
      <c r="BS519" s="61">
        <v>13.456</v>
      </c>
      <c r="BT519" s="61">
        <v>170.22800000000001</v>
      </c>
      <c r="BU519" s="61">
        <v>20.69</v>
      </c>
      <c r="BV519" s="61">
        <v>23.184000000000001</v>
      </c>
      <c r="BW519" s="61">
        <v>43.874000000000002</v>
      </c>
      <c r="BX519" s="67">
        <v>474.83</v>
      </c>
      <c r="BY519" s="68">
        <v>140438</v>
      </c>
      <c r="BZ519" s="68">
        <v>119358</v>
      </c>
      <c r="CA519" s="69">
        <v>5317</v>
      </c>
      <c r="CB519" s="68">
        <v>160595</v>
      </c>
      <c r="CC519" s="68">
        <v>28479</v>
      </c>
      <c r="CD519" s="68">
        <v>128764</v>
      </c>
      <c r="CE519" s="64"/>
      <c r="CF519" s="64"/>
      <c r="CG519" s="70">
        <f t="shared" si="43"/>
        <v>6744.99</v>
      </c>
      <c r="CH519" s="70">
        <f t="shared" si="44"/>
        <v>223.31399999999999</v>
      </c>
      <c r="CI519" s="70">
        <f t="shared" si="45"/>
        <v>1196.1179999999999</v>
      </c>
      <c r="CJ519" s="70">
        <f t="shared" ref="CJ519:CK582" si="46">BY519*42/1000</f>
        <v>5898.3959999999997</v>
      </c>
      <c r="CK519" s="70">
        <f t="shared" si="46"/>
        <v>5013.0360000000001</v>
      </c>
      <c r="CL519" s="70">
        <f t="shared" si="42"/>
        <v>5408.0879999999997</v>
      </c>
      <c r="CM519" s="61"/>
      <c r="CN519" s="61"/>
      <c r="CO519" s="61"/>
      <c r="CP519" s="61"/>
      <c r="CQ519" s="61"/>
      <c r="CR519" s="61"/>
      <c r="CS519" s="61"/>
      <c r="CT519" s="61"/>
      <c r="CU519" s="61"/>
      <c r="CV519" s="61"/>
      <c r="CW519" s="61"/>
      <c r="CX519" s="61"/>
      <c r="CY519" s="61"/>
      <c r="CZ519" s="61"/>
      <c r="DA519" s="61"/>
      <c r="DB519" s="61"/>
      <c r="DC519" s="61"/>
      <c r="DD519" s="61"/>
      <c r="DE519" s="61"/>
      <c r="DF519" s="61"/>
      <c r="DG519" s="61"/>
      <c r="DH519" s="61"/>
      <c r="DI519" s="61"/>
      <c r="DJ519" s="61"/>
      <c r="DK519" s="61"/>
      <c r="DL519" s="61"/>
      <c r="DM519" s="61"/>
      <c r="DN519" s="61"/>
      <c r="DO519" s="61"/>
      <c r="DP519" s="61"/>
      <c r="DQ519" s="61"/>
      <c r="DR519" s="61"/>
      <c r="DS519" s="61"/>
      <c r="DT519" s="61"/>
      <c r="DU519" s="61"/>
      <c r="DV519" s="61"/>
      <c r="DW519" s="61"/>
      <c r="DX519" s="61"/>
      <c r="DY519" s="61"/>
      <c r="DZ519" s="61"/>
      <c r="EA519" s="61"/>
      <c r="EB519" s="61"/>
      <c r="EC519" s="61"/>
      <c r="ED519" s="61"/>
      <c r="EE519" s="61"/>
      <c r="EF519" s="61"/>
      <c r="EG519" s="61"/>
      <c r="EH519" s="61"/>
      <c r="EI519" s="61"/>
      <c r="EJ519" s="61"/>
      <c r="EK519" s="61"/>
      <c r="EL519" s="61"/>
      <c r="EM519" s="61"/>
      <c r="EN519" s="61"/>
      <c r="EO519" s="61"/>
      <c r="EP519" s="61"/>
      <c r="EQ519" s="61"/>
      <c r="ER519" s="61"/>
      <c r="ES519" s="61"/>
      <c r="ET519" s="61"/>
      <c r="EU519" s="61"/>
      <c r="EV519" s="61"/>
      <c r="EW519" s="61"/>
    </row>
    <row r="520" spans="1:153">
      <c r="A520" s="56">
        <v>42401</v>
      </c>
      <c r="B520" s="57">
        <v>2016</v>
      </c>
      <c r="C520" s="71">
        <v>13.602</v>
      </c>
      <c r="D520" s="61">
        <v>0.185</v>
      </c>
      <c r="E520" s="61">
        <v>2503.6579999999999</v>
      </c>
      <c r="F520" s="61">
        <v>105.154</v>
      </c>
      <c r="G520" s="61">
        <v>13.417</v>
      </c>
      <c r="H520" s="61">
        <v>287</v>
      </c>
      <c r="I520" s="61">
        <v>49.066000000000003</v>
      </c>
      <c r="J520" s="61">
        <v>237.934</v>
      </c>
      <c r="K520" s="61">
        <v>4133.0330000000004</v>
      </c>
      <c r="L520" s="61">
        <v>-89.33</v>
      </c>
      <c r="M520" s="61">
        <v>2830.922</v>
      </c>
      <c r="N520" s="61">
        <v>118.899</v>
      </c>
      <c r="O520" s="71">
        <v>15.170999999999999</v>
      </c>
      <c r="P520" s="60">
        <v>187.553</v>
      </c>
      <c r="Q520" s="61">
        <v>178.67099999999999</v>
      </c>
      <c r="R520" s="61">
        <v>406.69200000000001</v>
      </c>
      <c r="S520" s="61">
        <v>866.91</v>
      </c>
      <c r="T520" s="61">
        <v>222.755</v>
      </c>
      <c r="U520" s="61">
        <v>16.504999999999999</v>
      </c>
      <c r="V520" s="61">
        <v>35.122</v>
      </c>
      <c r="W520" s="61">
        <v>185.83600000000001</v>
      </c>
      <c r="X520" s="61">
        <v>180.93100000000001</v>
      </c>
      <c r="Y520" s="61">
        <v>40.466999999999999</v>
      </c>
      <c r="Z520" s="61">
        <v>176.11</v>
      </c>
      <c r="AA520" s="61">
        <v>397.50900000000001</v>
      </c>
      <c r="AB520" s="60">
        <v>857.726</v>
      </c>
      <c r="AC520" s="62">
        <v>175.11799999999999</v>
      </c>
      <c r="AD520" s="61">
        <v>7.3550000000000004</v>
      </c>
      <c r="AE520" s="61">
        <v>0.96199999999999997</v>
      </c>
      <c r="AF520" s="61">
        <v>345</v>
      </c>
      <c r="AG520" s="61">
        <v>755</v>
      </c>
      <c r="AH520" s="61">
        <v>-38</v>
      </c>
      <c r="AI520" s="61">
        <v>558.11800000000005</v>
      </c>
      <c r="AJ520" s="61">
        <v>23.440999999999999</v>
      </c>
      <c r="AK520" s="62">
        <v>3.0659999999999998</v>
      </c>
      <c r="AL520" s="63">
        <f t="shared" si="41"/>
        <v>23.440999999999999</v>
      </c>
      <c r="AM520" s="64">
        <v>3.0659999999999998</v>
      </c>
      <c r="AN520" s="65" t="s">
        <v>121</v>
      </c>
      <c r="AO520" s="61" t="s">
        <v>121</v>
      </c>
      <c r="AP520" s="61">
        <v>18.141999999999999</v>
      </c>
      <c r="AQ520" s="61">
        <v>0.76200000000000001</v>
      </c>
      <c r="AR520" s="61">
        <v>9.7000000000000003E-2</v>
      </c>
      <c r="AS520" s="61" t="s">
        <v>122</v>
      </c>
      <c r="AT520" s="61">
        <v>10</v>
      </c>
      <c r="AU520" s="61">
        <v>2</v>
      </c>
      <c r="AV520" s="61">
        <v>16.141999999999999</v>
      </c>
      <c r="AW520" s="61">
        <v>0.67800000000000005</v>
      </c>
      <c r="AX520" s="65">
        <v>8.6999999999999994E-2</v>
      </c>
      <c r="AY520" s="66">
        <v>3.1379999999999999</v>
      </c>
      <c r="AZ520" s="61">
        <v>9.6129999999999995</v>
      </c>
      <c r="BA520" s="61">
        <v>35.231000000000002</v>
      </c>
      <c r="BB520" s="61">
        <v>47.981999999999999</v>
      </c>
      <c r="BC520" s="61">
        <v>0.16400000000000001</v>
      </c>
      <c r="BD520" s="61">
        <v>1.5609999999999999</v>
      </c>
      <c r="BE520" s="61">
        <v>4.0359999999999996</v>
      </c>
      <c r="BF520" s="61">
        <v>0.114</v>
      </c>
      <c r="BG520" s="61">
        <v>6.6950000000000003</v>
      </c>
      <c r="BH520" s="61">
        <v>3.6139999999999999</v>
      </c>
      <c r="BI520" s="61">
        <v>2.032</v>
      </c>
      <c r="BJ520" s="61">
        <v>12.342000000000001</v>
      </c>
      <c r="BK520" s="66">
        <v>18.216000000000001</v>
      </c>
      <c r="BL520" s="67">
        <v>90.024000000000001</v>
      </c>
      <c r="BM520" s="61">
        <v>15.170999999999999</v>
      </c>
      <c r="BN520" s="61">
        <v>3.0659999999999998</v>
      </c>
      <c r="BO520" s="61">
        <v>8.6999999999999994E-2</v>
      </c>
      <c r="BP520" s="61">
        <v>108.34699999999999</v>
      </c>
      <c r="BQ520" s="61">
        <v>221.52600000000001</v>
      </c>
      <c r="BR520" s="61">
        <v>11.474</v>
      </c>
      <c r="BS520" s="61">
        <v>20.306999999999999</v>
      </c>
      <c r="BT520" s="61">
        <v>185.65299999999999</v>
      </c>
      <c r="BU520" s="61">
        <v>20.495000000000001</v>
      </c>
      <c r="BV520" s="61">
        <v>22.337</v>
      </c>
      <c r="BW520" s="61">
        <v>42.831000000000003</v>
      </c>
      <c r="BX520" s="67">
        <v>481.79</v>
      </c>
      <c r="BY520" s="68">
        <v>135366</v>
      </c>
      <c r="BZ520" s="68">
        <v>115887</v>
      </c>
      <c r="CA520" s="69">
        <v>6690</v>
      </c>
      <c r="CB520" s="68">
        <v>162496</v>
      </c>
      <c r="CC520" s="68">
        <v>25982</v>
      </c>
      <c r="CD520" s="68">
        <v>124165</v>
      </c>
      <c r="CE520" s="64"/>
      <c r="CF520" s="64"/>
      <c r="CG520" s="70">
        <f t="shared" si="43"/>
        <v>6824.8320000000003</v>
      </c>
      <c r="CH520" s="70">
        <f t="shared" si="44"/>
        <v>280.98</v>
      </c>
      <c r="CI520" s="70">
        <f t="shared" si="45"/>
        <v>1091.2439999999999</v>
      </c>
      <c r="CJ520" s="70">
        <f t="shared" si="46"/>
        <v>5685.3720000000003</v>
      </c>
      <c r="CK520" s="70">
        <f t="shared" si="46"/>
        <v>4867.2539999999999</v>
      </c>
      <c r="CL520" s="70">
        <f t="shared" si="42"/>
        <v>5214.93</v>
      </c>
      <c r="CM520" s="61"/>
      <c r="CN520" s="61"/>
      <c r="CO520" s="61"/>
      <c r="CP520" s="61"/>
      <c r="CQ520" s="61"/>
      <c r="CR520" s="61"/>
      <c r="CS520" s="61"/>
      <c r="CT520" s="61"/>
      <c r="CU520" s="61"/>
      <c r="CV520" s="61"/>
      <c r="CW520" s="61"/>
      <c r="CX520" s="61"/>
      <c r="CY520" s="61"/>
      <c r="CZ520" s="61"/>
      <c r="DA520" s="61"/>
      <c r="DB520" s="61"/>
      <c r="DC520" s="61"/>
      <c r="DD520" s="61"/>
      <c r="DE520" s="61"/>
      <c r="DF520" s="61"/>
      <c r="DG520" s="61"/>
      <c r="DH520" s="61"/>
      <c r="DI520" s="61"/>
      <c r="DJ520" s="61"/>
      <c r="DK520" s="61"/>
      <c r="DL520" s="61"/>
      <c r="DM520" s="61"/>
      <c r="DN520" s="61"/>
      <c r="DO520" s="61"/>
      <c r="DP520" s="61"/>
      <c r="DQ520" s="61"/>
      <c r="DR520" s="61"/>
      <c r="DS520" s="61"/>
      <c r="DT520" s="61"/>
      <c r="DU520" s="61"/>
      <c r="DV520" s="61"/>
      <c r="DW520" s="61"/>
      <c r="DX520" s="61"/>
      <c r="DY520" s="61"/>
      <c r="DZ520" s="61"/>
      <c r="EA520" s="61"/>
      <c r="EB520" s="61"/>
      <c r="EC520" s="61"/>
      <c r="ED520" s="61"/>
      <c r="EE520" s="61"/>
      <c r="EF520" s="61"/>
      <c r="EG520" s="61"/>
      <c r="EH520" s="61"/>
      <c r="EI520" s="61"/>
      <c r="EJ520" s="61"/>
      <c r="EK520" s="61"/>
      <c r="EL520" s="61"/>
      <c r="EM520" s="61"/>
      <c r="EN520" s="61"/>
      <c r="EO520" s="61"/>
      <c r="EP520" s="61"/>
      <c r="EQ520" s="61"/>
      <c r="ER520" s="61"/>
      <c r="ES520" s="61"/>
      <c r="ET520" s="61"/>
      <c r="EU520" s="61"/>
      <c r="EV520" s="61"/>
      <c r="EW520" s="61"/>
    </row>
    <row r="521" spans="1:153">
      <c r="A521" s="56">
        <v>42430</v>
      </c>
      <c r="B521" s="57">
        <v>2016</v>
      </c>
      <c r="C521" s="71">
        <v>15.542999999999999</v>
      </c>
      <c r="D521" s="61">
        <v>0.21199999999999999</v>
      </c>
      <c r="E521" s="61">
        <v>2860.9259999999999</v>
      </c>
      <c r="F521" s="61">
        <v>120.15900000000001</v>
      </c>
      <c r="G521" s="61">
        <v>15.332000000000001</v>
      </c>
      <c r="H521" s="61">
        <v>565</v>
      </c>
      <c r="I521" s="61">
        <v>233.62200000000001</v>
      </c>
      <c r="J521" s="61">
        <v>331.37799999999999</v>
      </c>
      <c r="K521" s="61">
        <v>4166.5590000000002</v>
      </c>
      <c r="L521" s="61">
        <v>33.526000000000003</v>
      </c>
      <c r="M521" s="61">
        <v>3158.7779999999998</v>
      </c>
      <c r="N521" s="61">
        <v>132.66900000000001</v>
      </c>
      <c r="O521" s="71">
        <v>16.928000000000001</v>
      </c>
      <c r="P521" s="60">
        <v>191.43299999999999</v>
      </c>
      <c r="Q521" s="61">
        <v>194.48</v>
      </c>
      <c r="R521" s="61">
        <v>429.45600000000002</v>
      </c>
      <c r="S521" s="61">
        <v>945.572</v>
      </c>
      <c r="T521" s="61">
        <v>252.75399999999999</v>
      </c>
      <c r="U521" s="61">
        <v>17.515000000000001</v>
      </c>
      <c r="V521" s="61">
        <v>43.390999999999998</v>
      </c>
      <c r="W521" s="61">
        <v>202.45699999999999</v>
      </c>
      <c r="X521" s="61">
        <v>185.559</v>
      </c>
      <c r="Y521" s="61">
        <v>43.542999999999999</v>
      </c>
      <c r="Z521" s="61">
        <v>191.31899999999999</v>
      </c>
      <c r="AA521" s="61">
        <v>420.42099999999999</v>
      </c>
      <c r="AB521" s="60">
        <v>936.53700000000003</v>
      </c>
      <c r="AC521" s="62">
        <v>426.78800000000001</v>
      </c>
      <c r="AD521" s="61">
        <v>17.925000000000001</v>
      </c>
      <c r="AE521" s="61">
        <v>2.3450000000000002</v>
      </c>
      <c r="AF521" s="61">
        <v>413</v>
      </c>
      <c r="AG521" s="61">
        <v>662</v>
      </c>
      <c r="AH521" s="61">
        <v>-93</v>
      </c>
      <c r="AI521" s="61">
        <v>932.78800000000001</v>
      </c>
      <c r="AJ521" s="61">
        <v>39.177</v>
      </c>
      <c r="AK521" s="62">
        <v>5.125</v>
      </c>
      <c r="AL521" s="63">
        <f t="shared" si="41"/>
        <v>39.177</v>
      </c>
      <c r="AM521" s="64">
        <v>5.125</v>
      </c>
      <c r="AN521" s="65" t="s">
        <v>121</v>
      </c>
      <c r="AO521" s="61" t="s">
        <v>121</v>
      </c>
      <c r="AP521" s="61">
        <v>36.061999999999998</v>
      </c>
      <c r="AQ521" s="61">
        <v>1.5149999999999999</v>
      </c>
      <c r="AR521" s="61">
        <v>0.193</v>
      </c>
      <c r="AS521" s="61" t="s">
        <v>122</v>
      </c>
      <c r="AT521" s="61">
        <v>11</v>
      </c>
      <c r="AU521" s="61">
        <v>1</v>
      </c>
      <c r="AV521" s="61">
        <v>35.061999999999998</v>
      </c>
      <c r="AW521" s="61">
        <v>1.4730000000000001</v>
      </c>
      <c r="AX521" s="65">
        <v>0.188</v>
      </c>
      <c r="AY521" s="66">
        <v>3.3540000000000001</v>
      </c>
      <c r="AZ521" s="61">
        <v>12.864000000000001</v>
      </c>
      <c r="BA521" s="61">
        <v>37.661000000000001</v>
      </c>
      <c r="BB521" s="61">
        <v>53.878999999999998</v>
      </c>
      <c r="BC521" s="61">
        <v>0.20399999999999999</v>
      </c>
      <c r="BD521" s="61">
        <v>1.669</v>
      </c>
      <c r="BE521" s="61">
        <v>5.2050000000000001</v>
      </c>
      <c r="BF521" s="61">
        <v>0.11600000000000001</v>
      </c>
      <c r="BG521" s="61">
        <v>6.9809999999999999</v>
      </c>
      <c r="BH521" s="61">
        <v>4.1040000000000001</v>
      </c>
      <c r="BI521" s="61">
        <v>2.1709999999999998</v>
      </c>
      <c r="BJ521" s="61">
        <v>13.256</v>
      </c>
      <c r="BK521" s="66">
        <v>20.45</v>
      </c>
      <c r="BL521" s="67">
        <v>96.207999999999998</v>
      </c>
      <c r="BM521" s="61">
        <v>16.928000000000001</v>
      </c>
      <c r="BN521" s="61">
        <v>5.125</v>
      </c>
      <c r="BO521" s="61">
        <v>0.188</v>
      </c>
      <c r="BP521" s="61">
        <v>118.44799999999999</v>
      </c>
      <c r="BQ521" s="61">
        <v>251.238</v>
      </c>
      <c r="BR521" s="61">
        <v>12.135999999999999</v>
      </c>
      <c r="BS521" s="61">
        <v>23.722999999999999</v>
      </c>
      <c r="BT521" s="61">
        <v>202.27600000000001</v>
      </c>
      <c r="BU521" s="61">
        <v>19.47</v>
      </c>
      <c r="BV521" s="61">
        <v>23.599</v>
      </c>
      <c r="BW521" s="61">
        <v>43.07</v>
      </c>
      <c r="BX521" s="67">
        <v>532.44299999999998</v>
      </c>
      <c r="BY521" s="68">
        <v>150297</v>
      </c>
      <c r="BZ521" s="68">
        <v>122357</v>
      </c>
      <c r="CA521" s="69">
        <v>4659</v>
      </c>
      <c r="CB521" s="68">
        <v>160073</v>
      </c>
      <c r="CC521" s="68">
        <v>36891</v>
      </c>
      <c r="CD521" s="68">
        <v>140351</v>
      </c>
      <c r="CE521" s="64"/>
      <c r="CF521" s="64"/>
      <c r="CG521" s="70">
        <f t="shared" si="43"/>
        <v>6723.0659999999998</v>
      </c>
      <c r="CH521" s="70">
        <f t="shared" si="44"/>
        <v>195.678</v>
      </c>
      <c r="CI521" s="70">
        <f t="shared" si="45"/>
        <v>1549.422</v>
      </c>
      <c r="CJ521" s="70">
        <f t="shared" si="46"/>
        <v>6312.4740000000002</v>
      </c>
      <c r="CK521" s="70">
        <f t="shared" si="46"/>
        <v>5138.9939999999997</v>
      </c>
      <c r="CL521" s="70">
        <f t="shared" si="42"/>
        <v>5894.7420000000002</v>
      </c>
      <c r="CM521" s="61"/>
      <c r="CN521" s="61"/>
      <c r="CO521" s="61"/>
      <c r="CP521" s="61"/>
      <c r="CQ521" s="61"/>
      <c r="CR521" s="61"/>
      <c r="CS521" s="61"/>
      <c r="CT521" s="61"/>
      <c r="CU521" s="61"/>
      <c r="CV521" s="61"/>
      <c r="CW521" s="61"/>
      <c r="CX521" s="61"/>
      <c r="CY521" s="61"/>
      <c r="CZ521" s="61"/>
      <c r="DA521" s="61"/>
      <c r="DB521" s="61"/>
      <c r="DC521" s="61"/>
      <c r="DD521" s="61"/>
      <c r="DE521" s="61"/>
      <c r="DF521" s="61"/>
      <c r="DG521" s="61"/>
      <c r="DH521" s="61"/>
      <c r="DI521" s="61"/>
      <c r="DJ521" s="61"/>
      <c r="DK521" s="61"/>
      <c r="DL521" s="61"/>
      <c r="DM521" s="61"/>
      <c r="DN521" s="61"/>
      <c r="DO521" s="61"/>
      <c r="DP521" s="61"/>
      <c r="DQ521" s="61"/>
      <c r="DR521" s="61"/>
      <c r="DS521" s="61"/>
      <c r="DT521" s="61"/>
      <c r="DU521" s="61"/>
      <c r="DV521" s="61"/>
      <c r="DW521" s="61"/>
      <c r="DX521" s="61"/>
      <c r="DY521" s="61"/>
      <c r="DZ521" s="61"/>
      <c r="EA521" s="61"/>
      <c r="EB521" s="61"/>
      <c r="EC521" s="61"/>
      <c r="ED521" s="61"/>
      <c r="EE521" s="61"/>
      <c r="EF521" s="61"/>
      <c r="EG521" s="61"/>
      <c r="EH521" s="61"/>
      <c r="EI521" s="61"/>
      <c r="EJ521" s="61"/>
      <c r="EK521" s="61"/>
      <c r="EL521" s="61"/>
      <c r="EM521" s="61"/>
      <c r="EN521" s="61"/>
      <c r="EO521" s="61"/>
      <c r="EP521" s="61"/>
      <c r="EQ521" s="61"/>
      <c r="ER521" s="61"/>
      <c r="ES521" s="61"/>
      <c r="ET521" s="61"/>
      <c r="EU521" s="61"/>
      <c r="EV521" s="61"/>
      <c r="EW521" s="61"/>
    </row>
    <row r="522" spans="1:153">
      <c r="A522" s="56">
        <v>42461</v>
      </c>
      <c r="B522" s="57">
        <v>2016</v>
      </c>
      <c r="C522" s="71">
        <v>15.516</v>
      </c>
      <c r="D522" s="61">
        <v>0.21099999999999999</v>
      </c>
      <c r="E522" s="61">
        <v>2855.9679999999998</v>
      </c>
      <c r="F522" s="61">
        <v>119.95099999999999</v>
      </c>
      <c r="G522" s="61">
        <v>15.305</v>
      </c>
      <c r="H522" s="61">
        <v>969</v>
      </c>
      <c r="I522" s="61">
        <v>245.58500000000001</v>
      </c>
      <c r="J522" s="61">
        <v>723.41499999999996</v>
      </c>
      <c r="K522" s="61">
        <v>4358.4030000000002</v>
      </c>
      <c r="L522" s="61">
        <v>191.84399999999999</v>
      </c>
      <c r="M522" s="61">
        <v>3387.5390000000002</v>
      </c>
      <c r="N522" s="61">
        <v>142.27699999999999</v>
      </c>
      <c r="O522" s="71">
        <v>18.154</v>
      </c>
      <c r="P522" s="60">
        <v>178.68700000000001</v>
      </c>
      <c r="Q522" s="61">
        <v>179.125</v>
      </c>
      <c r="R522" s="61">
        <v>400.49099999999999</v>
      </c>
      <c r="S522" s="61">
        <v>895.64400000000001</v>
      </c>
      <c r="T522" s="61">
        <v>238.80199999999999</v>
      </c>
      <c r="U522" s="61">
        <v>16.361000000000001</v>
      </c>
      <c r="V522" s="61">
        <v>48.052999999999997</v>
      </c>
      <c r="W522" s="61">
        <v>191.93600000000001</v>
      </c>
      <c r="X522" s="61">
        <v>173.78</v>
      </c>
      <c r="Y522" s="61">
        <v>42.677999999999997</v>
      </c>
      <c r="Z522" s="61">
        <v>177.536</v>
      </c>
      <c r="AA522" s="61">
        <v>393.99400000000003</v>
      </c>
      <c r="AB522" s="60">
        <v>889.14700000000005</v>
      </c>
      <c r="AC522" s="62">
        <v>506.02600000000001</v>
      </c>
      <c r="AD522" s="61">
        <v>21.253</v>
      </c>
      <c r="AE522" s="61">
        <v>2.78</v>
      </c>
      <c r="AF522" s="61">
        <v>420</v>
      </c>
      <c r="AG522" s="61">
        <v>927</v>
      </c>
      <c r="AH522" s="61">
        <v>265</v>
      </c>
      <c r="AI522" s="61">
        <v>661.02599999999995</v>
      </c>
      <c r="AJ522" s="61">
        <v>27.763000000000002</v>
      </c>
      <c r="AK522" s="62">
        <v>3.6320000000000001</v>
      </c>
      <c r="AL522" s="63">
        <f t="shared" si="41"/>
        <v>27.763000000000002</v>
      </c>
      <c r="AM522" s="64">
        <v>3.6320000000000001</v>
      </c>
      <c r="AN522" s="65" t="s">
        <v>121</v>
      </c>
      <c r="AO522" s="61" t="s">
        <v>121</v>
      </c>
      <c r="AP522" s="61">
        <v>27.757000000000001</v>
      </c>
      <c r="AQ522" s="61">
        <v>1.1659999999999999</v>
      </c>
      <c r="AR522" s="61">
        <v>0.14899999999999999</v>
      </c>
      <c r="AS522" s="61" t="s">
        <v>122</v>
      </c>
      <c r="AT522" s="61">
        <v>11</v>
      </c>
      <c r="AU522" s="61">
        <v>0</v>
      </c>
      <c r="AV522" s="61">
        <v>27.757000000000001</v>
      </c>
      <c r="AW522" s="61">
        <v>1.1659999999999999</v>
      </c>
      <c r="AX522" s="65">
        <v>0.14899999999999999</v>
      </c>
      <c r="AY522" s="66">
        <v>3.246</v>
      </c>
      <c r="AZ522" s="61">
        <v>14.54</v>
      </c>
      <c r="BA522" s="61">
        <v>36.445999999999998</v>
      </c>
      <c r="BB522" s="61">
        <v>54.231999999999999</v>
      </c>
      <c r="BC522" s="61">
        <v>0.13500000000000001</v>
      </c>
      <c r="BD522" s="61">
        <v>1.615</v>
      </c>
      <c r="BE522" s="61">
        <v>5.6459999999999999</v>
      </c>
      <c r="BF522" s="61">
        <v>0.11</v>
      </c>
      <c r="BG522" s="61">
        <v>6.8390000000000004</v>
      </c>
      <c r="BH522" s="61">
        <v>3.931</v>
      </c>
      <c r="BI522" s="61">
        <v>2.012</v>
      </c>
      <c r="BJ522" s="61">
        <v>12.781000000000001</v>
      </c>
      <c r="BK522" s="66">
        <v>20.286999999999999</v>
      </c>
      <c r="BL522" s="67">
        <v>89.149000000000001</v>
      </c>
      <c r="BM522" s="61">
        <v>18.154</v>
      </c>
      <c r="BN522" s="61">
        <v>3.6320000000000001</v>
      </c>
      <c r="BO522" s="61">
        <v>0.14899999999999999</v>
      </c>
      <c r="BP522" s="61">
        <v>111.083</v>
      </c>
      <c r="BQ522" s="61">
        <v>237.482</v>
      </c>
      <c r="BR522" s="61">
        <v>11.156000000000001</v>
      </c>
      <c r="BS522" s="61">
        <v>26.126000000000001</v>
      </c>
      <c r="BT522" s="61">
        <v>191.767</v>
      </c>
      <c r="BU522" s="61">
        <v>15.234999999999999</v>
      </c>
      <c r="BV522" s="61">
        <v>23.823</v>
      </c>
      <c r="BW522" s="61">
        <v>39.058</v>
      </c>
      <c r="BX522" s="67">
        <v>505.58800000000002</v>
      </c>
      <c r="BY522" s="68">
        <v>139764</v>
      </c>
      <c r="BZ522" s="68">
        <v>113966</v>
      </c>
      <c r="CA522" s="69">
        <v>5296</v>
      </c>
      <c r="CB522" s="68">
        <v>154741</v>
      </c>
      <c r="CC522" s="68">
        <v>38476</v>
      </c>
      <c r="CD522" s="68">
        <v>130772</v>
      </c>
      <c r="CE522" s="64"/>
      <c r="CF522" s="64"/>
      <c r="CG522" s="70">
        <f t="shared" si="43"/>
        <v>6499.1220000000003</v>
      </c>
      <c r="CH522" s="70">
        <f t="shared" si="44"/>
        <v>222.43199999999999</v>
      </c>
      <c r="CI522" s="70">
        <f t="shared" si="45"/>
        <v>1615.992</v>
      </c>
      <c r="CJ522" s="70">
        <f t="shared" si="46"/>
        <v>5870.0879999999997</v>
      </c>
      <c r="CK522" s="70">
        <f t="shared" si="46"/>
        <v>4786.5720000000001</v>
      </c>
      <c r="CL522" s="70">
        <f t="shared" si="42"/>
        <v>5492.424</v>
      </c>
      <c r="CM522" s="61"/>
      <c r="CN522" s="61"/>
      <c r="CO522" s="61"/>
      <c r="CP522" s="61"/>
      <c r="CQ522" s="61"/>
      <c r="CR522" s="61"/>
      <c r="CS522" s="61"/>
      <c r="CT522" s="61"/>
      <c r="CU522" s="61"/>
      <c r="CV522" s="61"/>
      <c r="CW522" s="61"/>
      <c r="CX522" s="61"/>
      <c r="CY522" s="61"/>
      <c r="CZ522" s="61"/>
      <c r="DA522" s="61"/>
      <c r="DB522" s="61"/>
      <c r="DC522" s="61"/>
      <c r="DD522" s="61"/>
      <c r="DE522" s="61"/>
      <c r="DF522" s="61"/>
      <c r="DG522" s="61"/>
      <c r="DH522" s="61"/>
      <c r="DI522" s="61"/>
      <c r="DJ522" s="61"/>
      <c r="DK522" s="61"/>
      <c r="DL522" s="61"/>
      <c r="DM522" s="61"/>
      <c r="DN522" s="61"/>
      <c r="DO522" s="61"/>
      <c r="DP522" s="61"/>
      <c r="DQ522" s="61"/>
      <c r="DR522" s="61"/>
      <c r="DS522" s="61"/>
      <c r="DT522" s="61"/>
      <c r="DU522" s="61"/>
      <c r="DV522" s="61"/>
      <c r="DW522" s="61"/>
      <c r="DX522" s="61"/>
      <c r="DY522" s="61"/>
      <c r="DZ522" s="61"/>
      <c r="EA522" s="61"/>
      <c r="EB522" s="61"/>
      <c r="EC522" s="61"/>
      <c r="ED522" s="61"/>
      <c r="EE522" s="61"/>
      <c r="EF522" s="61"/>
      <c r="EG522" s="61"/>
      <c r="EH522" s="61"/>
      <c r="EI522" s="61"/>
      <c r="EJ522" s="61"/>
      <c r="EK522" s="61"/>
      <c r="EL522" s="61"/>
      <c r="EM522" s="61"/>
      <c r="EN522" s="61"/>
      <c r="EO522" s="61"/>
      <c r="EP522" s="61"/>
      <c r="EQ522" s="61"/>
      <c r="ER522" s="61"/>
      <c r="ES522" s="61"/>
      <c r="ET522" s="61"/>
      <c r="EU522" s="61"/>
      <c r="EV522" s="61"/>
      <c r="EW522" s="61"/>
    </row>
    <row r="523" spans="1:153">
      <c r="A523" s="56">
        <v>42491</v>
      </c>
      <c r="B523" s="57">
        <v>2016</v>
      </c>
      <c r="C523" s="71">
        <v>17.507999999999999</v>
      </c>
      <c r="D523" s="61">
        <v>0.23799999999999999</v>
      </c>
      <c r="E523" s="61">
        <v>3222.4780000000001</v>
      </c>
      <c r="F523" s="61">
        <v>135.34399999999999</v>
      </c>
      <c r="G523" s="61">
        <v>17.268999999999998</v>
      </c>
      <c r="H523" s="61">
        <v>1117</v>
      </c>
      <c r="I523" s="61">
        <v>335.29599999999999</v>
      </c>
      <c r="J523" s="61">
        <v>781.70399999999995</v>
      </c>
      <c r="K523" s="61">
        <v>4090.7020000000002</v>
      </c>
      <c r="L523" s="61">
        <v>-267.702</v>
      </c>
      <c r="M523" s="61">
        <v>4271.884</v>
      </c>
      <c r="N523" s="61">
        <v>179.41900000000001</v>
      </c>
      <c r="O523" s="71">
        <v>22.893000000000001</v>
      </c>
      <c r="P523" s="60">
        <v>187.70099999999999</v>
      </c>
      <c r="Q523" s="61">
        <v>193.54499999999999</v>
      </c>
      <c r="R523" s="61">
        <v>424.18599999999998</v>
      </c>
      <c r="S523" s="61">
        <v>906.37199999999996</v>
      </c>
      <c r="T523" s="61">
        <v>235.18799999999999</v>
      </c>
      <c r="U523" s="61">
        <v>17.760999999999999</v>
      </c>
      <c r="V523" s="61">
        <v>55.308</v>
      </c>
      <c r="W523" s="61">
        <v>173.928</v>
      </c>
      <c r="X523" s="61">
        <v>181.19900000000001</v>
      </c>
      <c r="Y523" s="61">
        <v>42.94</v>
      </c>
      <c r="Z523" s="61">
        <v>197.17400000000001</v>
      </c>
      <c r="AA523" s="61">
        <v>421.31299999999999</v>
      </c>
      <c r="AB523" s="60">
        <v>903.49800000000005</v>
      </c>
      <c r="AC523" s="62">
        <v>522.226</v>
      </c>
      <c r="AD523" s="61">
        <v>21.933</v>
      </c>
      <c r="AE523" s="61">
        <v>2.8690000000000002</v>
      </c>
      <c r="AF523" s="61">
        <v>275</v>
      </c>
      <c r="AG523" s="61">
        <v>774</v>
      </c>
      <c r="AH523" s="61">
        <v>-153</v>
      </c>
      <c r="AI523" s="61">
        <v>950.226</v>
      </c>
      <c r="AJ523" s="61">
        <v>39.908999999999999</v>
      </c>
      <c r="AK523" s="62">
        <v>5.2210000000000001</v>
      </c>
      <c r="AL523" s="63">
        <f t="shared" ref="AL523:AL586" si="47">AJ523</f>
        <v>39.908999999999999</v>
      </c>
      <c r="AM523" s="64">
        <v>5.2210000000000001</v>
      </c>
      <c r="AN523" s="65" t="s">
        <v>121</v>
      </c>
      <c r="AO523" s="61" t="s">
        <v>121</v>
      </c>
      <c r="AP523" s="61">
        <v>43.530999999999999</v>
      </c>
      <c r="AQ523" s="61">
        <v>1.8280000000000001</v>
      </c>
      <c r="AR523" s="61">
        <v>0.23300000000000001</v>
      </c>
      <c r="AS523" s="61" t="s">
        <v>122</v>
      </c>
      <c r="AT523" s="61">
        <v>11</v>
      </c>
      <c r="AU523" s="61">
        <v>0</v>
      </c>
      <c r="AV523" s="61">
        <v>43.530999999999999</v>
      </c>
      <c r="AW523" s="61">
        <v>1.8280000000000001</v>
      </c>
      <c r="AX523" s="65">
        <v>0.23300000000000001</v>
      </c>
      <c r="AY523" s="66">
        <v>3.3540000000000001</v>
      </c>
      <c r="AZ523" s="61">
        <v>16.120999999999999</v>
      </c>
      <c r="BA523" s="61">
        <v>37.661000000000001</v>
      </c>
      <c r="BB523" s="61">
        <v>57.136000000000003</v>
      </c>
      <c r="BC523" s="61">
        <v>0.106</v>
      </c>
      <c r="BD523" s="61">
        <v>1.669</v>
      </c>
      <c r="BE523" s="61">
        <v>6.12</v>
      </c>
      <c r="BF523" s="61">
        <v>9.8000000000000004E-2</v>
      </c>
      <c r="BG523" s="61">
        <v>6.9640000000000004</v>
      </c>
      <c r="BH523" s="61">
        <v>4.0510000000000002</v>
      </c>
      <c r="BI523" s="61">
        <v>2.1949999999999998</v>
      </c>
      <c r="BJ523" s="61">
        <v>13.209</v>
      </c>
      <c r="BK523" s="66">
        <v>21.202000000000002</v>
      </c>
      <c r="BL523" s="67">
        <v>97.244</v>
      </c>
      <c r="BM523" s="61">
        <v>22.893000000000001</v>
      </c>
      <c r="BN523" s="61">
        <v>5.2210000000000001</v>
      </c>
      <c r="BO523" s="61">
        <v>0.23300000000000001</v>
      </c>
      <c r="BP523" s="61">
        <v>125.59099999999999</v>
      </c>
      <c r="BQ523" s="61">
        <v>233.98</v>
      </c>
      <c r="BR523" s="61">
        <v>12.382999999999999</v>
      </c>
      <c r="BS523" s="61">
        <v>31.145</v>
      </c>
      <c r="BT523" s="61">
        <v>173.78200000000001</v>
      </c>
      <c r="BU523" s="61">
        <v>15.721</v>
      </c>
      <c r="BV523" s="61">
        <v>23.916</v>
      </c>
      <c r="BW523" s="61">
        <v>39.637</v>
      </c>
      <c r="BX523" s="67">
        <v>490.92500000000001</v>
      </c>
      <c r="BY523" s="68">
        <v>147573</v>
      </c>
      <c r="BZ523" s="68">
        <v>115691</v>
      </c>
      <c r="CA523" s="69">
        <v>3817</v>
      </c>
      <c r="CB523" s="68">
        <v>154947</v>
      </c>
      <c r="CC523" s="68">
        <v>38286</v>
      </c>
      <c r="CD523" s="68">
        <v>136888</v>
      </c>
      <c r="CE523" s="64"/>
      <c r="CF523" s="64"/>
      <c r="CG523" s="70">
        <f t="shared" si="43"/>
        <v>6507.7740000000003</v>
      </c>
      <c r="CH523" s="70">
        <f t="shared" si="44"/>
        <v>160.31399999999999</v>
      </c>
      <c r="CI523" s="70">
        <f t="shared" si="45"/>
        <v>1608.0119999999999</v>
      </c>
      <c r="CJ523" s="70">
        <f t="shared" si="46"/>
        <v>6198.0659999999998</v>
      </c>
      <c r="CK523" s="70">
        <f t="shared" si="46"/>
        <v>4859.0219999999999</v>
      </c>
      <c r="CL523" s="70">
        <f t="shared" si="42"/>
        <v>5749.2960000000003</v>
      </c>
      <c r="CM523" s="61"/>
      <c r="CN523" s="61"/>
      <c r="CO523" s="61"/>
      <c r="CP523" s="61"/>
      <c r="CQ523" s="61"/>
      <c r="CR523" s="61"/>
      <c r="CS523" s="61"/>
      <c r="CT523" s="61"/>
      <c r="CU523" s="61"/>
      <c r="CV523" s="61"/>
      <c r="CW523" s="61"/>
      <c r="CX523" s="61"/>
      <c r="CY523" s="61"/>
      <c r="CZ523" s="61"/>
      <c r="DA523" s="61"/>
      <c r="DB523" s="61"/>
      <c r="DC523" s="61"/>
      <c r="DD523" s="61"/>
      <c r="DE523" s="61"/>
      <c r="DF523" s="61"/>
      <c r="DG523" s="61"/>
      <c r="DH523" s="61"/>
      <c r="DI523" s="61"/>
      <c r="DJ523" s="61"/>
      <c r="DK523" s="61"/>
      <c r="DL523" s="61"/>
      <c r="DM523" s="61"/>
      <c r="DN523" s="61"/>
      <c r="DO523" s="61"/>
      <c r="DP523" s="61"/>
      <c r="DQ523" s="61"/>
      <c r="DR523" s="61"/>
      <c r="DS523" s="61"/>
      <c r="DT523" s="61"/>
      <c r="DU523" s="61"/>
      <c r="DV523" s="61"/>
      <c r="DW523" s="61"/>
      <c r="DX523" s="61"/>
      <c r="DY523" s="61"/>
      <c r="DZ523" s="61"/>
      <c r="EA523" s="61"/>
      <c r="EB523" s="61"/>
      <c r="EC523" s="61"/>
      <c r="ED523" s="61"/>
      <c r="EE523" s="61"/>
      <c r="EF523" s="61"/>
      <c r="EG523" s="61"/>
      <c r="EH523" s="61"/>
      <c r="EI523" s="61"/>
      <c r="EJ523" s="61"/>
      <c r="EK523" s="61"/>
      <c r="EL523" s="61"/>
      <c r="EM523" s="61"/>
      <c r="EN523" s="61"/>
      <c r="EO523" s="61"/>
      <c r="EP523" s="61"/>
      <c r="EQ523" s="61"/>
      <c r="ER523" s="61"/>
      <c r="ES523" s="61"/>
      <c r="ET523" s="61"/>
      <c r="EU523" s="61"/>
      <c r="EV523" s="61"/>
      <c r="EW523" s="61"/>
    </row>
    <row r="524" spans="1:153">
      <c r="A524" s="56">
        <v>42522</v>
      </c>
      <c r="B524" s="57">
        <v>2016</v>
      </c>
      <c r="C524" s="71">
        <v>17.414000000000001</v>
      </c>
      <c r="D524" s="61">
        <v>0.23699999999999999</v>
      </c>
      <c r="E524" s="61">
        <v>3205.2460000000001</v>
      </c>
      <c r="F524" s="61">
        <v>134.62</v>
      </c>
      <c r="G524" s="61">
        <v>17.177</v>
      </c>
      <c r="H524" s="61">
        <v>1630</v>
      </c>
      <c r="I524" s="61">
        <v>220.33600000000001</v>
      </c>
      <c r="J524" s="61">
        <v>1409.664</v>
      </c>
      <c r="K524" s="61">
        <v>4726.0039999999999</v>
      </c>
      <c r="L524" s="61">
        <v>635.30200000000002</v>
      </c>
      <c r="M524" s="61">
        <v>3979.6080000000002</v>
      </c>
      <c r="N524" s="61">
        <v>167.14400000000001</v>
      </c>
      <c r="O524" s="71">
        <v>21.327000000000002</v>
      </c>
      <c r="P524" s="60">
        <v>190.852</v>
      </c>
      <c r="Q524" s="61">
        <v>194.20099999999999</v>
      </c>
      <c r="R524" s="61">
        <v>425.12</v>
      </c>
      <c r="S524" s="61">
        <v>863.11900000000003</v>
      </c>
      <c r="T524" s="61">
        <v>214.43</v>
      </c>
      <c r="U524" s="61">
        <v>16.753</v>
      </c>
      <c r="V524" s="61">
        <v>56.369</v>
      </c>
      <c r="W524" s="61">
        <v>150.44800000000001</v>
      </c>
      <c r="X524" s="61">
        <v>182.64400000000001</v>
      </c>
      <c r="Y524" s="61">
        <v>40.067</v>
      </c>
      <c r="Z524" s="61">
        <v>196.602</v>
      </c>
      <c r="AA524" s="61">
        <v>419.31299999999999</v>
      </c>
      <c r="AB524" s="60">
        <v>857.31200000000001</v>
      </c>
      <c r="AC524" s="62">
        <v>537.36500000000001</v>
      </c>
      <c r="AD524" s="61">
        <v>22.568999999999999</v>
      </c>
      <c r="AE524" s="61">
        <v>2.952</v>
      </c>
      <c r="AF524" s="61">
        <v>586</v>
      </c>
      <c r="AG524" s="61">
        <v>790</v>
      </c>
      <c r="AH524" s="61">
        <v>16</v>
      </c>
      <c r="AI524" s="61">
        <v>1107.365</v>
      </c>
      <c r="AJ524" s="61">
        <v>46.509</v>
      </c>
      <c r="AK524" s="62">
        <v>6.0839999999999996</v>
      </c>
      <c r="AL524" s="63">
        <f t="shared" si="47"/>
        <v>46.509</v>
      </c>
      <c r="AM524" s="64">
        <v>6.0839999999999996</v>
      </c>
      <c r="AN524" s="65" t="s">
        <v>121</v>
      </c>
      <c r="AO524" s="61" t="s">
        <v>121</v>
      </c>
      <c r="AP524" s="61">
        <v>42.042000000000002</v>
      </c>
      <c r="AQ524" s="61">
        <v>1.766</v>
      </c>
      <c r="AR524" s="61">
        <v>0.22500000000000001</v>
      </c>
      <c r="AS524" s="61" t="s">
        <v>122</v>
      </c>
      <c r="AT524" s="61">
        <v>36</v>
      </c>
      <c r="AU524" s="61">
        <v>25</v>
      </c>
      <c r="AV524" s="61">
        <v>17.042000000000002</v>
      </c>
      <c r="AW524" s="61">
        <v>0.71599999999999997</v>
      </c>
      <c r="AX524" s="65">
        <v>9.0999999999999998E-2</v>
      </c>
      <c r="AY524" s="66">
        <v>3.246</v>
      </c>
      <c r="AZ524" s="61">
        <v>16.667000000000002</v>
      </c>
      <c r="BA524" s="61">
        <v>36.445999999999998</v>
      </c>
      <c r="BB524" s="61">
        <v>56.359000000000002</v>
      </c>
      <c r="BC524" s="61">
        <v>0.11799999999999999</v>
      </c>
      <c r="BD524" s="61">
        <v>1.615</v>
      </c>
      <c r="BE524" s="61">
        <v>6.234</v>
      </c>
      <c r="BF524" s="61">
        <v>8.3000000000000004E-2</v>
      </c>
      <c r="BG524" s="61">
        <v>6.9290000000000003</v>
      </c>
      <c r="BH524" s="61">
        <v>3.992</v>
      </c>
      <c r="BI524" s="61">
        <v>2.1949999999999998</v>
      </c>
      <c r="BJ524" s="61">
        <v>13.116</v>
      </c>
      <c r="BK524" s="66">
        <v>21.166</v>
      </c>
      <c r="BL524" s="67">
        <v>97.254999999999995</v>
      </c>
      <c r="BM524" s="61">
        <v>21.327000000000002</v>
      </c>
      <c r="BN524" s="61">
        <v>6.0839999999999996</v>
      </c>
      <c r="BO524" s="61">
        <v>9.0999999999999998E-2</v>
      </c>
      <c r="BP524" s="61">
        <v>124.75700000000001</v>
      </c>
      <c r="BQ524" s="61">
        <v>213.40199999999999</v>
      </c>
      <c r="BR524" s="61">
        <v>11.548</v>
      </c>
      <c r="BS524" s="61">
        <v>31.539000000000001</v>
      </c>
      <c r="BT524" s="61">
        <v>150.32300000000001</v>
      </c>
      <c r="BU524" s="61">
        <v>18.135999999999999</v>
      </c>
      <c r="BV524" s="61">
        <v>23.135000000000002</v>
      </c>
      <c r="BW524" s="61">
        <v>41.271000000000001</v>
      </c>
      <c r="BX524" s="67">
        <v>448.08199999999999</v>
      </c>
      <c r="BY524" s="68">
        <v>148608</v>
      </c>
      <c r="BZ524" s="68">
        <v>115582</v>
      </c>
      <c r="CA524" s="69">
        <v>2651</v>
      </c>
      <c r="CB524" s="68">
        <v>149767</v>
      </c>
      <c r="CC524" s="68">
        <v>43295</v>
      </c>
      <c r="CD524" s="68">
        <v>138815</v>
      </c>
      <c r="CE524" s="64"/>
      <c r="CF524" s="64"/>
      <c r="CG524" s="70">
        <f t="shared" si="43"/>
        <v>6290.2139999999999</v>
      </c>
      <c r="CH524" s="70">
        <f t="shared" si="44"/>
        <v>111.342</v>
      </c>
      <c r="CI524" s="70">
        <f t="shared" si="45"/>
        <v>1818.39</v>
      </c>
      <c r="CJ524" s="70">
        <f t="shared" si="46"/>
        <v>6241.5360000000001</v>
      </c>
      <c r="CK524" s="70">
        <f t="shared" si="46"/>
        <v>4854.4440000000004</v>
      </c>
      <c r="CL524" s="70">
        <f t="shared" si="42"/>
        <v>5830.23</v>
      </c>
      <c r="CM524" s="61"/>
      <c r="CN524" s="61"/>
      <c r="CO524" s="61"/>
      <c r="CP524" s="61"/>
      <c r="CQ524" s="61"/>
      <c r="CR524" s="61"/>
      <c r="CS524" s="61"/>
      <c r="CT524" s="61"/>
      <c r="CU524" s="61"/>
      <c r="CV524" s="61"/>
      <c r="CW524" s="61"/>
      <c r="CX524" s="61"/>
      <c r="CY524" s="61"/>
      <c r="CZ524" s="61"/>
      <c r="DA524" s="61"/>
      <c r="DB524" s="61"/>
      <c r="DC524" s="61"/>
      <c r="DD524" s="61"/>
      <c r="DE524" s="61"/>
      <c r="DF524" s="61"/>
      <c r="DG524" s="61"/>
      <c r="DH524" s="61"/>
      <c r="DI524" s="61"/>
      <c r="DJ524" s="61"/>
      <c r="DK524" s="61"/>
      <c r="DL524" s="61"/>
      <c r="DM524" s="61"/>
      <c r="DN524" s="61"/>
      <c r="DO524" s="61"/>
      <c r="DP524" s="61"/>
      <c r="DQ524" s="61"/>
      <c r="DR524" s="61"/>
      <c r="DS524" s="61"/>
      <c r="DT524" s="61"/>
      <c r="DU524" s="61"/>
      <c r="DV524" s="61"/>
      <c r="DW524" s="61"/>
      <c r="DX524" s="61"/>
      <c r="DY524" s="61"/>
      <c r="DZ524" s="61"/>
      <c r="EA524" s="61"/>
      <c r="EB524" s="61"/>
      <c r="EC524" s="61"/>
      <c r="ED524" s="61"/>
      <c r="EE524" s="61"/>
      <c r="EF524" s="61"/>
      <c r="EG524" s="61"/>
      <c r="EH524" s="61"/>
      <c r="EI524" s="61"/>
      <c r="EJ524" s="61"/>
      <c r="EK524" s="61"/>
      <c r="EL524" s="61"/>
      <c r="EM524" s="61"/>
      <c r="EN524" s="61"/>
      <c r="EO524" s="61"/>
      <c r="EP524" s="61"/>
      <c r="EQ524" s="61"/>
      <c r="ER524" s="61"/>
      <c r="ES524" s="61"/>
      <c r="ET524" s="61"/>
      <c r="EU524" s="61"/>
      <c r="EV524" s="61"/>
      <c r="EW524" s="61"/>
    </row>
    <row r="525" spans="1:153">
      <c r="A525" s="56">
        <v>42552</v>
      </c>
      <c r="B525" s="57">
        <v>2016</v>
      </c>
      <c r="C525" s="71">
        <v>18.094999999999999</v>
      </c>
      <c r="D525" s="61">
        <v>0.246</v>
      </c>
      <c r="E525" s="61">
        <v>3330.636</v>
      </c>
      <c r="F525" s="61">
        <v>139.887</v>
      </c>
      <c r="G525" s="61">
        <v>17.849</v>
      </c>
      <c r="H525" s="61">
        <v>1681</v>
      </c>
      <c r="I525" s="61">
        <v>249.68</v>
      </c>
      <c r="J525" s="61">
        <v>1431.32</v>
      </c>
      <c r="K525" s="61">
        <v>4442.527</v>
      </c>
      <c r="L525" s="61">
        <v>-283.476</v>
      </c>
      <c r="M525" s="61">
        <v>5045.4319999999998</v>
      </c>
      <c r="N525" s="61">
        <v>211.90799999999999</v>
      </c>
      <c r="O525" s="71">
        <v>27.038</v>
      </c>
      <c r="P525" s="60">
        <v>193.036</v>
      </c>
      <c r="Q525" s="61">
        <v>200.41200000000001</v>
      </c>
      <c r="R525" s="61">
        <v>434.89699999999999</v>
      </c>
      <c r="S525" s="61">
        <v>874.58</v>
      </c>
      <c r="T525" s="61">
        <v>197.99</v>
      </c>
      <c r="U525" s="61">
        <v>17.478000000000002</v>
      </c>
      <c r="V525" s="61">
        <v>61.633000000000003</v>
      </c>
      <c r="W525" s="61">
        <v>162.58199999999999</v>
      </c>
      <c r="X525" s="61">
        <v>188.917</v>
      </c>
      <c r="Y525" s="61">
        <v>41.448</v>
      </c>
      <c r="Z525" s="61">
        <v>205.11099999999999</v>
      </c>
      <c r="AA525" s="61">
        <v>435.47699999999998</v>
      </c>
      <c r="AB525" s="60">
        <v>875.16</v>
      </c>
      <c r="AC525" s="62">
        <v>464.762</v>
      </c>
      <c r="AD525" s="61">
        <v>19.52</v>
      </c>
      <c r="AE525" s="61">
        <v>2.5529999999999999</v>
      </c>
      <c r="AF525" s="61">
        <v>419</v>
      </c>
      <c r="AG525" s="61">
        <v>931</v>
      </c>
      <c r="AH525" s="61">
        <v>141</v>
      </c>
      <c r="AI525" s="61">
        <v>742.76199999999994</v>
      </c>
      <c r="AJ525" s="61">
        <v>31.196000000000002</v>
      </c>
      <c r="AK525" s="62">
        <v>4.0810000000000004</v>
      </c>
      <c r="AL525" s="63">
        <f t="shared" si="47"/>
        <v>31.196000000000002</v>
      </c>
      <c r="AM525" s="64">
        <v>4.0810000000000004</v>
      </c>
      <c r="AN525" s="65" t="s">
        <v>121</v>
      </c>
      <c r="AO525" s="61" t="s">
        <v>121</v>
      </c>
      <c r="AP525" s="61">
        <v>39.112000000000002</v>
      </c>
      <c r="AQ525" s="61">
        <v>1.643</v>
      </c>
      <c r="AR525" s="61">
        <v>0.21</v>
      </c>
      <c r="AS525" s="61" t="s">
        <v>122</v>
      </c>
      <c r="AT525" s="61">
        <v>32</v>
      </c>
      <c r="AU525" s="61">
        <v>-4</v>
      </c>
      <c r="AV525" s="61">
        <v>43.112000000000002</v>
      </c>
      <c r="AW525" s="61">
        <v>1.8109999999999999</v>
      </c>
      <c r="AX525" s="65">
        <v>0.23100000000000001</v>
      </c>
      <c r="AY525" s="66">
        <v>3.3540000000000001</v>
      </c>
      <c r="AZ525" s="61">
        <v>17.350000000000001</v>
      </c>
      <c r="BA525" s="61">
        <v>37.661000000000001</v>
      </c>
      <c r="BB525" s="61">
        <v>58.365000000000002</v>
      </c>
      <c r="BC525" s="61">
        <v>0.13800000000000001</v>
      </c>
      <c r="BD525" s="61">
        <v>1.669</v>
      </c>
      <c r="BE525" s="61">
        <v>6.4189999999999996</v>
      </c>
      <c r="BF525" s="61">
        <v>0.09</v>
      </c>
      <c r="BG525" s="61">
        <v>7.1050000000000004</v>
      </c>
      <c r="BH525" s="61">
        <v>4.2130000000000001</v>
      </c>
      <c r="BI525" s="61">
        <v>2.246</v>
      </c>
      <c r="BJ525" s="61">
        <v>13.563000000000001</v>
      </c>
      <c r="BK525" s="66">
        <v>21.879000000000001</v>
      </c>
      <c r="BL525" s="67">
        <v>99.495999999999995</v>
      </c>
      <c r="BM525" s="61">
        <v>27.038</v>
      </c>
      <c r="BN525" s="61">
        <v>4.0810000000000004</v>
      </c>
      <c r="BO525" s="61">
        <v>0.23100000000000001</v>
      </c>
      <c r="BP525" s="61">
        <v>130.846</v>
      </c>
      <c r="BQ525" s="61">
        <v>196.89500000000001</v>
      </c>
      <c r="BR525" s="61">
        <v>12.1</v>
      </c>
      <c r="BS525" s="61">
        <v>35.863999999999997</v>
      </c>
      <c r="BT525" s="61">
        <v>162.46</v>
      </c>
      <c r="BU525" s="61">
        <v>20.065999999999999</v>
      </c>
      <c r="BV525" s="61">
        <v>23.533999999999999</v>
      </c>
      <c r="BW525" s="61">
        <v>43.600999999999999</v>
      </c>
      <c r="BX525" s="67">
        <v>450.92</v>
      </c>
      <c r="BY525" s="68">
        <v>152936</v>
      </c>
      <c r="BZ525" s="68">
        <v>111519</v>
      </c>
      <c r="CA525" s="69">
        <v>3803</v>
      </c>
      <c r="CB525" s="68">
        <v>156507</v>
      </c>
      <c r="CC525" s="68">
        <v>41950</v>
      </c>
      <c r="CD525" s="68">
        <v>143637</v>
      </c>
      <c r="CE525" s="64"/>
      <c r="CF525" s="64"/>
      <c r="CG525" s="70">
        <f t="shared" si="43"/>
        <v>6573.2939999999999</v>
      </c>
      <c r="CH525" s="70">
        <f t="shared" si="44"/>
        <v>159.726</v>
      </c>
      <c r="CI525" s="70">
        <f t="shared" si="45"/>
        <v>1761.9</v>
      </c>
      <c r="CJ525" s="70">
        <f t="shared" si="46"/>
        <v>6423.3119999999999</v>
      </c>
      <c r="CK525" s="70">
        <f t="shared" si="46"/>
        <v>4683.7979999999998</v>
      </c>
      <c r="CL525" s="70">
        <f t="shared" si="42"/>
        <v>6032.7539999999999</v>
      </c>
      <c r="CM525" s="61"/>
      <c r="CN525" s="61"/>
      <c r="CO525" s="61"/>
      <c r="CP525" s="61"/>
      <c r="CQ525" s="61"/>
      <c r="CR525" s="61"/>
      <c r="CS525" s="61"/>
      <c r="CT525" s="61"/>
      <c r="CU525" s="61"/>
      <c r="CV525" s="61"/>
      <c r="CW525" s="61"/>
      <c r="CX525" s="61"/>
      <c r="CY525" s="61"/>
      <c r="CZ525" s="61"/>
      <c r="DA525" s="61"/>
      <c r="DB525" s="61"/>
      <c r="DC525" s="61"/>
      <c r="DD525" s="61"/>
      <c r="DE525" s="61"/>
      <c r="DF525" s="61"/>
      <c r="DG525" s="61"/>
      <c r="DH525" s="61"/>
      <c r="DI525" s="61"/>
      <c r="DJ525" s="61"/>
      <c r="DK525" s="61"/>
      <c r="DL525" s="61"/>
      <c r="DM525" s="61"/>
      <c r="DN525" s="61"/>
      <c r="DO525" s="61"/>
      <c r="DP525" s="61"/>
      <c r="DQ525" s="61"/>
      <c r="DR525" s="61"/>
      <c r="DS525" s="61"/>
      <c r="DT525" s="61"/>
      <c r="DU525" s="61"/>
      <c r="DV525" s="61"/>
      <c r="DW525" s="61"/>
      <c r="DX525" s="61"/>
      <c r="DY525" s="61"/>
      <c r="DZ525" s="61"/>
      <c r="EA525" s="61"/>
      <c r="EB525" s="61"/>
      <c r="EC525" s="61"/>
      <c r="ED525" s="61"/>
      <c r="EE525" s="61"/>
      <c r="EF525" s="61"/>
      <c r="EG525" s="61"/>
      <c r="EH525" s="61"/>
      <c r="EI525" s="61"/>
      <c r="EJ525" s="61"/>
      <c r="EK525" s="61"/>
      <c r="EL525" s="61"/>
      <c r="EM525" s="61"/>
      <c r="EN525" s="61"/>
      <c r="EO525" s="61"/>
      <c r="EP525" s="61"/>
      <c r="EQ525" s="61"/>
      <c r="ER525" s="61"/>
      <c r="ES525" s="61"/>
      <c r="ET525" s="61"/>
      <c r="EU525" s="61"/>
      <c r="EV525" s="61"/>
      <c r="EW525" s="61"/>
    </row>
    <row r="526" spans="1:153">
      <c r="A526" s="56">
        <v>42583</v>
      </c>
      <c r="B526" s="57">
        <v>2016</v>
      </c>
      <c r="C526" s="71">
        <v>18.391999999999999</v>
      </c>
      <c r="D526" s="61">
        <v>0.251</v>
      </c>
      <c r="E526" s="61">
        <v>3385.1640000000002</v>
      </c>
      <c r="F526" s="61">
        <v>142.17699999999999</v>
      </c>
      <c r="G526" s="61">
        <v>18.140999999999998</v>
      </c>
      <c r="H526" s="61">
        <v>1873</v>
      </c>
      <c r="I526" s="61">
        <v>234.697</v>
      </c>
      <c r="J526" s="61">
        <v>1638.3030000000001</v>
      </c>
      <c r="K526" s="61">
        <v>4265.1729999999998</v>
      </c>
      <c r="L526" s="61">
        <v>-177.35400000000001</v>
      </c>
      <c r="M526" s="61">
        <v>5200.8209999999999</v>
      </c>
      <c r="N526" s="61">
        <v>218.434</v>
      </c>
      <c r="O526" s="71">
        <v>27.870999999999999</v>
      </c>
      <c r="P526" s="60">
        <v>196.68100000000001</v>
      </c>
      <c r="Q526" s="61">
        <v>203.744</v>
      </c>
      <c r="R526" s="61">
        <v>442.38299999999998</v>
      </c>
      <c r="S526" s="61">
        <v>827.09</v>
      </c>
      <c r="T526" s="61">
        <v>180.58799999999999</v>
      </c>
      <c r="U526" s="61">
        <v>17.599</v>
      </c>
      <c r="V526" s="61">
        <v>61.118000000000002</v>
      </c>
      <c r="W526" s="61">
        <v>125.402</v>
      </c>
      <c r="X526" s="61">
        <v>190.64400000000001</v>
      </c>
      <c r="Y526" s="61">
        <v>41.957999999999998</v>
      </c>
      <c r="Z526" s="61">
        <v>209.35300000000001</v>
      </c>
      <c r="AA526" s="61">
        <v>441.95499999999998</v>
      </c>
      <c r="AB526" s="60">
        <v>826.66099999999994</v>
      </c>
      <c r="AC526" s="62">
        <v>590.47500000000002</v>
      </c>
      <c r="AD526" s="61">
        <v>24.8</v>
      </c>
      <c r="AE526" s="61">
        <v>3.2440000000000002</v>
      </c>
      <c r="AF526" s="61">
        <v>555</v>
      </c>
      <c r="AG526" s="61">
        <v>1129</v>
      </c>
      <c r="AH526" s="61">
        <v>198</v>
      </c>
      <c r="AI526" s="61">
        <v>947.47500000000002</v>
      </c>
      <c r="AJ526" s="61">
        <v>39.793999999999997</v>
      </c>
      <c r="AK526" s="62">
        <v>5.2050000000000001</v>
      </c>
      <c r="AL526" s="63">
        <f t="shared" si="47"/>
        <v>39.793999999999997</v>
      </c>
      <c r="AM526" s="64">
        <v>5.2050000000000001</v>
      </c>
      <c r="AN526" s="65" t="s">
        <v>121</v>
      </c>
      <c r="AO526" s="61" t="s">
        <v>121</v>
      </c>
      <c r="AP526" s="61">
        <v>50.502000000000002</v>
      </c>
      <c r="AQ526" s="61">
        <v>2.121</v>
      </c>
      <c r="AR526" s="61">
        <v>0.27100000000000002</v>
      </c>
      <c r="AS526" s="61" t="s">
        <v>122</v>
      </c>
      <c r="AT526" s="61">
        <v>38</v>
      </c>
      <c r="AU526" s="61">
        <v>6</v>
      </c>
      <c r="AV526" s="61">
        <v>44.502000000000002</v>
      </c>
      <c r="AW526" s="61">
        <v>1.869</v>
      </c>
      <c r="AX526" s="65">
        <v>0.23799999999999999</v>
      </c>
      <c r="AY526" s="66">
        <v>3.3540000000000001</v>
      </c>
      <c r="AZ526" s="61">
        <v>16.841999999999999</v>
      </c>
      <c r="BA526" s="61">
        <v>37.661000000000001</v>
      </c>
      <c r="BB526" s="61">
        <v>57.856999999999999</v>
      </c>
      <c r="BC526" s="61">
        <v>0.17699999999999999</v>
      </c>
      <c r="BD526" s="61">
        <v>1.669</v>
      </c>
      <c r="BE526" s="61">
        <v>6.2519999999999998</v>
      </c>
      <c r="BF526" s="61">
        <v>7.0000000000000007E-2</v>
      </c>
      <c r="BG526" s="61">
        <v>7.1840000000000002</v>
      </c>
      <c r="BH526" s="61">
        <v>4.1689999999999996</v>
      </c>
      <c r="BI526" s="61">
        <v>2.2759999999999998</v>
      </c>
      <c r="BJ526" s="61">
        <v>13.629</v>
      </c>
      <c r="BK526" s="66">
        <v>21.795999999999999</v>
      </c>
      <c r="BL526" s="67">
        <v>100.825</v>
      </c>
      <c r="BM526" s="61">
        <v>27.870999999999999</v>
      </c>
      <c r="BN526" s="61">
        <v>5.2050000000000001</v>
      </c>
      <c r="BO526" s="61">
        <v>0.23799999999999999</v>
      </c>
      <c r="BP526" s="61">
        <v>134.13999999999999</v>
      </c>
      <c r="BQ526" s="61">
        <v>179.559</v>
      </c>
      <c r="BR526" s="61">
        <v>12.22</v>
      </c>
      <c r="BS526" s="61">
        <v>36.067</v>
      </c>
      <c r="BT526" s="61">
        <v>125.30500000000001</v>
      </c>
      <c r="BU526" s="61">
        <v>21.396000000000001</v>
      </c>
      <c r="BV526" s="61">
        <v>24.062000000000001</v>
      </c>
      <c r="BW526" s="61">
        <v>45.459000000000003</v>
      </c>
      <c r="BX526" s="67">
        <v>398.61</v>
      </c>
      <c r="BY526" s="68">
        <v>153115</v>
      </c>
      <c r="BZ526" s="68">
        <v>120291</v>
      </c>
      <c r="CA526" s="69">
        <v>5072</v>
      </c>
      <c r="CB526" s="68">
        <v>160338</v>
      </c>
      <c r="CC526" s="68">
        <v>37557</v>
      </c>
      <c r="CD526" s="68">
        <v>143590</v>
      </c>
      <c r="CE526" s="64"/>
      <c r="CF526" s="64"/>
      <c r="CG526" s="70">
        <f t="shared" si="43"/>
        <v>6734.1959999999999</v>
      </c>
      <c r="CH526" s="70">
        <f t="shared" si="44"/>
        <v>213.024</v>
      </c>
      <c r="CI526" s="70">
        <f t="shared" si="45"/>
        <v>1577.394</v>
      </c>
      <c r="CJ526" s="70">
        <f t="shared" si="46"/>
        <v>6430.83</v>
      </c>
      <c r="CK526" s="70">
        <f t="shared" si="46"/>
        <v>5052.2219999999998</v>
      </c>
      <c r="CL526" s="70">
        <f t="shared" si="42"/>
        <v>6030.78</v>
      </c>
      <c r="CM526" s="61"/>
      <c r="CN526" s="61"/>
      <c r="CO526" s="61"/>
      <c r="CP526" s="61"/>
      <c r="CQ526" s="61"/>
      <c r="CR526" s="61"/>
      <c r="CS526" s="61"/>
      <c r="CT526" s="61"/>
      <c r="CU526" s="61"/>
      <c r="CV526" s="61"/>
      <c r="CW526" s="61"/>
      <c r="CX526" s="61"/>
      <c r="CY526" s="61"/>
      <c r="CZ526" s="61"/>
      <c r="DA526" s="61"/>
      <c r="DB526" s="61"/>
      <c r="DC526" s="61"/>
      <c r="DD526" s="61"/>
      <c r="DE526" s="61"/>
      <c r="DF526" s="61"/>
      <c r="DG526" s="61"/>
      <c r="DH526" s="61"/>
      <c r="DI526" s="61"/>
      <c r="DJ526" s="61"/>
      <c r="DK526" s="61"/>
      <c r="DL526" s="61"/>
      <c r="DM526" s="61"/>
      <c r="DN526" s="61"/>
      <c r="DO526" s="61"/>
      <c r="DP526" s="61"/>
      <c r="DQ526" s="61"/>
      <c r="DR526" s="61"/>
      <c r="DS526" s="61"/>
      <c r="DT526" s="61"/>
      <c r="DU526" s="61"/>
      <c r="DV526" s="61"/>
      <c r="DW526" s="61"/>
      <c r="DX526" s="61"/>
      <c r="DY526" s="61"/>
      <c r="DZ526" s="61"/>
      <c r="EA526" s="61"/>
      <c r="EB526" s="61"/>
      <c r="EC526" s="61"/>
      <c r="ED526" s="61"/>
      <c r="EE526" s="61"/>
      <c r="EF526" s="61"/>
      <c r="EG526" s="61"/>
      <c r="EH526" s="61"/>
      <c r="EI526" s="61"/>
      <c r="EJ526" s="61"/>
      <c r="EK526" s="61"/>
      <c r="EL526" s="61"/>
      <c r="EM526" s="61"/>
      <c r="EN526" s="61"/>
      <c r="EO526" s="61"/>
      <c r="EP526" s="61"/>
      <c r="EQ526" s="61"/>
      <c r="ER526" s="61"/>
      <c r="ES526" s="61"/>
      <c r="ET526" s="61"/>
      <c r="EU526" s="61"/>
      <c r="EV526" s="61"/>
      <c r="EW526" s="61"/>
    </row>
    <row r="527" spans="1:153">
      <c r="A527" s="56">
        <v>42614</v>
      </c>
      <c r="B527" s="57">
        <v>2016</v>
      </c>
      <c r="C527" s="71">
        <v>17.420000000000002</v>
      </c>
      <c r="D527" s="61">
        <v>0.23699999999999999</v>
      </c>
      <c r="E527" s="61">
        <v>3206.364</v>
      </c>
      <c r="F527" s="61">
        <v>134.667</v>
      </c>
      <c r="G527" s="61">
        <v>17.183</v>
      </c>
      <c r="H527" s="61">
        <v>1835</v>
      </c>
      <c r="I527" s="61">
        <v>150.148</v>
      </c>
      <c r="J527" s="61">
        <v>1684.8520000000001</v>
      </c>
      <c r="K527" s="61">
        <v>4226.9129999999996</v>
      </c>
      <c r="L527" s="61">
        <v>-38.261000000000003</v>
      </c>
      <c r="M527" s="61">
        <v>4929.4769999999999</v>
      </c>
      <c r="N527" s="61">
        <v>207.03800000000001</v>
      </c>
      <c r="O527" s="71">
        <v>26.417000000000002</v>
      </c>
      <c r="P527" s="60">
        <v>186.31899999999999</v>
      </c>
      <c r="Q527" s="61">
        <v>191.624</v>
      </c>
      <c r="R527" s="61">
        <v>417.25</v>
      </c>
      <c r="S527" s="61">
        <v>792.54399999999998</v>
      </c>
      <c r="T527" s="61">
        <v>151.041</v>
      </c>
      <c r="U527" s="61">
        <v>17.446999999999999</v>
      </c>
      <c r="V527" s="61">
        <v>55.433</v>
      </c>
      <c r="W527" s="61">
        <v>151.37299999999999</v>
      </c>
      <c r="X527" s="61">
        <v>179.32</v>
      </c>
      <c r="Y527" s="61">
        <v>39.307000000000002</v>
      </c>
      <c r="Z527" s="61">
        <v>198.018</v>
      </c>
      <c r="AA527" s="61">
        <v>416.64499999999998</v>
      </c>
      <c r="AB527" s="60">
        <v>791.94</v>
      </c>
      <c r="AC527" s="62">
        <v>457.51</v>
      </c>
      <c r="AD527" s="61">
        <v>19.215</v>
      </c>
      <c r="AE527" s="61">
        <v>2.5139999999999998</v>
      </c>
      <c r="AF527" s="61">
        <v>411</v>
      </c>
      <c r="AG527" s="61">
        <v>888</v>
      </c>
      <c r="AH527" s="61">
        <v>-241</v>
      </c>
      <c r="AI527" s="61">
        <v>1109.51</v>
      </c>
      <c r="AJ527" s="61">
        <v>46.598999999999997</v>
      </c>
      <c r="AK527" s="62">
        <v>6.0960000000000001</v>
      </c>
      <c r="AL527" s="63">
        <f t="shared" si="47"/>
        <v>46.598999999999997</v>
      </c>
      <c r="AM527" s="64">
        <v>6.0960000000000001</v>
      </c>
      <c r="AN527" s="65" t="s">
        <v>121</v>
      </c>
      <c r="AO527" s="61" t="s">
        <v>121</v>
      </c>
      <c r="AP527" s="61">
        <v>45.273000000000003</v>
      </c>
      <c r="AQ527" s="61">
        <v>1.901</v>
      </c>
      <c r="AR527" s="61">
        <v>0.24299999999999999</v>
      </c>
      <c r="AS527" s="61" t="s">
        <v>122</v>
      </c>
      <c r="AT527" s="61">
        <v>50</v>
      </c>
      <c r="AU527" s="61">
        <v>12</v>
      </c>
      <c r="AV527" s="61">
        <v>33.273000000000003</v>
      </c>
      <c r="AW527" s="61">
        <v>1.397</v>
      </c>
      <c r="AX527" s="65">
        <v>0.17799999999999999</v>
      </c>
      <c r="AY527" s="66">
        <v>3.246</v>
      </c>
      <c r="AZ527" s="61">
        <v>15.002000000000001</v>
      </c>
      <c r="BA527" s="61">
        <v>36.445999999999998</v>
      </c>
      <c r="BB527" s="61">
        <v>54.694000000000003</v>
      </c>
      <c r="BC527" s="61">
        <v>0.217</v>
      </c>
      <c r="BD527" s="61">
        <v>1.615</v>
      </c>
      <c r="BE527" s="61">
        <v>5.5819999999999999</v>
      </c>
      <c r="BF527" s="61">
        <v>8.5000000000000006E-2</v>
      </c>
      <c r="BG527" s="61">
        <v>6.9009999999999998</v>
      </c>
      <c r="BH527" s="61">
        <v>3.96</v>
      </c>
      <c r="BI527" s="61">
        <v>2.1309999999999998</v>
      </c>
      <c r="BJ527" s="61">
        <v>12.992000000000001</v>
      </c>
      <c r="BK527" s="66">
        <v>20.49</v>
      </c>
      <c r="BL527" s="67">
        <v>94.435000000000002</v>
      </c>
      <c r="BM527" s="61">
        <v>26.417000000000002</v>
      </c>
      <c r="BN527" s="61">
        <v>6.0960000000000001</v>
      </c>
      <c r="BO527" s="61">
        <v>0.17799999999999999</v>
      </c>
      <c r="BP527" s="61">
        <v>127.126</v>
      </c>
      <c r="BQ527" s="61">
        <v>150.22200000000001</v>
      </c>
      <c r="BR527" s="61">
        <v>12.243</v>
      </c>
      <c r="BS527" s="61">
        <v>33.075000000000003</v>
      </c>
      <c r="BT527" s="61">
        <v>151.25299999999999</v>
      </c>
      <c r="BU527" s="61">
        <v>19.065000000000001</v>
      </c>
      <c r="BV527" s="61">
        <v>22.344000000000001</v>
      </c>
      <c r="BW527" s="61">
        <v>41.408999999999999</v>
      </c>
      <c r="BX527" s="67">
        <v>388.20100000000002</v>
      </c>
      <c r="BY527" s="68">
        <v>146644</v>
      </c>
      <c r="BZ527" s="68">
        <v>117361</v>
      </c>
      <c r="CA527" s="69">
        <v>4504</v>
      </c>
      <c r="CB527" s="68">
        <v>161051</v>
      </c>
      <c r="CC527" s="68">
        <v>36340</v>
      </c>
      <c r="CD527" s="68">
        <v>136426</v>
      </c>
      <c r="CE527" s="64"/>
      <c r="CF527" s="64"/>
      <c r="CG527" s="70">
        <f t="shared" si="43"/>
        <v>6764.1419999999998</v>
      </c>
      <c r="CH527" s="70">
        <f t="shared" si="44"/>
        <v>189.16800000000001</v>
      </c>
      <c r="CI527" s="70">
        <f t="shared" si="45"/>
        <v>1526.28</v>
      </c>
      <c r="CJ527" s="70">
        <f t="shared" si="46"/>
        <v>6159.0479999999998</v>
      </c>
      <c r="CK527" s="70">
        <f t="shared" si="46"/>
        <v>4929.1620000000003</v>
      </c>
      <c r="CL527" s="70">
        <f t="shared" si="42"/>
        <v>5729.8919999999998</v>
      </c>
      <c r="CM527" s="61"/>
      <c r="CN527" s="61"/>
      <c r="CO527" s="61"/>
      <c r="CP527" s="61"/>
      <c r="CQ527" s="61"/>
      <c r="CR527" s="61"/>
      <c r="CS527" s="61"/>
      <c r="CT527" s="61"/>
      <c r="CU527" s="61"/>
      <c r="CV527" s="61"/>
      <c r="CW527" s="61"/>
      <c r="CX527" s="61"/>
      <c r="CY527" s="61"/>
      <c r="CZ527" s="61"/>
      <c r="DA527" s="61"/>
      <c r="DB527" s="61"/>
      <c r="DC527" s="61"/>
      <c r="DD527" s="61"/>
      <c r="DE527" s="61"/>
      <c r="DF527" s="61"/>
      <c r="DG527" s="61"/>
      <c r="DH527" s="61"/>
      <c r="DI527" s="61"/>
      <c r="DJ527" s="61"/>
      <c r="DK527" s="61"/>
      <c r="DL527" s="61"/>
      <c r="DM527" s="61"/>
      <c r="DN527" s="61"/>
      <c r="DO527" s="61"/>
      <c r="DP527" s="61"/>
      <c r="DQ527" s="61"/>
      <c r="DR527" s="61"/>
      <c r="DS527" s="61"/>
      <c r="DT527" s="61"/>
      <c r="DU527" s="61"/>
      <c r="DV527" s="61"/>
      <c r="DW527" s="61"/>
      <c r="DX527" s="61"/>
      <c r="DY527" s="61"/>
      <c r="DZ527" s="61"/>
      <c r="EA527" s="61"/>
      <c r="EB527" s="61"/>
      <c r="EC527" s="61"/>
      <c r="ED527" s="61"/>
      <c r="EE527" s="61"/>
      <c r="EF527" s="61"/>
      <c r="EG527" s="61"/>
      <c r="EH527" s="61"/>
      <c r="EI527" s="61"/>
      <c r="EJ527" s="61"/>
      <c r="EK527" s="61"/>
      <c r="EL527" s="61"/>
      <c r="EM527" s="61"/>
      <c r="EN527" s="61"/>
      <c r="EO527" s="61"/>
      <c r="EP527" s="61"/>
      <c r="EQ527" s="61"/>
      <c r="ER527" s="61"/>
      <c r="ES527" s="61"/>
      <c r="ET527" s="61"/>
      <c r="EU527" s="61"/>
      <c r="EV527" s="61"/>
      <c r="EW527" s="61"/>
    </row>
    <row r="528" spans="1:153">
      <c r="A528" s="56">
        <v>42644</v>
      </c>
      <c r="B528" s="57">
        <v>2016</v>
      </c>
      <c r="C528" s="71">
        <v>18.652000000000001</v>
      </c>
      <c r="D528" s="61">
        <v>0.254</v>
      </c>
      <c r="E528" s="61">
        <v>3433.134</v>
      </c>
      <c r="F528" s="61">
        <v>144.19200000000001</v>
      </c>
      <c r="G528" s="61">
        <v>18.398</v>
      </c>
      <c r="H528" s="61">
        <v>1822</v>
      </c>
      <c r="I528" s="61">
        <v>113.901</v>
      </c>
      <c r="J528" s="61">
        <v>1708.0989999999999</v>
      </c>
      <c r="K528" s="61">
        <v>4689.8720000000003</v>
      </c>
      <c r="L528" s="61">
        <v>462.959</v>
      </c>
      <c r="M528" s="61">
        <v>4678.2740000000003</v>
      </c>
      <c r="N528" s="61">
        <v>196.488</v>
      </c>
      <c r="O528" s="71">
        <v>25.071000000000002</v>
      </c>
      <c r="P528" s="60">
        <v>186.00399999999999</v>
      </c>
      <c r="Q528" s="61">
        <v>198.5</v>
      </c>
      <c r="R528" s="61">
        <v>425.21800000000002</v>
      </c>
      <c r="S528" s="61">
        <v>839.76700000000005</v>
      </c>
      <c r="T528" s="61">
        <v>160.00299999999999</v>
      </c>
      <c r="U528" s="61">
        <v>17.864999999999998</v>
      </c>
      <c r="V528" s="61">
        <v>49.024999999999999</v>
      </c>
      <c r="W528" s="61">
        <v>187.655</v>
      </c>
      <c r="X528" s="61">
        <v>179.899</v>
      </c>
      <c r="Y528" s="61">
        <v>40.713999999999999</v>
      </c>
      <c r="Z528" s="61">
        <v>199.452</v>
      </c>
      <c r="AA528" s="61">
        <v>420.065</v>
      </c>
      <c r="AB528" s="60">
        <v>834.61400000000003</v>
      </c>
      <c r="AC528" s="62">
        <v>491.423</v>
      </c>
      <c r="AD528" s="61">
        <v>20.64</v>
      </c>
      <c r="AE528" s="61">
        <v>2.7</v>
      </c>
      <c r="AF528" s="61">
        <v>554</v>
      </c>
      <c r="AG528" s="61">
        <v>1013</v>
      </c>
      <c r="AH528" s="61">
        <v>125</v>
      </c>
      <c r="AI528" s="61">
        <v>920.423</v>
      </c>
      <c r="AJ528" s="61">
        <v>38.658000000000001</v>
      </c>
      <c r="AK528" s="62">
        <v>5.0570000000000004</v>
      </c>
      <c r="AL528" s="63">
        <f t="shared" si="47"/>
        <v>38.658000000000001</v>
      </c>
      <c r="AM528" s="64">
        <v>5.0570000000000004</v>
      </c>
      <c r="AN528" s="65" t="s">
        <v>121</v>
      </c>
      <c r="AO528" s="61" t="s">
        <v>121</v>
      </c>
      <c r="AP528" s="61">
        <v>45.518000000000001</v>
      </c>
      <c r="AQ528" s="61">
        <v>1.9119999999999999</v>
      </c>
      <c r="AR528" s="61">
        <v>0.24399999999999999</v>
      </c>
      <c r="AS528" s="61" t="s">
        <v>122</v>
      </c>
      <c r="AT528" s="61">
        <v>36</v>
      </c>
      <c r="AU528" s="61">
        <v>-14</v>
      </c>
      <c r="AV528" s="61">
        <v>59.518000000000001</v>
      </c>
      <c r="AW528" s="61">
        <v>2.5</v>
      </c>
      <c r="AX528" s="65">
        <v>0.31900000000000001</v>
      </c>
      <c r="AY528" s="66">
        <v>3.3540000000000001</v>
      </c>
      <c r="AZ528" s="61">
        <v>13.414999999999999</v>
      </c>
      <c r="BA528" s="61">
        <v>37.661000000000001</v>
      </c>
      <c r="BB528" s="61">
        <v>54.43</v>
      </c>
      <c r="BC528" s="61">
        <v>0.19800000000000001</v>
      </c>
      <c r="BD528" s="61">
        <v>1.669</v>
      </c>
      <c r="BE528" s="61">
        <v>4.944</v>
      </c>
      <c r="BF528" s="61">
        <v>0.109</v>
      </c>
      <c r="BG528" s="61">
        <v>7.0460000000000003</v>
      </c>
      <c r="BH528" s="61">
        <v>3.9049999999999998</v>
      </c>
      <c r="BI528" s="61">
        <v>2.165</v>
      </c>
      <c r="BJ528" s="61">
        <v>13.115</v>
      </c>
      <c r="BK528" s="66">
        <v>20.035</v>
      </c>
      <c r="BL528" s="67">
        <v>95.906000000000006</v>
      </c>
      <c r="BM528" s="61">
        <v>25.071000000000002</v>
      </c>
      <c r="BN528" s="61">
        <v>5.0570000000000004</v>
      </c>
      <c r="BO528" s="61">
        <v>0.31900000000000001</v>
      </c>
      <c r="BP528" s="61">
        <v>126.35299999999999</v>
      </c>
      <c r="BQ528" s="61">
        <v>158.99299999999999</v>
      </c>
      <c r="BR528" s="61">
        <v>12.487</v>
      </c>
      <c r="BS528" s="61">
        <v>29.036999999999999</v>
      </c>
      <c r="BT528" s="61">
        <v>187.494</v>
      </c>
      <c r="BU528" s="61">
        <v>15.670999999999999</v>
      </c>
      <c r="BV528" s="61">
        <v>21.747</v>
      </c>
      <c r="BW528" s="61">
        <v>37.417999999999999</v>
      </c>
      <c r="BX528" s="67">
        <v>425.42899999999997</v>
      </c>
      <c r="BY528" s="68">
        <v>143038</v>
      </c>
      <c r="BZ528" s="68">
        <v>123576</v>
      </c>
      <c r="CA528" s="69">
        <v>2319</v>
      </c>
      <c r="CB528" s="68">
        <v>154715</v>
      </c>
      <c r="CC528" s="68">
        <v>31139</v>
      </c>
      <c r="CD528" s="68">
        <v>130701</v>
      </c>
      <c r="CE528" s="64"/>
      <c r="CF528" s="64"/>
      <c r="CG528" s="70">
        <f t="shared" si="43"/>
        <v>6498.03</v>
      </c>
      <c r="CH528" s="70">
        <f t="shared" si="44"/>
        <v>97.397999999999996</v>
      </c>
      <c r="CI528" s="70">
        <f t="shared" si="45"/>
        <v>1307.838</v>
      </c>
      <c r="CJ528" s="70">
        <f t="shared" si="46"/>
        <v>6007.5959999999995</v>
      </c>
      <c r="CK528" s="70">
        <f t="shared" si="46"/>
        <v>5190.192</v>
      </c>
      <c r="CL528" s="70">
        <f t="shared" si="42"/>
        <v>5489.442</v>
      </c>
      <c r="CM528" s="61"/>
      <c r="CN528" s="61"/>
      <c r="CO528" s="61"/>
      <c r="CP528" s="61"/>
      <c r="CQ528" s="61"/>
      <c r="CR528" s="61"/>
      <c r="CS528" s="61"/>
      <c r="CT528" s="61"/>
      <c r="CU528" s="61"/>
      <c r="CV528" s="61"/>
      <c r="CW528" s="61"/>
      <c r="CX528" s="61"/>
      <c r="CY528" s="61"/>
      <c r="CZ528" s="61"/>
      <c r="DA528" s="61"/>
      <c r="DB528" s="61"/>
      <c r="DC528" s="61"/>
      <c r="DD528" s="61"/>
      <c r="DE528" s="61"/>
      <c r="DF528" s="61"/>
      <c r="DG528" s="61"/>
      <c r="DH528" s="61"/>
      <c r="DI528" s="61"/>
      <c r="DJ528" s="61"/>
      <c r="DK528" s="61"/>
      <c r="DL528" s="61"/>
      <c r="DM528" s="61"/>
      <c r="DN528" s="61"/>
      <c r="DO528" s="61"/>
      <c r="DP528" s="61"/>
      <c r="DQ528" s="61"/>
      <c r="DR528" s="61"/>
      <c r="DS528" s="61"/>
      <c r="DT528" s="61"/>
      <c r="DU528" s="61"/>
      <c r="DV528" s="61"/>
      <c r="DW528" s="61"/>
      <c r="DX528" s="61"/>
      <c r="DY528" s="61"/>
      <c r="DZ528" s="61"/>
      <c r="EA528" s="61"/>
      <c r="EB528" s="61"/>
      <c r="EC528" s="61"/>
      <c r="ED528" s="61"/>
      <c r="EE528" s="61"/>
      <c r="EF528" s="61"/>
      <c r="EG528" s="61"/>
      <c r="EH528" s="61"/>
      <c r="EI528" s="61"/>
      <c r="EJ528" s="61"/>
      <c r="EK528" s="61"/>
      <c r="EL528" s="61"/>
      <c r="EM528" s="61"/>
      <c r="EN528" s="61"/>
      <c r="EO528" s="61"/>
      <c r="EP528" s="61"/>
      <c r="EQ528" s="61"/>
      <c r="ER528" s="61"/>
      <c r="ES528" s="61"/>
      <c r="ET528" s="61"/>
      <c r="EU528" s="61"/>
      <c r="EV528" s="61"/>
      <c r="EW528" s="61"/>
    </row>
    <row r="529" spans="1:153">
      <c r="A529" s="56">
        <v>42675</v>
      </c>
      <c r="B529" s="57">
        <v>2016</v>
      </c>
      <c r="C529" s="71">
        <v>18.518000000000001</v>
      </c>
      <c r="D529" s="61">
        <v>0.252</v>
      </c>
      <c r="E529" s="61">
        <v>3408.3780000000002</v>
      </c>
      <c r="F529" s="61">
        <v>143.15199999999999</v>
      </c>
      <c r="G529" s="61">
        <v>18.265000000000001</v>
      </c>
      <c r="H529" s="61">
        <v>2184</v>
      </c>
      <c r="I529" s="61">
        <v>143.053</v>
      </c>
      <c r="J529" s="61">
        <v>2040.9469999999999</v>
      </c>
      <c r="K529" s="61">
        <v>5314.2420000000002</v>
      </c>
      <c r="L529" s="61">
        <v>624.37</v>
      </c>
      <c r="M529" s="61">
        <v>4824.9549999999999</v>
      </c>
      <c r="N529" s="61">
        <v>202.648</v>
      </c>
      <c r="O529" s="71">
        <v>25.856999999999999</v>
      </c>
      <c r="P529" s="60">
        <v>187.87899999999999</v>
      </c>
      <c r="Q529" s="61">
        <v>197.554</v>
      </c>
      <c r="R529" s="61">
        <v>428.755</v>
      </c>
      <c r="S529" s="61">
        <v>840.572</v>
      </c>
      <c r="T529" s="61">
        <v>173.56299999999999</v>
      </c>
      <c r="U529" s="61">
        <v>17.791</v>
      </c>
      <c r="V529" s="61">
        <v>41.387999999999998</v>
      </c>
      <c r="W529" s="61">
        <v>179.07499999999999</v>
      </c>
      <c r="X529" s="61">
        <v>183.07</v>
      </c>
      <c r="Y529" s="61">
        <v>43.322000000000003</v>
      </c>
      <c r="Z529" s="61">
        <v>200.084</v>
      </c>
      <c r="AA529" s="61">
        <v>426.476</v>
      </c>
      <c r="AB529" s="60">
        <v>838.29300000000001</v>
      </c>
      <c r="AC529" s="62">
        <v>651.45799999999997</v>
      </c>
      <c r="AD529" s="61">
        <v>27.361000000000001</v>
      </c>
      <c r="AE529" s="61">
        <v>3.5790000000000002</v>
      </c>
      <c r="AF529" s="61">
        <v>511</v>
      </c>
      <c r="AG529" s="61">
        <v>914</v>
      </c>
      <c r="AH529" s="61">
        <v>-99</v>
      </c>
      <c r="AI529" s="61">
        <v>1261.4580000000001</v>
      </c>
      <c r="AJ529" s="61">
        <v>52.981000000000002</v>
      </c>
      <c r="AK529" s="62">
        <v>6.93</v>
      </c>
      <c r="AL529" s="63">
        <f t="shared" si="47"/>
        <v>52.981000000000002</v>
      </c>
      <c r="AM529" s="64">
        <v>6.93</v>
      </c>
      <c r="AN529" s="65" t="s">
        <v>121</v>
      </c>
      <c r="AO529" s="61" t="s">
        <v>121</v>
      </c>
      <c r="AP529" s="61">
        <v>50.917000000000002</v>
      </c>
      <c r="AQ529" s="61">
        <v>2.1389999999999998</v>
      </c>
      <c r="AR529" s="61">
        <v>0.27300000000000002</v>
      </c>
      <c r="AS529" s="61" t="s">
        <v>122</v>
      </c>
      <c r="AT529" s="61">
        <v>34</v>
      </c>
      <c r="AU529" s="61">
        <v>-2</v>
      </c>
      <c r="AV529" s="61">
        <v>52.917000000000002</v>
      </c>
      <c r="AW529" s="61">
        <v>2.2229999999999999</v>
      </c>
      <c r="AX529" s="65">
        <v>0.28399999999999997</v>
      </c>
      <c r="AY529" s="66">
        <v>3.246</v>
      </c>
      <c r="AZ529" s="61">
        <v>10.952</v>
      </c>
      <c r="BA529" s="61">
        <v>36.445999999999998</v>
      </c>
      <c r="BB529" s="61">
        <v>50.643999999999998</v>
      </c>
      <c r="BC529" s="61">
        <v>0.161</v>
      </c>
      <c r="BD529" s="61">
        <v>1.615</v>
      </c>
      <c r="BE529" s="61">
        <v>3.9529999999999998</v>
      </c>
      <c r="BF529" s="61">
        <v>0.10299999999999999</v>
      </c>
      <c r="BG529" s="61">
        <v>6.8150000000000004</v>
      </c>
      <c r="BH529" s="61">
        <v>4.0759999999999996</v>
      </c>
      <c r="BI529" s="61">
        <v>2.1360000000000001</v>
      </c>
      <c r="BJ529" s="61">
        <v>13.026999999999999</v>
      </c>
      <c r="BK529" s="66">
        <v>18.859000000000002</v>
      </c>
      <c r="BL529" s="67">
        <v>94.637</v>
      </c>
      <c r="BM529" s="61">
        <v>25.856999999999999</v>
      </c>
      <c r="BN529" s="61">
        <v>6.93</v>
      </c>
      <c r="BO529" s="61">
        <v>0.28399999999999997</v>
      </c>
      <c r="BP529" s="61">
        <v>127.708</v>
      </c>
      <c r="BQ529" s="61">
        <v>172.762</v>
      </c>
      <c r="BR529" s="61">
        <v>12.586</v>
      </c>
      <c r="BS529" s="61">
        <v>25.187000000000001</v>
      </c>
      <c r="BT529" s="61">
        <v>178.911</v>
      </c>
      <c r="BU529" s="61">
        <v>17.837</v>
      </c>
      <c r="BV529" s="61">
        <v>24.077000000000002</v>
      </c>
      <c r="BW529" s="61">
        <v>41.914000000000001</v>
      </c>
      <c r="BX529" s="67">
        <v>431.35899999999998</v>
      </c>
      <c r="BY529" s="68">
        <v>151979</v>
      </c>
      <c r="BZ529" s="68">
        <v>118152</v>
      </c>
      <c r="CA529" s="69">
        <v>4336</v>
      </c>
      <c r="CB529" s="68">
        <v>161278</v>
      </c>
      <c r="CC529" s="68">
        <v>34937</v>
      </c>
      <c r="CD529" s="68">
        <v>140930</v>
      </c>
      <c r="CE529" s="64"/>
      <c r="CF529" s="64"/>
      <c r="CG529" s="70">
        <f t="shared" si="43"/>
        <v>6773.6760000000004</v>
      </c>
      <c r="CH529" s="70">
        <f t="shared" si="44"/>
        <v>182.11199999999999</v>
      </c>
      <c r="CI529" s="70">
        <f t="shared" si="45"/>
        <v>1467.354</v>
      </c>
      <c r="CJ529" s="70">
        <f t="shared" si="46"/>
        <v>6383.1180000000004</v>
      </c>
      <c r="CK529" s="70">
        <f t="shared" si="46"/>
        <v>4962.384</v>
      </c>
      <c r="CL529" s="70">
        <f t="shared" si="42"/>
        <v>5919.06</v>
      </c>
      <c r="CM529" s="61"/>
      <c r="CN529" s="61"/>
      <c r="CO529" s="61"/>
      <c r="CP529" s="61"/>
      <c r="CQ529" s="61"/>
      <c r="CR529" s="61"/>
      <c r="CS529" s="61"/>
      <c r="CT529" s="61"/>
      <c r="CU529" s="61"/>
      <c r="CV529" s="61"/>
      <c r="CW529" s="61"/>
      <c r="CX529" s="61"/>
      <c r="CY529" s="61"/>
      <c r="CZ529" s="61"/>
      <c r="DA529" s="61"/>
      <c r="DB529" s="61"/>
      <c r="DC529" s="61"/>
      <c r="DD529" s="61"/>
      <c r="DE529" s="61"/>
      <c r="DF529" s="61"/>
      <c r="DG529" s="61"/>
      <c r="DH529" s="61"/>
      <c r="DI529" s="61"/>
      <c r="DJ529" s="61"/>
      <c r="DK529" s="61"/>
      <c r="DL529" s="61"/>
      <c r="DM529" s="61"/>
      <c r="DN529" s="61"/>
      <c r="DO529" s="61"/>
      <c r="DP529" s="61"/>
      <c r="DQ529" s="61"/>
      <c r="DR529" s="61"/>
      <c r="DS529" s="61"/>
      <c r="DT529" s="61"/>
      <c r="DU529" s="61"/>
      <c r="DV529" s="61"/>
      <c r="DW529" s="61"/>
      <c r="DX529" s="61"/>
      <c r="DY529" s="61"/>
      <c r="DZ529" s="61"/>
      <c r="EA529" s="61"/>
      <c r="EB529" s="61"/>
      <c r="EC529" s="61"/>
      <c r="ED529" s="61"/>
      <c r="EE529" s="61"/>
      <c r="EF529" s="61"/>
      <c r="EG529" s="61"/>
      <c r="EH529" s="61"/>
      <c r="EI529" s="61"/>
      <c r="EJ529" s="61"/>
      <c r="EK529" s="61"/>
      <c r="EL529" s="61"/>
      <c r="EM529" s="61"/>
      <c r="EN529" s="61"/>
      <c r="EO529" s="61"/>
      <c r="EP529" s="61"/>
      <c r="EQ529" s="61"/>
      <c r="ER529" s="61"/>
      <c r="ES529" s="61"/>
      <c r="ET529" s="61"/>
      <c r="EU529" s="61"/>
      <c r="EV529" s="61"/>
      <c r="EW529" s="61"/>
    </row>
    <row r="530" spans="1:153">
      <c r="A530" s="56">
        <v>42705</v>
      </c>
      <c r="B530" s="57">
        <v>2016</v>
      </c>
      <c r="C530" s="71">
        <v>18.608000000000001</v>
      </c>
      <c r="D530" s="61">
        <v>0.253</v>
      </c>
      <c r="E530" s="61">
        <v>3425.0309999999999</v>
      </c>
      <c r="F530" s="61">
        <v>143.851</v>
      </c>
      <c r="G530" s="61">
        <v>18.355</v>
      </c>
      <c r="H530" s="61">
        <v>2668</v>
      </c>
      <c r="I530" s="61">
        <v>80.379000000000005</v>
      </c>
      <c r="J530" s="61">
        <v>2587.6210000000001</v>
      </c>
      <c r="K530" s="61">
        <v>6397.74</v>
      </c>
      <c r="L530" s="61">
        <v>1083.499</v>
      </c>
      <c r="M530" s="61">
        <v>4929.1530000000002</v>
      </c>
      <c r="N530" s="61">
        <v>207.024</v>
      </c>
      <c r="O530" s="71">
        <v>26.414999999999999</v>
      </c>
      <c r="P530" s="60">
        <v>215.80799999999999</v>
      </c>
      <c r="Q530" s="61">
        <v>208.94200000000001</v>
      </c>
      <c r="R530" s="61">
        <v>469.36</v>
      </c>
      <c r="S530" s="61">
        <v>946.71299999999997</v>
      </c>
      <c r="T530" s="61">
        <v>207.886</v>
      </c>
      <c r="U530" s="61">
        <v>18.795000000000002</v>
      </c>
      <c r="V530" s="61">
        <v>37.085999999999999</v>
      </c>
      <c r="W530" s="61">
        <v>213.58699999999999</v>
      </c>
      <c r="X530" s="61">
        <v>208.33099999999999</v>
      </c>
      <c r="Y530" s="61">
        <v>44.61</v>
      </c>
      <c r="Z530" s="61">
        <v>207.81700000000001</v>
      </c>
      <c r="AA530" s="61">
        <v>460.75799999999998</v>
      </c>
      <c r="AB530" s="60">
        <v>938.11099999999999</v>
      </c>
      <c r="AC530" s="62">
        <v>646.59500000000003</v>
      </c>
      <c r="AD530" s="61">
        <v>27.157</v>
      </c>
      <c r="AE530" s="61">
        <v>3.552</v>
      </c>
      <c r="AF530" s="61">
        <v>557</v>
      </c>
      <c r="AG530" s="61">
        <v>1315</v>
      </c>
      <c r="AH530" s="61">
        <v>401</v>
      </c>
      <c r="AI530" s="61">
        <v>802.59500000000003</v>
      </c>
      <c r="AJ530" s="61">
        <v>33.709000000000003</v>
      </c>
      <c r="AK530" s="62">
        <v>4.4089999999999998</v>
      </c>
      <c r="AL530" s="63">
        <f t="shared" si="47"/>
        <v>33.709000000000003</v>
      </c>
      <c r="AM530" s="64">
        <v>4.4089999999999998</v>
      </c>
      <c r="AN530" s="65" t="s">
        <v>121</v>
      </c>
      <c r="AO530" s="61" t="s">
        <v>121</v>
      </c>
      <c r="AP530" s="61">
        <v>74.603999999999999</v>
      </c>
      <c r="AQ530" s="61">
        <v>3.133</v>
      </c>
      <c r="AR530" s="61">
        <v>0.4</v>
      </c>
      <c r="AS530" s="61" t="s">
        <v>122</v>
      </c>
      <c r="AT530" s="61">
        <v>43</v>
      </c>
      <c r="AU530" s="61">
        <v>9</v>
      </c>
      <c r="AV530" s="61">
        <v>65.603999999999999</v>
      </c>
      <c r="AW530" s="61">
        <v>2.7549999999999999</v>
      </c>
      <c r="AX530" s="65">
        <v>0.35199999999999998</v>
      </c>
      <c r="AY530" s="66">
        <v>3.3540000000000001</v>
      </c>
      <c r="AZ530" s="61">
        <v>9.9730000000000008</v>
      </c>
      <c r="BA530" s="61">
        <v>37.661000000000001</v>
      </c>
      <c r="BB530" s="61">
        <v>50.988</v>
      </c>
      <c r="BC530" s="61">
        <v>0.191</v>
      </c>
      <c r="BD530" s="61">
        <v>1.669</v>
      </c>
      <c r="BE530" s="61">
        <v>3.8780000000000001</v>
      </c>
      <c r="BF530" s="61">
        <v>0.13100000000000001</v>
      </c>
      <c r="BG530" s="61">
        <v>7.1130000000000004</v>
      </c>
      <c r="BH530" s="61">
        <v>4.1360000000000001</v>
      </c>
      <c r="BI530" s="61">
        <v>2.25</v>
      </c>
      <c r="BJ530" s="61">
        <v>13.499000000000001</v>
      </c>
      <c r="BK530" s="66">
        <v>19.367999999999999</v>
      </c>
      <c r="BL530" s="67">
        <v>99.691999999999993</v>
      </c>
      <c r="BM530" s="61">
        <v>26.414999999999999</v>
      </c>
      <c r="BN530" s="61">
        <v>4.4089999999999998</v>
      </c>
      <c r="BO530" s="61">
        <v>0.35199999999999998</v>
      </c>
      <c r="BP530" s="61">
        <v>130.86799999999999</v>
      </c>
      <c r="BQ530" s="61">
        <v>206.61799999999999</v>
      </c>
      <c r="BR530" s="61">
        <v>13.416</v>
      </c>
      <c r="BS530" s="61">
        <v>22.045000000000002</v>
      </c>
      <c r="BT530" s="61">
        <v>213.37</v>
      </c>
      <c r="BU530" s="61">
        <v>20.625</v>
      </c>
      <c r="BV530" s="61">
        <v>24.905000000000001</v>
      </c>
      <c r="BW530" s="61">
        <v>45.53</v>
      </c>
      <c r="BX530" s="67">
        <v>500.97899999999998</v>
      </c>
      <c r="BY530" s="68">
        <v>159577</v>
      </c>
      <c r="BZ530" s="68">
        <v>125335</v>
      </c>
      <c r="CA530" s="69">
        <v>5178</v>
      </c>
      <c r="CB530" s="68">
        <v>166095</v>
      </c>
      <c r="CC530" s="68">
        <v>38142</v>
      </c>
      <c r="CD530" s="68">
        <v>146976</v>
      </c>
      <c r="CE530" s="64"/>
      <c r="CF530" s="64"/>
      <c r="CG530" s="70">
        <f t="shared" si="43"/>
        <v>6975.99</v>
      </c>
      <c r="CH530" s="70">
        <f t="shared" si="44"/>
        <v>217.476</v>
      </c>
      <c r="CI530" s="70">
        <f t="shared" si="45"/>
        <v>1601.9639999999999</v>
      </c>
      <c r="CJ530" s="70">
        <f t="shared" si="46"/>
        <v>6702.2340000000004</v>
      </c>
      <c r="CK530" s="70">
        <f t="shared" si="46"/>
        <v>5264.07</v>
      </c>
      <c r="CL530" s="70">
        <f t="shared" si="42"/>
        <v>6172.9920000000002</v>
      </c>
      <c r="CM530" s="61"/>
      <c r="CN530" s="61"/>
      <c r="CO530" s="61"/>
      <c r="CP530" s="61"/>
      <c r="CQ530" s="61"/>
      <c r="CR530" s="61"/>
      <c r="CS530" s="61"/>
      <c r="CT530" s="61"/>
      <c r="CU530" s="61"/>
      <c r="CV530" s="61"/>
      <c r="CW530" s="61"/>
      <c r="CX530" s="61"/>
      <c r="CY530" s="61"/>
      <c r="CZ530" s="61"/>
      <c r="DA530" s="61"/>
      <c r="DB530" s="61"/>
      <c r="DC530" s="61"/>
      <c r="DD530" s="61"/>
      <c r="DE530" s="61"/>
      <c r="DF530" s="61"/>
      <c r="DG530" s="61"/>
      <c r="DH530" s="61"/>
      <c r="DI530" s="61"/>
      <c r="DJ530" s="61"/>
      <c r="DK530" s="61"/>
      <c r="DL530" s="61"/>
      <c r="DM530" s="61"/>
      <c r="DN530" s="61"/>
      <c r="DO530" s="61"/>
      <c r="DP530" s="61"/>
      <c r="DQ530" s="61"/>
      <c r="DR530" s="61"/>
      <c r="DS530" s="61"/>
      <c r="DT530" s="61"/>
      <c r="DU530" s="61"/>
      <c r="DV530" s="61"/>
      <c r="DW530" s="61"/>
      <c r="DX530" s="61"/>
      <c r="DY530" s="61"/>
      <c r="DZ530" s="61"/>
      <c r="EA530" s="61"/>
      <c r="EB530" s="61"/>
      <c r="EC530" s="61"/>
      <c r="ED530" s="61"/>
      <c r="EE530" s="61"/>
      <c r="EF530" s="61"/>
      <c r="EG530" s="61"/>
      <c r="EH530" s="61"/>
      <c r="EI530" s="61"/>
      <c r="EJ530" s="61"/>
      <c r="EK530" s="61"/>
      <c r="EL530" s="61"/>
      <c r="EM530" s="61"/>
      <c r="EN530" s="61"/>
      <c r="EO530" s="61"/>
      <c r="EP530" s="61"/>
      <c r="EQ530" s="61"/>
      <c r="ER530" s="61"/>
      <c r="ES530" s="61"/>
      <c r="ET530" s="61"/>
      <c r="EU530" s="61"/>
      <c r="EV530" s="61"/>
      <c r="EW530" s="61"/>
    </row>
    <row r="531" spans="1:153">
      <c r="A531" s="56">
        <v>42736</v>
      </c>
      <c r="B531" s="57">
        <v>2017</v>
      </c>
      <c r="C531" s="71">
        <v>11.999000000000001</v>
      </c>
      <c r="D531" s="61">
        <v>0.16300000000000001</v>
      </c>
      <c r="E531" s="61">
        <v>2208.4929999999999</v>
      </c>
      <c r="F531" s="61">
        <v>92.757000000000005</v>
      </c>
      <c r="G531" s="61">
        <v>11.835000000000001</v>
      </c>
      <c r="H531" s="61">
        <v>241</v>
      </c>
      <c r="I531" s="61">
        <v>42.497999999999998</v>
      </c>
      <c r="J531" s="61">
        <v>198.50200000000001</v>
      </c>
      <c r="K531" s="61">
        <v>6397.2979999999998</v>
      </c>
      <c r="L531" s="61">
        <v>-0.442</v>
      </c>
      <c r="M531" s="61">
        <v>2407.4369999999999</v>
      </c>
      <c r="N531" s="61">
        <v>101.11199999999999</v>
      </c>
      <c r="O531" s="71">
        <v>12.901</v>
      </c>
      <c r="P531" s="60">
        <v>193.84899999999999</v>
      </c>
      <c r="Q531" s="61">
        <v>202.09</v>
      </c>
      <c r="R531" s="61">
        <v>440.36099999999999</v>
      </c>
      <c r="S531" s="61">
        <v>931.66</v>
      </c>
      <c r="T531" s="61">
        <v>245.19</v>
      </c>
      <c r="U531" s="61">
        <v>18.349</v>
      </c>
      <c r="V531" s="61">
        <v>36.246000000000002</v>
      </c>
      <c r="W531" s="61">
        <v>191.51499999999999</v>
      </c>
      <c r="X531" s="61">
        <v>187.28700000000001</v>
      </c>
      <c r="Y531" s="61">
        <v>44.421999999999997</v>
      </c>
      <c r="Z531" s="61">
        <v>186.214</v>
      </c>
      <c r="AA531" s="61">
        <v>417.923</v>
      </c>
      <c r="AB531" s="60">
        <v>909.22199999999998</v>
      </c>
      <c r="AC531" s="62">
        <v>441.91800000000001</v>
      </c>
      <c r="AD531" s="61">
        <v>18.561</v>
      </c>
      <c r="AE531" s="61">
        <v>2.4279999999999999</v>
      </c>
      <c r="AF531" s="61">
        <v>273</v>
      </c>
      <c r="AG531" s="61">
        <v>1023</v>
      </c>
      <c r="AH531" s="61">
        <v>-292</v>
      </c>
      <c r="AI531" s="61">
        <v>1006.918</v>
      </c>
      <c r="AJ531" s="61">
        <v>42.290999999999997</v>
      </c>
      <c r="AK531" s="62">
        <v>5.532</v>
      </c>
      <c r="AL531" s="63">
        <f t="shared" si="47"/>
        <v>42.290999999999997</v>
      </c>
      <c r="AM531" s="64">
        <v>5.532</v>
      </c>
      <c r="AN531" s="65" t="s">
        <v>121</v>
      </c>
      <c r="AO531" s="61" t="s">
        <v>121</v>
      </c>
      <c r="AP531" s="61">
        <v>50.369</v>
      </c>
      <c r="AQ531" s="61">
        <v>2.1150000000000002</v>
      </c>
      <c r="AR531" s="61">
        <v>0.27</v>
      </c>
      <c r="AS531" s="61" t="s">
        <v>122</v>
      </c>
      <c r="AT531" s="61">
        <v>46</v>
      </c>
      <c r="AU531" s="61">
        <v>3</v>
      </c>
      <c r="AV531" s="61">
        <v>47.369</v>
      </c>
      <c r="AW531" s="61">
        <v>1.9890000000000001</v>
      </c>
      <c r="AX531" s="65">
        <v>0.254</v>
      </c>
      <c r="AY531" s="66">
        <v>3.363</v>
      </c>
      <c r="AZ531" s="61">
        <v>9.8460000000000001</v>
      </c>
      <c r="BA531" s="61">
        <v>36.484999999999999</v>
      </c>
      <c r="BB531" s="61">
        <v>49.694000000000003</v>
      </c>
      <c r="BC531" s="61">
        <v>0.19700000000000001</v>
      </c>
      <c r="BD531" s="61">
        <v>1.673</v>
      </c>
      <c r="BE531" s="61">
        <v>4.093</v>
      </c>
      <c r="BF531" s="61">
        <v>0.104</v>
      </c>
      <c r="BG531" s="61">
        <v>7.2690000000000001</v>
      </c>
      <c r="BH531" s="61">
        <v>4.2869999999999999</v>
      </c>
      <c r="BI531" s="61">
        <v>1.976</v>
      </c>
      <c r="BJ531" s="61">
        <v>13.532</v>
      </c>
      <c r="BK531" s="66">
        <v>19.599</v>
      </c>
      <c r="BL531" s="67">
        <v>90.808999999999997</v>
      </c>
      <c r="BM531" s="61">
        <v>12.901</v>
      </c>
      <c r="BN531" s="61">
        <v>5.532</v>
      </c>
      <c r="BO531" s="61">
        <v>0.254</v>
      </c>
      <c r="BP531" s="61">
        <v>109.497</v>
      </c>
      <c r="BQ531" s="61">
        <v>243.82</v>
      </c>
      <c r="BR531" s="61">
        <v>12.955</v>
      </c>
      <c r="BS531" s="61">
        <v>21.163</v>
      </c>
      <c r="BT531" s="61">
        <v>191.34200000000001</v>
      </c>
      <c r="BU531" s="61">
        <v>20.437999999999999</v>
      </c>
      <c r="BV531" s="61">
        <v>24.937999999999999</v>
      </c>
      <c r="BW531" s="61">
        <v>45.375999999999998</v>
      </c>
      <c r="BX531" s="67">
        <v>514.65599999999995</v>
      </c>
      <c r="BY531" s="68">
        <v>148349</v>
      </c>
      <c r="BZ531" s="68">
        <v>115803</v>
      </c>
      <c r="CA531" s="69">
        <v>6328</v>
      </c>
      <c r="CB531" s="68">
        <v>170247</v>
      </c>
      <c r="CC531" s="68">
        <v>35827</v>
      </c>
      <c r="CD531" s="68">
        <v>137136</v>
      </c>
      <c r="CE531" s="64"/>
      <c r="CF531" s="64"/>
      <c r="CG531" s="70">
        <f t="shared" si="43"/>
        <v>7150.3739999999998</v>
      </c>
      <c r="CH531" s="70">
        <f t="shared" si="44"/>
        <v>265.77600000000001</v>
      </c>
      <c r="CI531" s="70">
        <f t="shared" si="45"/>
        <v>1504.7339999999999</v>
      </c>
      <c r="CJ531" s="70">
        <f t="shared" si="46"/>
        <v>6230.6580000000004</v>
      </c>
      <c r="CK531" s="70">
        <f t="shared" si="46"/>
        <v>4863.7259999999997</v>
      </c>
      <c r="CL531" s="70">
        <f t="shared" si="42"/>
        <v>5759.7120000000004</v>
      </c>
      <c r="CM531" s="61"/>
      <c r="CN531" s="61"/>
      <c r="CO531" s="61"/>
      <c r="CP531" s="61"/>
      <c r="CQ531" s="61"/>
      <c r="CR531" s="61"/>
      <c r="CS531" s="61"/>
      <c r="CT531" s="61"/>
      <c r="CU531" s="61"/>
      <c r="CV531" s="61"/>
      <c r="CW531" s="61"/>
      <c r="CX531" s="61"/>
      <c r="CY531" s="61"/>
      <c r="CZ531" s="61"/>
      <c r="DA531" s="61"/>
      <c r="DB531" s="61"/>
      <c r="DC531" s="61"/>
      <c r="DD531" s="61"/>
      <c r="DE531" s="61"/>
      <c r="DF531" s="61"/>
      <c r="DG531" s="61"/>
      <c r="DH531" s="61"/>
      <c r="DI531" s="61"/>
      <c r="DJ531" s="61"/>
      <c r="DK531" s="61"/>
      <c r="DL531" s="61"/>
      <c r="DM531" s="61"/>
      <c r="DN531" s="61"/>
      <c r="DO531" s="61"/>
      <c r="DP531" s="61"/>
      <c r="DQ531" s="61"/>
      <c r="DR531" s="61"/>
      <c r="DS531" s="61"/>
      <c r="DT531" s="61"/>
      <c r="DU531" s="61"/>
      <c r="DV531" s="61"/>
      <c r="DW531" s="61"/>
      <c r="DX531" s="61"/>
      <c r="DY531" s="61"/>
      <c r="DZ531" s="61"/>
      <c r="EA531" s="61"/>
      <c r="EB531" s="61"/>
      <c r="EC531" s="61"/>
      <c r="ED531" s="61"/>
      <c r="EE531" s="61"/>
      <c r="EF531" s="61"/>
      <c r="EG531" s="61"/>
      <c r="EH531" s="61"/>
      <c r="EI531" s="61"/>
      <c r="EJ531" s="61"/>
      <c r="EK531" s="61"/>
      <c r="EL531" s="61"/>
      <c r="EM531" s="61"/>
      <c r="EN531" s="61"/>
      <c r="EO531" s="61"/>
      <c r="EP531" s="61"/>
      <c r="EQ531" s="61"/>
      <c r="ER531" s="61"/>
      <c r="ES531" s="61"/>
      <c r="ET531" s="61"/>
      <c r="EU531" s="61"/>
      <c r="EV531" s="61"/>
      <c r="EW531" s="61"/>
    </row>
    <row r="532" spans="1:153">
      <c r="A532" s="56">
        <v>42767</v>
      </c>
      <c r="B532" s="57">
        <v>2017</v>
      </c>
      <c r="C532" s="71">
        <v>12.157</v>
      </c>
      <c r="D532" s="61">
        <v>0.16600000000000001</v>
      </c>
      <c r="E532" s="61">
        <v>2237.6799999999998</v>
      </c>
      <c r="F532" s="61">
        <v>93.983000000000004</v>
      </c>
      <c r="G532" s="61">
        <v>11.992000000000001</v>
      </c>
      <c r="H532" s="61">
        <v>549</v>
      </c>
      <c r="I532" s="61">
        <v>58.7</v>
      </c>
      <c r="J532" s="61">
        <v>490.3</v>
      </c>
      <c r="K532" s="61">
        <v>6475.1949999999997</v>
      </c>
      <c r="L532" s="61">
        <v>77.897000000000006</v>
      </c>
      <c r="M532" s="61">
        <v>2650.0830000000001</v>
      </c>
      <c r="N532" s="61">
        <v>111.303</v>
      </c>
      <c r="O532" s="71">
        <v>14.202</v>
      </c>
      <c r="P532" s="60">
        <v>175.542</v>
      </c>
      <c r="Q532" s="61">
        <v>182.09399999999999</v>
      </c>
      <c r="R532" s="61">
        <v>397.221</v>
      </c>
      <c r="S532" s="61">
        <v>878.64400000000001</v>
      </c>
      <c r="T532" s="61">
        <v>219.90299999999999</v>
      </c>
      <c r="U532" s="61">
        <v>16.279</v>
      </c>
      <c r="V532" s="61">
        <v>41.826000000000001</v>
      </c>
      <c r="W532" s="61">
        <v>203.41499999999999</v>
      </c>
      <c r="X532" s="61">
        <v>170.113</v>
      </c>
      <c r="Y532" s="61">
        <v>39.585000000000001</v>
      </c>
      <c r="Z532" s="61">
        <v>171.42400000000001</v>
      </c>
      <c r="AA532" s="61">
        <v>381.12099999999998</v>
      </c>
      <c r="AB532" s="60">
        <v>862.54399999999998</v>
      </c>
      <c r="AC532" s="62">
        <v>501.01499999999999</v>
      </c>
      <c r="AD532" s="61">
        <v>21.042999999999999</v>
      </c>
      <c r="AE532" s="61">
        <v>2.7530000000000001</v>
      </c>
      <c r="AF532" s="61">
        <v>247</v>
      </c>
      <c r="AG532" s="61">
        <v>1012</v>
      </c>
      <c r="AH532" s="61">
        <v>-11</v>
      </c>
      <c r="AI532" s="61">
        <v>759.01499999999999</v>
      </c>
      <c r="AJ532" s="61">
        <v>31.879000000000001</v>
      </c>
      <c r="AK532" s="62">
        <v>4.17</v>
      </c>
      <c r="AL532" s="63">
        <f t="shared" si="47"/>
        <v>31.879000000000001</v>
      </c>
      <c r="AM532" s="64">
        <v>4.17</v>
      </c>
      <c r="AN532" s="65" t="s">
        <v>121</v>
      </c>
      <c r="AO532" s="61" t="s">
        <v>121</v>
      </c>
      <c r="AP532" s="61">
        <v>46.621000000000002</v>
      </c>
      <c r="AQ532" s="61">
        <v>1.958</v>
      </c>
      <c r="AR532" s="61">
        <v>0.25</v>
      </c>
      <c r="AS532" s="61" t="s">
        <v>122</v>
      </c>
      <c r="AT532" s="61">
        <v>43</v>
      </c>
      <c r="AU532" s="61">
        <v>-3</v>
      </c>
      <c r="AV532" s="61">
        <v>49.621000000000002</v>
      </c>
      <c r="AW532" s="61">
        <v>2.0840000000000001</v>
      </c>
      <c r="AX532" s="65">
        <v>0.26600000000000001</v>
      </c>
      <c r="AY532" s="66">
        <v>3.0379999999999998</v>
      </c>
      <c r="AZ532" s="61">
        <v>11.016999999999999</v>
      </c>
      <c r="BA532" s="61">
        <v>32.954000000000001</v>
      </c>
      <c r="BB532" s="61">
        <v>47.009</v>
      </c>
      <c r="BC532" s="61">
        <v>0.182</v>
      </c>
      <c r="BD532" s="61">
        <v>1.5109999999999999</v>
      </c>
      <c r="BE532" s="61">
        <v>4.5129999999999999</v>
      </c>
      <c r="BF532" s="61">
        <v>0.10100000000000001</v>
      </c>
      <c r="BG532" s="61">
        <v>6.5209999999999999</v>
      </c>
      <c r="BH532" s="61">
        <v>3.7919999999999998</v>
      </c>
      <c r="BI532" s="61">
        <v>1.835</v>
      </c>
      <c r="BJ532" s="61">
        <v>12.147</v>
      </c>
      <c r="BK532" s="66">
        <v>18.454999999999998</v>
      </c>
      <c r="BL532" s="67">
        <v>84.296000000000006</v>
      </c>
      <c r="BM532" s="61">
        <v>14.202</v>
      </c>
      <c r="BN532" s="61">
        <v>4.17</v>
      </c>
      <c r="BO532" s="61">
        <v>0.26600000000000001</v>
      </c>
      <c r="BP532" s="61">
        <v>102.934</v>
      </c>
      <c r="BQ532" s="61">
        <v>218.65600000000001</v>
      </c>
      <c r="BR532" s="61">
        <v>11.407999999999999</v>
      </c>
      <c r="BS532" s="61">
        <v>25.018000000000001</v>
      </c>
      <c r="BT532" s="61">
        <v>203.239</v>
      </c>
      <c r="BU532" s="61">
        <v>18.489000000000001</v>
      </c>
      <c r="BV532" s="61">
        <v>22.108000000000001</v>
      </c>
      <c r="BW532" s="61">
        <v>40.597000000000001</v>
      </c>
      <c r="BX532" s="67">
        <v>498.91699999999997</v>
      </c>
      <c r="BY532" s="68">
        <v>130386</v>
      </c>
      <c r="BZ532" s="68">
        <v>110175</v>
      </c>
      <c r="CA532" s="69">
        <v>5655</v>
      </c>
      <c r="CB532" s="68">
        <v>162832</v>
      </c>
      <c r="CC532" s="68">
        <v>34628</v>
      </c>
      <c r="CD532" s="68">
        <v>120341</v>
      </c>
      <c r="CE532" s="64"/>
      <c r="CF532" s="64"/>
      <c r="CG532" s="70">
        <f t="shared" si="43"/>
        <v>6838.9440000000004</v>
      </c>
      <c r="CH532" s="70">
        <f t="shared" si="44"/>
        <v>237.51</v>
      </c>
      <c r="CI532" s="70">
        <f t="shared" si="45"/>
        <v>1454.376</v>
      </c>
      <c r="CJ532" s="70">
        <f t="shared" si="46"/>
        <v>5476.2120000000004</v>
      </c>
      <c r="CK532" s="70">
        <f t="shared" si="46"/>
        <v>4627.3500000000004</v>
      </c>
      <c r="CL532" s="70">
        <f t="shared" si="42"/>
        <v>5054.3220000000001</v>
      </c>
      <c r="CM532" s="61"/>
      <c r="CN532" s="61"/>
      <c r="CO532" s="61"/>
      <c r="CP532" s="61"/>
      <c r="CQ532" s="61"/>
      <c r="CR532" s="61"/>
      <c r="CS532" s="61"/>
      <c r="CT532" s="61"/>
      <c r="CU532" s="61"/>
      <c r="CV532" s="61"/>
      <c r="CW532" s="61"/>
      <c r="CX532" s="61"/>
      <c r="CY532" s="61"/>
      <c r="CZ532" s="61"/>
      <c r="DA532" s="61"/>
      <c r="DB532" s="61"/>
      <c r="DC532" s="61"/>
      <c r="DD532" s="61"/>
      <c r="DE532" s="61"/>
      <c r="DF532" s="61"/>
      <c r="DG532" s="61"/>
      <c r="DH532" s="61"/>
      <c r="DI532" s="61"/>
      <c r="DJ532" s="61"/>
      <c r="DK532" s="61"/>
      <c r="DL532" s="61"/>
      <c r="DM532" s="61"/>
      <c r="DN532" s="61"/>
      <c r="DO532" s="61"/>
      <c r="DP532" s="61"/>
      <c r="DQ532" s="61"/>
      <c r="DR532" s="61"/>
      <c r="DS532" s="61"/>
      <c r="DT532" s="61"/>
      <c r="DU532" s="61"/>
      <c r="DV532" s="61"/>
      <c r="DW532" s="61"/>
      <c r="DX532" s="61"/>
      <c r="DY532" s="61"/>
      <c r="DZ532" s="61"/>
      <c r="EA532" s="61"/>
      <c r="EB532" s="61"/>
      <c r="EC532" s="61"/>
      <c r="ED532" s="61"/>
      <c r="EE532" s="61"/>
      <c r="EF532" s="61"/>
      <c r="EG532" s="61"/>
      <c r="EH532" s="61"/>
      <c r="EI532" s="61"/>
      <c r="EJ532" s="61"/>
      <c r="EK532" s="61"/>
      <c r="EL532" s="61"/>
      <c r="EM532" s="61"/>
      <c r="EN532" s="61"/>
      <c r="EO532" s="61"/>
      <c r="EP532" s="61"/>
      <c r="EQ532" s="61"/>
      <c r="ER532" s="61"/>
      <c r="ES532" s="61"/>
      <c r="ET532" s="61"/>
      <c r="EU532" s="61"/>
      <c r="EV532" s="61"/>
      <c r="EW532" s="61"/>
    </row>
    <row r="533" spans="1:153">
      <c r="A533" s="56">
        <v>42795</v>
      </c>
      <c r="B533" s="57">
        <v>2017</v>
      </c>
      <c r="C533" s="71">
        <v>15.002000000000001</v>
      </c>
      <c r="D533" s="61">
        <v>0.20399999999999999</v>
      </c>
      <c r="E533" s="61">
        <v>2761.25</v>
      </c>
      <c r="F533" s="61">
        <v>115.973</v>
      </c>
      <c r="G533" s="61">
        <v>14.798</v>
      </c>
      <c r="H533" s="61">
        <v>650</v>
      </c>
      <c r="I533" s="61">
        <v>136.46899999999999</v>
      </c>
      <c r="J533" s="61">
        <v>513.53099999999995</v>
      </c>
      <c r="K533" s="61">
        <v>6189.44</v>
      </c>
      <c r="L533" s="61">
        <v>-285.755</v>
      </c>
      <c r="M533" s="61">
        <v>3560.5360000000001</v>
      </c>
      <c r="N533" s="61">
        <v>149.54300000000001</v>
      </c>
      <c r="O533" s="71">
        <v>19.081</v>
      </c>
      <c r="P533" s="60">
        <v>193.15799999999999</v>
      </c>
      <c r="Q533" s="61">
        <v>201.74299999999999</v>
      </c>
      <c r="R533" s="61">
        <v>438.279</v>
      </c>
      <c r="S533" s="61">
        <v>1031.1199999999999</v>
      </c>
      <c r="T533" s="61">
        <v>272.678</v>
      </c>
      <c r="U533" s="61">
        <v>18.166</v>
      </c>
      <c r="V533" s="61">
        <v>65.067999999999998</v>
      </c>
      <c r="W533" s="61">
        <v>236.928</v>
      </c>
      <c r="X533" s="61">
        <v>186.20500000000001</v>
      </c>
      <c r="Y533" s="61">
        <v>43.377000000000002</v>
      </c>
      <c r="Z533" s="61">
        <v>195.863</v>
      </c>
      <c r="AA533" s="61">
        <v>425.44499999999999</v>
      </c>
      <c r="AB533" s="60">
        <v>1018.2859999999999</v>
      </c>
      <c r="AC533" s="62">
        <v>377.53800000000001</v>
      </c>
      <c r="AD533" s="61">
        <v>15.856999999999999</v>
      </c>
      <c r="AE533" s="61">
        <v>2.0739999999999998</v>
      </c>
      <c r="AF533" s="61">
        <v>456</v>
      </c>
      <c r="AG533" s="61">
        <v>920</v>
      </c>
      <c r="AH533" s="61">
        <v>-92</v>
      </c>
      <c r="AI533" s="61">
        <v>925.53800000000001</v>
      </c>
      <c r="AJ533" s="61">
        <v>38.872999999999998</v>
      </c>
      <c r="AK533" s="62">
        <v>5.085</v>
      </c>
      <c r="AL533" s="63">
        <f t="shared" si="47"/>
        <v>38.872999999999998</v>
      </c>
      <c r="AM533" s="64">
        <v>5.085</v>
      </c>
      <c r="AN533" s="65" t="s">
        <v>121</v>
      </c>
      <c r="AO533" s="61" t="s">
        <v>121</v>
      </c>
      <c r="AP533" s="61">
        <v>29.481000000000002</v>
      </c>
      <c r="AQ533" s="61">
        <v>1.238</v>
      </c>
      <c r="AR533" s="61">
        <v>0.158</v>
      </c>
      <c r="AS533" s="61" t="s">
        <v>122</v>
      </c>
      <c r="AT533" s="61">
        <v>33</v>
      </c>
      <c r="AU533" s="61">
        <v>-10</v>
      </c>
      <c r="AV533" s="61">
        <v>39.481000000000002</v>
      </c>
      <c r="AW533" s="61">
        <v>1.6579999999999999</v>
      </c>
      <c r="AX533" s="65">
        <v>0.21199999999999999</v>
      </c>
      <c r="AY533" s="66">
        <v>3.363</v>
      </c>
      <c r="AZ533" s="61">
        <v>15.898999999999999</v>
      </c>
      <c r="BA533" s="61">
        <v>36.484999999999999</v>
      </c>
      <c r="BB533" s="61">
        <v>55.747</v>
      </c>
      <c r="BC533" s="61">
        <v>0.223</v>
      </c>
      <c r="BD533" s="61">
        <v>1.673</v>
      </c>
      <c r="BE533" s="61">
        <v>6.2210000000000001</v>
      </c>
      <c r="BF533" s="61">
        <v>0.153</v>
      </c>
      <c r="BG533" s="61">
        <v>7.0129999999999999</v>
      </c>
      <c r="BH533" s="61">
        <v>4.0060000000000002</v>
      </c>
      <c r="BI533" s="61">
        <v>2.0819999999999999</v>
      </c>
      <c r="BJ533" s="61">
        <v>13.101000000000001</v>
      </c>
      <c r="BK533" s="66">
        <v>21.372</v>
      </c>
      <c r="BL533" s="67">
        <v>95.668999999999997</v>
      </c>
      <c r="BM533" s="61">
        <v>19.081</v>
      </c>
      <c r="BN533" s="61">
        <v>5.085</v>
      </c>
      <c r="BO533" s="61">
        <v>0.21199999999999999</v>
      </c>
      <c r="BP533" s="61">
        <v>120.047</v>
      </c>
      <c r="BQ533" s="61">
        <v>271.27100000000002</v>
      </c>
      <c r="BR533" s="61">
        <v>12.773</v>
      </c>
      <c r="BS533" s="61">
        <v>41.109000000000002</v>
      </c>
      <c r="BT533" s="61">
        <v>236.69499999999999</v>
      </c>
      <c r="BU533" s="61">
        <v>20.939</v>
      </c>
      <c r="BV533" s="61">
        <v>24.306000000000001</v>
      </c>
      <c r="BW533" s="61">
        <v>45.244</v>
      </c>
      <c r="BX533" s="67">
        <v>607.09199999999998</v>
      </c>
      <c r="BY533" s="68">
        <v>148568</v>
      </c>
      <c r="BZ533" s="68">
        <v>127926</v>
      </c>
      <c r="CA533" s="69">
        <v>3449</v>
      </c>
      <c r="CB533" s="68">
        <v>152029</v>
      </c>
      <c r="CC533" s="68">
        <v>36966</v>
      </c>
      <c r="CD533" s="68">
        <v>136390</v>
      </c>
      <c r="CE533" s="64"/>
      <c r="CF533" s="64"/>
      <c r="CG533" s="70">
        <f t="shared" si="43"/>
        <v>6385.2179999999998</v>
      </c>
      <c r="CH533" s="70">
        <f t="shared" si="44"/>
        <v>144.858</v>
      </c>
      <c r="CI533" s="70">
        <f t="shared" si="45"/>
        <v>1552.5719999999999</v>
      </c>
      <c r="CJ533" s="70">
        <f t="shared" si="46"/>
        <v>6239.8559999999998</v>
      </c>
      <c r="CK533" s="70">
        <f t="shared" si="46"/>
        <v>5372.8919999999998</v>
      </c>
      <c r="CL533" s="70">
        <f t="shared" si="42"/>
        <v>5728.38</v>
      </c>
      <c r="CM533" s="61"/>
      <c r="CN533" s="61"/>
      <c r="CO533" s="61"/>
      <c r="CP533" s="61"/>
      <c r="CQ533" s="61"/>
      <c r="CR533" s="61"/>
      <c r="CS533" s="61"/>
      <c r="CT533" s="61"/>
      <c r="CU533" s="61"/>
      <c r="CV533" s="61"/>
      <c r="CW533" s="61"/>
      <c r="CX533" s="61"/>
      <c r="CY533" s="61"/>
      <c r="CZ533" s="61"/>
      <c r="DA533" s="61"/>
      <c r="DB533" s="61"/>
      <c r="DC533" s="61"/>
      <c r="DD533" s="61"/>
      <c r="DE533" s="61"/>
      <c r="DF533" s="61"/>
      <c r="DG533" s="61"/>
      <c r="DH533" s="61"/>
      <c r="DI533" s="61"/>
      <c r="DJ533" s="61"/>
      <c r="DK533" s="61"/>
      <c r="DL533" s="61"/>
      <c r="DM533" s="61"/>
      <c r="DN533" s="61"/>
      <c r="DO533" s="61"/>
      <c r="DP533" s="61"/>
      <c r="DQ533" s="61"/>
      <c r="DR533" s="61"/>
      <c r="DS533" s="61"/>
      <c r="DT533" s="61"/>
      <c r="DU533" s="61"/>
      <c r="DV533" s="61"/>
      <c r="DW533" s="61"/>
      <c r="DX533" s="61"/>
      <c r="DY533" s="61"/>
      <c r="DZ533" s="61"/>
      <c r="EA533" s="61"/>
      <c r="EB533" s="61"/>
      <c r="EC533" s="61"/>
      <c r="ED533" s="61"/>
      <c r="EE533" s="61"/>
      <c r="EF533" s="61"/>
      <c r="EG533" s="61"/>
      <c r="EH533" s="61"/>
      <c r="EI533" s="61"/>
      <c r="EJ533" s="61"/>
      <c r="EK533" s="61"/>
      <c r="EL533" s="61"/>
      <c r="EM533" s="61"/>
      <c r="EN533" s="61"/>
      <c r="EO533" s="61"/>
      <c r="EP533" s="61"/>
      <c r="EQ533" s="61"/>
      <c r="ER533" s="61"/>
      <c r="ES533" s="61"/>
      <c r="ET533" s="61"/>
      <c r="EU533" s="61"/>
      <c r="EV533" s="61"/>
      <c r="EW533" s="61"/>
    </row>
    <row r="534" spans="1:153">
      <c r="A534" s="56">
        <v>42826</v>
      </c>
      <c r="B534" s="57">
        <v>2017</v>
      </c>
      <c r="C534" s="71">
        <v>16.405000000000001</v>
      </c>
      <c r="D534" s="61">
        <v>0.223</v>
      </c>
      <c r="E534" s="61">
        <v>3019.5410000000002</v>
      </c>
      <c r="F534" s="61">
        <v>126.821</v>
      </c>
      <c r="G534" s="61">
        <v>16.181999999999999</v>
      </c>
      <c r="H534" s="61">
        <v>681</v>
      </c>
      <c r="I534" s="61">
        <v>283.41000000000003</v>
      </c>
      <c r="J534" s="61">
        <v>397.59</v>
      </c>
      <c r="K534" s="61">
        <v>5705.5439999999999</v>
      </c>
      <c r="L534" s="61">
        <v>-483.89699999999999</v>
      </c>
      <c r="M534" s="61">
        <v>3901.0279999999998</v>
      </c>
      <c r="N534" s="61">
        <v>163.84299999999999</v>
      </c>
      <c r="O534" s="71">
        <v>20.905999999999999</v>
      </c>
      <c r="P534" s="60">
        <v>180.12200000000001</v>
      </c>
      <c r="Q534" s="61">
        <v>188.334</v>
      </c>
      <c r="R534" s="61">
        <v>408.99099999999999</v>
      </c>
      <c r="S534" s="61">
        <v>1002.379</v>
      </c>
      <c r="T534" s="61">
        <v>270.80200000000002</v>
      </c>
      <c r="U534" s="61">
        <v>17.568999999999999</v>
      </c>
      <c r="V534" s="61">
        <v>71.337000000000003</v>
      </c>
      <c r="W534" s="61">
        <v>233.68</v>
      </c>
      <c r="X534" s="61">
        <v>174.28100000000001</v>
      </c>
      <c r="Y534" s="61">
        <v>40.533999999999999</v>
      </c>
      <c r="Z534" s="61">
        <v>189.53200000000001</v>
      </c>
      <c r="AA534" s="61">
        <v>404.34800000000001</v>
      </c>
      <c r="AB534" s="60">
        <v>997.73599999999999</v>
      </c>
      <c r="AC534" s="62">
        <v>485.791</v>
      </c>
      <c r="AD534" s="61">
        <v>20.402999999999999</v>
      </c>
      <c r="AE534" s="61">
        <v>2.669</v>
      </c>
      <c r="AF534" s="61">
        <v>381</v>
      </c>
      <c r="AG534" s="61">
        <v>926</v>
      </c>
      <c r="AH534" s="61">
        <v>6</v>
      </c>
      <c r="AI534" s="61">
        <v>860.79100000000005</v>
      </c>
      <c r="AJ534" s="61">
        <v>36.152999999999999</v>
      </c>
      <c r="AK534" s="62">
        <v>4.7290000000000001</v>
      </c>
      <c r="AL534" s="63">
        <f t="shared" si="47"/>
        <v>36.152999999999999</v>
      </c>
      <c r="AM534" s="64">
        <v>4.7290000000000001</v>
      </c>
      <c r="AN534" s="65" t="s">
        <v>121</v>
      </c>
      <c r="AO534" s="61" t="s">
        <v>121</v>
      </c>
      <c r="AP534" s="61">
        <v>74.402000000000001</v>
      </c>
      <c r="AQ534" s="61">
        <v>3.125</v>
      </c>
      <c r="AR534" s="61">
        <v>0.39900000000000002</v>
      </c>
      <c r="AS534" s="61" t="s">
        <v>122</v>
      </c>
      <c r="AT534" s="61">
        <v>33</v>
      </c>
      <c r="AU534" s="61">
        <v>0</v>
      </c>
      <c r="AV534" s="61">
        <v>74.402000000000001</v>
      </c>
      <c r="AW534" s="61">
        <v>3.125</v>
      </c>
      <c r="AX534" s="65">
        <v>0.39900000000000002</v>
      </c>
      <c r="AY534" s="66">
        <v>3.2549999999999999</v>
      </c>
      <c r="AZ534" s="61">
        <v>17.757999999999999</v>
      </c>
      <c r="BA534" s="61">
        <v>35.308</v>
      </c>
      <c r="BB534" s="61">
        <v>56.320999999999998</v>
      </c>
      <c r="BC534" s="61">
        <v>0.23400000000000001</v>
      </c>
      <c r="BD534" s="61">
        <v>1.619</v>
      </c>
      <c r="BE534" s="61">
        <v>6.89</v>
      </c>
      <c r="BF534" s="61">
        <v>0.13600000000000001</v>
      </c>
      <c r="BG534" s="61">
        <v>6.8010000000000002</v>
      </c>
      <c r="BH534" s="61">
        <v>3.8940000000000001</v>
      </c>
      <c r="BI534" s="61">
        <v>2.0419999999999998</v>
      </c>
      <c r="BJ534" s="61">
        <v>12.737</v>
      </c>
      <c r="BK534" s="66">
        <v>21.616</v>
      </c>
      <c r="BL534" s="67">
        <v>93.838999999999999</v>
      </c>
      <c r="BM534" s="61">
        <v>20.905999999999999</v>
      </c>
      <c r="BN534" s="61">
        <v>4.7290000000000001</v>
      </c>
      <c r="BO534" s="61">
        <v>0.39900000000000002</v>
      </c>
      <c r="BP534" s="61">
        <v>119.872</v>
      </c>
      <c r="BQ534" s="61">
        <v>269.19299999999998</v>
      </c>
      <c r="BR534" s="61">
        <v>12.35</v>
      </c>
      <c r="BS534" s="61">
        <v>44.69</v>
      </c>
      <c r="BT534" s="61">
        <v>233.46799999999999</v>
      </c>
      <c r="BU534" s="61">
        <v>16.792000000000002</v>
      </c>
      <c r="BV534" s="61">
        <v>22.248999999999999</v>
      </c>
      <c r="BW534" s="61">
        <v>39.042000000000002</v>
      </c>
      <c r="BX534" s="67">
        <v>598.74199999999996</v>
      </c>
      <c r="BY534" s="68">
        <v>150566</v>
      </c>
      <c r="BZ534" s="68">
        <v>112885</v>
      </c>
      <c r="CA534" s="69">
        <v>3530</v>
      </c>
      <c r="CB534" s="68">
        <v>154957</v>
      </c>
      <c r="CC534" s="68">
        <v>40653</v>
      </c>
      <c r="CD534" s="68">
        <v>139811</v>
      </c>
      <c r="CE534" s="64"/>
      <c r="CF534" s="64"/>
      <c r="CG534" s="70">
        <f t="shared" si="43"/>
        <v>6508.1940000000004</v>
      </c>
      <c r="CH534" s="70">
        <f t="shared" si="44"/>
        <v>148.26</v>
      </c>
      <c r="CI534" s="70">
        <f t="shared" si="45"/>
        <v>1707.4259999999999</v>
      </c>
      <c r="CJ534" s="70">
        <f t="shared" si="46"/>
        <v>6323.7719999999999</v>
      </c>
      <c r="CK534" s="70">
        <f t="shared" si="46"/>
        <v>4741.17</v>
      </c>
      <c r="CL534" s="70">
        <f t="shared" si="42"/>
        <v>5872.0619999999999</v>
      </c>
      <c r="CM534" s="61"/>
      <c r="CN534" s="61"/>
      <c r="CO534" s="61"/>
      <c r="CP534" s="61"/>
      <c r="CQ534" s="61"/>
      <c r="CR534" s="61"/>
      <c r="CS534" s="61"/>
      <c r="CT534" s="61"/>
      <c r="CU534" s="61"/>
      <c r="CV534" s="61"/>
      <c r="CW534" s="61"/>
      <c r="CX534" s="61"/>
      <c r="CY534" s="61"/>
      <c r="CZ534" s="61"/>
      <c r="DA534" s="61"/>
      <c r="DB534" s="61"/>
      <c r="DC534" s="61"/>
      <c r="DD534" s="61"/>
      <c r="DE534" s="61"/>
      <c r="DF534" s="61"/>
      <c r="DG534" s="61"/>
      <c r="DH534" s="61"/>
      <c r="DI534" s="61"/>
      <c r="DJ534" s="61"/>
      <c r="DK534" s="61"/>
      <c r="DL534" s="61"/>
      <c r="DM534" s="61"/>
      <c r="DN534" s="61"/>
      <c r="DO534" s="61"/>
      <c r="DP534" s="61"/>
      <c r="DQ534" s="61"/>
      <c r="DR534" s="61"/>
      <c r="DS534" s="61"/>
      <c r="DT534" s="61"/>
      <c r="DU534" s="61"/>
      <c r="DV534" s="61"/>
      <c r="DW534" s="61"/>
      <c r="DX534" s="61"/>
      <c r="DY534" s="61"/>
      <c r="DZ534" s="61"/>
      <c r="EA534" s="61"/>
      <c r="EB534" s="61"/>
      <c r="EC534" s="61"/>
      <c r="ED534" s="61"/>
      <c r="EE534" s="61"/>
      <c r="EF534" s="61"/>
      <c r="EG534" s="61"/>
      <c r="EH534" s="61"/>
      <c r="EI534" s="61"/>
      <c r="EJ534" s="61"/>
      <c r="EK534" s="61"/>
      <c r="EL534" s="61"/>
      <c r="EM534" s="61"/>
      <c r="EN534" s="61"/>
      <c r="EO534" s="61"/>
      <c r="EP534" s="61"/>
      <c r="EQ534" s="61"/>
      <c r="ER534" s="61"/>
      <c r="ES534" s="61"/>
      <c r="ET534" s="61"/>
      <c r="EU534" s="61"/>
      <c r="EV534" s="61"/>
      <c r="EW534" s="61"/>
    </row>
    <row r="535" spans="1:153">
      <c r="A535" s="56">
        <v>42856</v>
      </c>
      <c r="B535" s="57">
        <v>2017</v>
      </c>
      <c r="C535" s="71">
        <v>17.616</v>
      </c>
      <c r="D535" s="61">
        <v>0.24</v>
      </c>
      <c r="E535" s="61">
        <v>3242.4050000000002</v>
      </c>
      <c r="F535" s="61">
        <v>136.18100000000001</v>
      </c>
      <c r="G535" s="61">
        <v>17.376000000000001</v>
      </c>
      <c r="H535" s="61">
        <v>948</v>
      </c>
      <c r="I535" s="61">
        <v>239.29300000000001</v>
      </c>
      <c r="J535" s="61">
        <v>708.70699999999999</v>
      </c>
      <c r="K535" s="61">
        <v>4908.6279999999997</v>
      </c>
      <c r="L535" s="61">
        <v>-796.91600000000005</v>
      </c>
      <c r="M535" s="61">
        <v>4748.0280000000002</v>
      </c>
      <c r="N535" s="61">
        <v>199.417</v>
      </c>
      <c r="O535" s="71">
        <v>25.445</v>
      </c>
      <c r="P535" s="60">
        <v>183.67699999999999</v>
      </c>
      <c r="Q535" s="61">
        <v>202.66800000000001</v>
      </c>
      <c r="R535" s="61">
        <v>427.71300000000002</v>
      </c>
      <c r="S535" s="61">
        <v>1039.8889999999999</v>
      </c>
      <c r="T535" s="61">
        <v>300.24599999999998</v>
      </c>
      <c r="U535" s="61">
        <v>17.381</v>
      </c>
      <c r="V535" s="61">
        <v>82.141999999999996</v>
      </c>
      <c r="W535" s="61">
        <v>212.40700000000001</v>
      </c>
      <c r="X535" s="61">
        <v>178.29900000000001</v>
      </c>
      <c r="Y535" s="61">
        <v>41.368000000000002</v>
      </c>
      <c r="Z535" s="61">
        <v>206.68299999999999</v>
      </c>
      <c r="AA535" s="61">
        <v>426.35</v>
      </c>
      <c r="AB535" s="60">
        <v>1038.5260000000001</v>
      </c>
      <c r="AC535" s="62">
        <v>580.78</v>
      </c>
      <c r="AD535" s="61">
        <v>24.393000000000001</v>
      </c>
      <c r="AE535" s="61">
        <v>3.1909999999999998</v>
      </c>
      <c r="AF535" s="61">
        <v>478</v>
      </c>
      <c r="AG535" s="61">
        <v>861</v>
      </c>
      <c r="AH535" s="61">
        <v>-65</v>
      </c>
      <c r="AI535" s="61">
        <v>1123.78</v>
      </c>
      <c r="AJ535" s="61">
        <v>47.198999999999998</v>
      </c>
      <c r="AK535" s="62">
        <v>6.1740000000000004</v>
      </c>
      <c r="AL535" s="63">
        <f t="shared" si="47"/>
        <v>47.198999999999998</v>
      </c>
      <c r="AM535" s="64">
        <v>6.1740000000000004</v>
      </c>
      <c r="AN535" s="65" t="s">
        <v>121</v>
      </c>
      <c r="AO535" s="61" t="s">
        <v>121</v>
      </c>
      <c r="AP535" s="61">
        <v>35.496000000000002</v>
      </c>
      <c r="AQ535" s="61">
        <v>1.4910000000000001</v>
      </c>
      <c r="AR535" s="61">
        <v>0.19</v>
      </c>
      <c r="AS535" s="61" t="s">
        <v>122</v>
      </c>
      <c r="AT535" s="61">
        <v>39</v>
      </c>
      <c r="AU535" s="61">
        <v>6</v>
      </c>
      <c r="AV535" s="61">
        <v>29.495999999999999</v>
      </c>
      <c r="AW535" s="61">
        <v>1.2390000000000001</v>
      </c>
      <c r="AX535" s="65">
        <v>0.158</v>
      </c>
      <c r="AY535" s="66">
        <v>3.363</v>
      </c>
      <c r="AZ535" s="61">
        <v>19.588999999999999</v>
      </c>
      <c r="BA535" s="61">
        <v>36.484999999999999</v>
      </c>
      <c r="BB535" s="61">
        <v>59.436999999999998</v>
      </c>
      <c r="BC535" s="61">
        <v>0.25</v>
      </c>
      <c r="BD535" s="61">
        <v>1.673</v>
      </c>
      <c r="BE535" s="61">
        <v>7.6020000000000003</v>
      </c>
      <c r="BF535" s="61">
        <v>0.121</v>
      </c>
      <c r="BG535" s="61">
        <v>7.032</v>
      </c>
      <c r="BH535" s="61">
        <v>4.0490000000000004</v>
      </c>
      <c r="BI535" s="61">
        <v>2.1760000000000002</v>
      </c>
      <c r="BJ535" s="61">
        <v>13.257</v>
      </c>
      <c r="BK535" s="66">
        <v>22.902999999999999</v>
      </c>
      <c r="BL535" s="67">
        <v>99.998999999999995</v>
      </c>
      <c r="BM535" s="61">
        <v>25.445</v>
      </c>
      <c r="BN535" s="61">
        <v>6.1740000000000004</v>
      </c>
      <c r="BO535" s="61">
        <v>0.158</v>
      </c>
      <c r="BP535" s="61">
        <v>131.77500000000001</v>
      </c>
      <c r="BQ535" s="61">
        <v>298.53699999999998</v>
      </c>
      <c r="BR535" s="61">
        <v>11.988</v>
      </c>
      <c r="BS535" s="61">
        <v>52.716999999999999</v>
      </c>
      <c r="BT535" s="61">
        <v>212.21600000000001</v>
      </c>
      <c r="BU535" s="61">
        <v>16.757999999999999</v>
      </c>
      <c r="BV535" s="61">
        <v>23.571000000000002</v>
      </c>
      <c r="BW535" s="61">
        <v>40.328000000000003</v>
      </c>
      <c r="BX535" s="67">
        <v>615.78599999999994</v>
      </c>
      <c r="BY535" s="68">
        <v>161681</v>
      </c>
      <c r="BZ535" s="68">
        <v>122607</v>
      </c>
      <c r="CA535" s="69">
        <v>3865</v>
      </c>
      <c r="CB535" s="68">
        <v>154247</v>
      </c>
      <c r="CC535" s="68">
        <v>46813</v>
      </c>
      <c r="CD535" s="68">
        <v>151471</v>
      </c>
      <c r="CE535" s="64"/>
      <c r="CF535" s="64"/>
      <c r="CG535" s="70">
        <f t="shared" si="43"/>
        <v>6478.3739999999998</v>
      </c>
      <c r="CH535" s="70">
        <f t="shared" si="44"/>
        <v>162.33000000000001</v>
      </c>
      <c r="CI535" s="70">
        <f t="shared" si="45"/>
        <v>1966.146</v>
      </c>
      <c r="CJ535" s="70">
        <f t="shared" si="46"/>
        <v>6790.6019999999999</v>
      </c>
      <c r="CK535" s="70">
        <f t="shared" si="46"/>
        <v>5149.4939999999997</v>
      </c>
      <c r="CL535" s="70">
        <f t="shared" si="42"/>
        <v>6361.7820000000002</v>
      </c>
      <c r="CM535" s="61"/>
      <c r="CN535" s="61"/>
      <c r="CO535" s="61"/>
      <c r="CP535" s="61"/>
      <c r="CQ535" s="61"/>
      <c r="CR535" s="61"/>
      <c r="CS535" s="61"/>
      <c r="CT535" s="61"/>
      <c r="CU535" s="61"/>
      <c r="CV535" s="61"/>
      <c r="CW535" s="61"/>
      <c r="CX535" s="61"/>
      <c r="CY535" s="61"/>
      <c r="CZ535" s="61"/>
      <c r="DA535" s="61"/>
      <c r="DB535" s="61"/>
      <c r="DC535" s="61"/>
      <c r="DD535" s="61"/>
      <c r="DE535" s="61"/>
      <c r="DF535" s="61"/>
      <c r="DG535" s="61"/>
      <c r="DH535" s="61"/>
      <c r="DI535" s="61"/>
      <c r="DJ535" s="61"/>
      <c r="DK535" s="61"/>
      <c r="DL535" s="61"/>
      <c r="DM535" s="61"/>
      <c r="DN535" s="61"/>
      <c r="DO535" s="61"/>
      <c r="DP535" s="61"/>
      <c r="DQ535" s="61"/>
      <c r="DR535" s="61"/>
      <c r="DS535" s="61"/>
      <c r="DT535" s="61"/>
      <c r="DU535" s="61"/>
      <c r="DV535" s="61"/>
      <c r="DW535" s="61"/>
      <c r="DX535" s="61"/>
      <c r="DY535" s="61"/>
      <c r="DZ535" s="61"/>
      <c r="EA535" s="61"/>
      <c r="EB535" s="61"/>
      <c r="EC535" s="61"/>
      <c r="ED535" s="61"/>
      <c r="EE535" s="61"/>
      <c r="EF535" s="61"/>
      <c r="EG535" s="61"/>
      <c r="EH535" s="61"/>
      <c r="EI535" s="61"/>
      <c r="EJ535" s="61"/>
      <c r="EK535" s="61"/>
      <c r="EL535" s="61"/>
      <c r="EM535" s="61"/>
      <c r="EN535" s="61"/>
      <c r="EO535" s="61"/>
      <c r="EP535" s="61"/>
      <c r="EQ535" s="61"/>
      <c r="ER535" s="61"/>
      <c r="ES535" s="61"/>
      <c r="ET535" s="61"/>
      <c r="EU535" s="61"/>
      <c r="EV535" s="61"/>
      <c r="EW535" s="61"/>
    </row>
    <row r="536" spans="1:153">
      <c r="A536" s="56">
        <v>42887</v>
      </c>
      <c r="B536" s="57">
        <v>2017</v>
      </c>
      <c r="C536" s="71">
        <v>18.169</v>
      </c>
      <c r="D536" s="61">
        <v>0.247</v>
      </c>
      <c r="E536" s="61">
        <v>3344.2629999999999</v>
      </c>
      <c r="F536" s="61">
        <v>140.459</v>
      </c>
      <c r="G536" s="61">
        <v>17.922000000000001</v>
      </c>
      <c r="H536" s="61">
        <v>1736</v>
      </c>
      <c r="I536" s="61">
        <v>225.999</v>
      </c>
      <c r="J536" s="61">
        <v>1510.001</v>
      </c>
      <c r="K536" s="61">
        <v>5052.2529999999997</v>
      </c>
      <c r="L536" s="61">
        <v>143.624</v>
      </c>
      <c r="M536" s="61">
        <v>4710.6400000000003</v>
      </c>
      <c r="N536" s="61">
        <v>197.84700000000001</v>
      </c>
      <c r="O536" s="71">
        <v>25.244</v>
      </c>
      <c r="P536" s="60">
        <v>188.066</v>
      </c>
      <c r="Q536" s="61">
        <v>196.26599999999999</v>
      </c>
      <c r="R536" s="61">
        <v>424.37599999999998</v>
      </c>
      <c r="S536" s="61">
        <v>994.36</v>
      </c>
      <c r="T536" s="61">
        <v>281.53699999999998</v>
      </c>
      <c r="U536" s="61">
        <v>17.04</v>
      </c>
      <c r="V536" s="61">
        <v>85.941000000000003</v>
      </c>
      <c r="W536" s="61">
        <v>185.465</v>
      </c>
      <c r="X536" s="61">
        <v>181.387</v>
      </c>
      <c r="Y536" s="61">
        <v>40.043999999999997</v>
      </c>
      <c r="Z536" s="61">
        <v>203.24299999999999</v>
      </c>
      <c r="AA536" s="61">
        <v>424.67399999999998</v>
      </c>
      <c r="AB536" s="60">
        <v>994.65800000000002</v>
      </c>
      <c r="AC536" s="62">
        <v>422.553</v>
      </c>
      <c r="AD536" s="61">
        <v>17.747</v>
      </c>
      <c r="AE536" s="61">
        <v>2.3220000000000001</v>
      </c>
      <c r="AF536" s="61">
        <v>462</v>
      </c>
      <c r="AG536" s="61">
        <v>786</v>
      </c>
      <c r="AH536" s="61">
        <v>-75</v>
      </c>
      <c r="AI536" s="61">
        <v>959.553</v>
      </c>
      <c r="AJ536" s="61">
        <v>40.301000000000002</v>
      </c>
      <c r="AK536" s="62">
        <v>5.2720000000000002</v>
      </c>
      <c r="AL536" s="63">
        <f t="shared" si="47"/>
        <v>40.301000000000002</v>
      </c>
      <c r="AM536" s="64">
        <v>5.2720000000000002</v>
      </c>
      <c r="AN536" s="65" t="s">
        <v>121</v>
      </c>
      <c r="AO536" s="61" t="s">
        <v>121</v>
      </c>
      <c r="AP536" s="61">
        <v>37.017000000000003</v>
      </c>
      <c r="AQ536" s="61">
        <v>1.5549999999999999</v>
      </c>
      <c r="AR536" s="61">
        <v>0.19800000000000001</v>
      </c>
      <c r="AS536" s="61" t="s">
        <v>122</v>
      </c>
      <c r="AT536" s="61">
        <v>31</v>
      </c>
      <c r="AU536" s="61">
        <v>-8</v>
      </c>
      <c r="AV536" s="61">
        <v>45.017000000000003</v>
      </c>
      <c r="AW536" s="61">
        <v>1.891</v>
      </c>
      <c r="AX536" s="65">
        <v>0.24099999999999999</v>
      </c>
      <c r="AY536" s="66">
        <v>3.2549999999999999</v>
      </c>
      <c r="AZ536" s="61">
        <v>20.257000000000001</v>
      </c>
      <c r="BA536" s="61">
        <v>35.308</v>
      </c>
      <c r="BB536" s="61">
        <v>58.82</v>
      </c>
      <c r="BC536" s="61">
        <v>0.223</v>
      </c>
      <c r="BD536" s="61">
        <v>1.619</v>
      </c>
      <c r="BE536" s="61">
        <v>7.6920000000000002</v>
      </c>
      <c r="BF536" s="61">
        <v>9.7000000000000003E-2</v>
      </c>
      <c r="BG536" s="61">
        <v>6.8319999999999999</v>
      </c>
      <c r="BH536" s="61">
        <v>3.9550000000000001</v>
      </c>
      <c r="BI536" s="61">
        <v>2.1749999999999998</v>
      </c>
      <c r="BJ536" s="61">
        <v>12.962999999999999</v>
      </c>
      <c r="BK536" s="66">
        <v>22.594000000000001</v>
      </c>
      <c r="BL536" s="67">
        <v>99.950999999999993</v>
      </c>
      <c r="BM536" s="61">
        <v>25.244</v>
      </c>
      <c r="BN536" s="61">
        <v>5.2720000000000002</v>
      </c>
      <c r="BO536" s="61">
        <v>0.24099999999999999</v>
      </c>
      <c r="BP536" s="61">
        <v>130.708</v>
      </c>
      <c r="BQ536" s="61">
        <v>280.12700000000001</v>
      </c>
      <c r="BR536" s="61">
        <v>11.821</v>
      </c>
      <c r="BS536" s="61">
        <v>55.728000000000002</v>
      </c>
      <c r="BT536" s="61">
        <v>185.30600000000001</v>
      </c>
      <c r="BU536" s="61">
        <v>18.422000000000001</v>
      </c>
      <c r="BV536" s="61">
        <v>23.652000000000001</v>
      </c>
      <c r="BW536" s="61">
        <v>42.073999999999998</v>
      </c>
      <c r="BX536" s="67">
        <v>575.05600000000004</v>
      </c>
      <c r="BY536" s="68">
        <v>158513</v>
      </c>
      <c r="BZ536" s="68">
        <v>118907</v>
      </c>
      <c r="CA536" s="69">
        <v>3152</v>
      </c>
      <c r="CB536" s="68">
        <v>152060</v>
      </c>
      <c r="CC536" s="68">
        <v>48131</v>
      </c>
      <c r="CD536" s="68">
        <v>147542</v>
      </c>
      <c r="CE536" s="64"/>
      <c r="CF536" s="64"/>
      <c r="CG536" s="70">
        <f t="shared" si="43"/>
        <v>6386.52</v>
      </c>
      <c r="CH536" s="70">
        <f t="shared" si="44"/>
        <v>132.38399999999999</v>
      </c>
      <c r="CI536" s="70">
        <f t="shared" si="45"/>
        <v>2021.502</v>
      </c>
      <c r="CJ536" s="70">
        <f t="shared" si="46"/>
        <v>6657.5460000000003</v>
      </c>
      <c r="CK536" s="70">
        <f t="shared" si="46"/>
        <v>4994.0940000000001</v>
      </c>
      <c r="CL536" s="70">
        <f t="shared" si="42"/>
        <v>6196.7640000000001</v>
      </c>
      <c r="CM536" s="61"/>
      <c r="CN536" s="61"/>
      <c r="CO536" s="61"/>
      <c r="CP536" s="61"/>
      <c r="CQ536" s="61"/>
      <c r="CR536" s="61"/>
      <c r="CS536" s="61"/>
      <c r="CT536" s="61"/>
      <c r="CU536" s="61"/>
      <c r="CV536" s="61"/>
      <c r="CW536" s="61"/>
      <c r="CX536" s="61"/>
      <c r="CY536" s="61"/>
      <c r="CZ536" s="61"/>
      <c r="DA536" s="61"/>
      <c r="DB536" s="61"/>
      <c r="DC536" s="61"/>
      <c r="DD536" s="61"/>
      <c r="DE536" s="61"/>
      <c r="DF536" s="61"/>
      <c r="DG536" s="61"/>
      <c r="DH536" s="61"/>
      <c r="DI536" s="61"/>
      <c r="DJ536" s="61"/>
      <c r="DK536" s="61"/>
      <c r="DL536" s="61"/>
      <c r="DM536" s="61"/>
      <c r="DN536" s="61"/>
      <c r="DO536" s="61"/>
      <c r="DP536" s="61"/>
      <c r="DQ536" s="61"/>
      <c r="DR536" s="61"/>
      <c r="DS536" s="61"/>
      <c r="DT536" s="61"/>
      <c r="DU536" s="61"/>
      <c r="DV536" s="61"/>
      <c r="DW536" s="61"/>
      <c r="DX536" s="61"/>
      <c r="DY536" s="61"/>
      <c r="DZ536" s="61"/>
      <c r="EA536" s="61"/>
      <c r="EB536" s="61"/>
      <c r="EC536" s="61"/>
      <c r="ED536" s="61"/>
      <c r="EE536" s="61"/>
      <c r="EF536" s="61"/>
      <c r="EG536" s="61"/>
      <c r="EH536" s="61"/>
      <c r="EI536" s="61"/>
      <c r="EJ536" s="61"/>
      <c r="EK536" s="61"/>
      <c r="EL536" s="61"/>
      <c r="EM536" s="61"/>
      <c r="EN536" s="61"/>
      <c r="EO536" s="61"/>
      <c r="EP536" s="61"/>
      <c r="EQ536" s="61"/>
      <c r="ER536" s="61"/>
      <c r="ES536" s="61"/>
      <c r="ET536" s="61"/>
      <c r="EU536" s="61"/>
      <c r="EV536" s="61"/>
      <c r="EW536" s="61"/>
    </row>
    <row r="537" spans="1:153">
      <c r="A537" s="56">
        <v>42917</v>
      </c>
      <c r="B537" s="57">
        <v>2017</v>
      </c>
      <c r="C537" s="71">
        <v>19.341000000000001</v>
      </c>
      <c r="D537" s="61">
        <v>0.26300000000000001</v>
      </c>
      <c r="E537" s="61">
        <v>3559.8389999999999</v>
      </c>
      <c r="F537" s="61">
        <v>149.51300000000001</v>
      </c>
      <c r="G537" s="61">
        <v>19.077000000000002</v>
      </c>
      <c r="H537" s="61">
        <v>1670</v>
      </c>
      <c r="I537" s="61">
        <v>452.95299999999997</v>
      </c>
      <c r="J537" s="61">
        <v>1217.047</v>
      </c>
      <c r="K537" s="61">
        <v>5404.8959999999997</v>
      </c>
      <c r="L537" s="61">
        <v>352.64400000000001</v>
      </c>
      <c r="M537" s="61">
        <v>4424.2420000000002</v>
      </c>
      <c r="N537" s="61">
        <v>185.81800000000001</v>
      </c>
      <c r="O537" s="71">
        <v>23.71</v>
      </c>
      <c r="P537" s="60">
        <v>193.82599999999999</v>
      </c>
      <c r="Q537" s="61">
        <v>201.023</v>
      </c>
      <c r="R537" s="61">
        <v>435.87599999999998</v>
      </c>
      <c r="S537" s="61">
        <v>928.97900000000004</v>
      </c>
      <c r="T537" s="61">
        <v>244.917</v>
      </c>
      <c r="U537" s="61">
        <v>18.033000000000001</v>
      </c>
      <c r="V537" s="61">
        <v>81.72</v>
      </c>
      <c r="W537" s="61">
        <v>148.43299999999999</v>
      </c>
      <c r="X537" s="61">
        <v>188.27799999999999</v>
      </c>
      <c r="Y537" s="61">
        <v>41.027000000000001</v>
      </c>
      <c r="Z537" s="61">
        <v>201.51</v>
      </c>
      <c r="AA537" s="61">
        <v>430.81599999999997</v>
      </c>
      <c r="AB537" s="60">
        <v>923.91800000000001</v>
      </c>
      <c r="AC537" s="62">
        <v>467.9</v>
      </c>
      <c r="AD537" s="61">
        <v>19.652000000000001</v>
      </c>
      <c r="AE537" s="61">
        <v>2.5710000000000002</v>
      </c>
      <c r="AF537" s="61">
        <v>396</v>
      </c>
      <c r="AG537" s="61">
        <v>708</v>
      </c>
      <c r="AH537" s="61">
        <v>-78</v>
      </c>
      <c r="AI537" s="61">
        <v>941.9</v>
      </c>
      <c r="AJ537" s="61">
        <v>39.56</v>
      </c>
      <c r="AK537" s="62">
        <v>5.1749999999999998</v>
      </c>
      <c r="AL537" s="63">
        <f t="shared" si="47"/>
        <v>39.56</v>
      </c>
      <c r="AM537" s="64">
        <v>5.1749999999999998</v>
      </c>
      <c r="AN537" s="65" t="s">
        <v>121</v>
      </c>
      <c r="AO537" s="61" t="s">
        <v>121</v>
      </c>
      <c r="AP537" s="61">
        <v>37.970999999999997</v>
      </c>
      <c r="AQ537" s="61">
        <v>1.595</v>
      </c>
      <c r="AR537" s="61">
        <v>0.20300000000000001</v>
      </c>
      <c r="AS537" s="61" t="s">
        <v>122</v>
      </c>
      <c r="AT537" s="61">
        <v>26</v>
      </c>
      <c r="AU537" s="61">
        <v>-5</v>
      </c>
      <c r="AV537" s="61">
        <v>42.970999999999997</v>
      </c>
      <c r="AW537" s="61">
        <v>1.8049999999999999</v>
      </c>
      <c r="AX537" s="65">
        <v>0.23</v>
      </c>
      <c r="AY537" s="66">
        <v>3.363</v>
      </c>
      <c r="AZ537" s="61">
        <v>20.68</v>
      </c>
      <c r="BA537" s="61">
        <v>36.484999999999999</v>
      </c>
      <c r="BB537" s="61">
        <v>60.527999999999999</v>
      </c>
      <c r="BC537" s="61">
        <v>0.19500000000000001</v>
      </c>
      <c r="BD537" s="61">
        <v>1.673</v>
      </c>
      <c r="BE537" s="61">
        <v>7.944</v>
      </c>
      <c r="BF537" s="61">
        <v>7.3999999999999996E-2</v>
      </c>
      <c r="BG537" s="61">
        <v>7.0830000000000002</v>
      </c>
      <c r="BH537" s="61">
        <v>4.0949999999999998</v>
      </c>
      <c r="BI537" s="61">
        <v>2.1459999999999999</v>
      </c>
      <c r="BJ537" s="61">
        <v>13.324999999999999</v>
      </c>
      <c r="BK537" s="66">
        <v>23.21</v>
      </c>
      <c r="BL537" s="67">
        <v>98.594999999999999</v>
      </c>
      <c r="BM537" s="61">
        <v>23.71</v>
      </c>
      <c r="BN537" s="61">
        <v>5.1749999999999998</v>
      </c>
      <c r="BO537" s="61">
        <v>0.23</v>
      </c>
      <c r="BP537" s="61">
        <v>127.71</v>
      </c>
      <c r="BQ537" s="61">
        <v>243.64599999999999</v>
      </c>
      <c r="BR537" s="61">
        <v>12.64</v>
      </c>
      <c r="BS537" s="61">
        <v>50.728999999999999</v>
      </c>
      <c r="BT537" s="61">
        <v>148.321</v>
      </c>
      <c r="BU537" s="61">
        <v>20.091999999999999</v>
      </c>
      <c r="BV537" s="61">
        <v>23.763999999999999</v>
      </c>
      <c r="BW537" s="61">
        <v>43.856000000000002</v>
      </c>
      <c r="BX537" s="67">
        <v>499.19099999999997</v>
      </c>
      <c r="BY537" s="68">
        <v>160018</v>
      </c>
      <c r="BZ537" s="68">
        <v>112896</v>
      </c>
      <c r="CA537" s="69">
        <v>3542</v>
      </c>
      <c r="CB537" s="68">
        <v>151494</v>
      </c>
      <c r="CC537" s="68">
        <v>54263</v>
      </c>
      <c r="CD537" s="68">
        <v>147662</v>
      </c>
      <c r="CE537" s="64"/>
      <c r="CF537" s="64"/>
      <c r="CG537" s="70">
        <f t="shared" si="43"/>
        <v>6362.7479999999996</v>
      </c>
      <c r="CH537" s="70">
        <f t="shared" si="44"/>
        <v>148.76400000000001</v>
      </c>
      <c r="CI537" s="70">
        <f t="shared" si="45"/>
        <v>2279.0459999999998</v>
      </c>
      <c r="CJ537" s="70">
        <f t="shared" si="46"/>
        <v>6720.7560000000003</v>
      </c>
      <c r="CK537" s="70">
        <f t="shared" si="46"/>
        <v>4741.6319999999996</v>
      </c>
      <c r="CL537" s="70">
        <f t="shared" si="42"/>
        <v>6201.8040000000001</v>
      </c>
      <c r="CM537" s="61"/>
      <c r="CN537" s="61"/>
      <c r="CO537" s="61"/>
      <c r="CP537" s="61"/>
      <c r="CQ537" s="61"/>
      <c r="CR537" s="61"/>
      <c r="CS537" s="61"/>
      <c r="CT537" s="61"/>
      <c r="CU537" s="61"/>
      <c r="CV537" s="61"/>
      <c r="CW537" s="61"/>
      <c r="CX537" s="61"/>
      <c r="CY537" s="61"/>
      <c r="CZ537" s="61"/>
      <c r="DA537" s="61"/>
      <c r="DB537" s="61"/>
      <c r="DC537" s="61"/>
      <c r="DD537" s="61"/>
      <c r="DE537" s="61"/>
      <c r="DF537" s="61"/>
      <c r="DG537" s="61"/>
      <c r="DH537" s="61"/>
      <c r="DI537" s="61"/>
      <c r="DJ537" s="61"/>
      <c r="DK537" s="61"/>
      <c r="DL537" s="61"/>
      <c r="DM537" s="61"/>
      <c r="DN537" s="61"/>
      <c r="DO537" s="61"/>
      <c r="DP537" s="61"/>
      <c r="DQ537" s="61"/>
      <c r="DR537" s="61"/>
      <c r="DS537" s="61"/>
      <c r="DT537" s="61"/>
      <c r="DU537" s="61"/>
      <c r="DV537" s="61"/>
      <c r="DW537" s="61"/>
      <c r="DX537" s="61"/>
      <c r="DY537" s="61"/>
      <c r="DZ537" s="61"/>
      <c r="EA537" s="61"/>
      <c r="EB537" s="61"/>
      <c r="EC537" s="61"/>
      <c r="ED537" s="61"/>
      <c r="EE537" s="61"/>
      <c r="EF537" s="61"/>
      <c r="EG537" s="61"/>
      <c r="EH537" s="61"/>
      <c r="EI537" s="61"/>
      <c r="EJ537" s="61"/>
      <c r="EK537" s="61"/>
      <c r="EL537" s="61"/>
      <c r="EM537" s="61"/>
      <c r="EN537" s="61"/>
      <c r="EO537" s="61"/>
      <c r="EP537" s="61"/>
      <c r="EQ537" s="61"/>
      <c r="ER537" s="61"/>
      <c r="ES537" s="61"/>
      <c r="ET537" s="61"/>
      <c r="EU537" s="61"/>
      <c r="EV537" s="61"/>
      <c r="EW537" s="61"/>
    </row>
    <row r="538" spans="1:153">
      <c r="A538" s="56">
        <v>42948</v>
      </c>
      <c r="B538" s="57">
        <v>2017</v>
      </c>
      <c r="C538" s="71">
        <v>19.337</v>
      </c>
      <c r="D538" s="61">
        <v>0.26300000000000001</v>
      </c>
      <c r="E538" s="61">
        <v>3559.1950000000002</v>
      </c>
      <c r="F538" s="61">
        <v>149.48599999999999</v>
      </c>
      <c r="G538" s="61">
        <v>19.074000000000002</v>
      </c>
      <c r="H538" s="61">
        <v>1582</v>
      </c>
      <c r="I538" s="61">
        <v>387.36200000000002</v>
      </c>
      <c r="J538" s="61">
        <v>1194.6379999999999</v>
      </c>
      <c r="K538" s="61">
        <v>5355.5169999999998</v>
      </c>
      <c r="L538" s="61">
        <v>-49.38</v>
      </c>
      <c r="M538" s="61">
        <v>4803.2129999999997</v>
      </c>
      <c r="N538" s="61">
        <v>201.73500000000001</v>
      </c>
      <c r="O538" s="71">
        <v>25.74</v>
      </c>
      <c r="P538" s="60">
        <v>196.64500000000001</v>
      </c>
      <c r="Q538" s="61">
        <v>209.101</v>
      </c>
      <c r="R538" s="61">
        <v>446.87400000000002</v>
      </c>
      <c r="S538" s="61">
        <v>874.48099999999999</v>
      </c>
      <c r="T538" s="61">
        <v>202.88800000000001</v>
      </c>
      <c r="U538" s="61">
        <v>17.943999999999999</v>
      </c>
      <c r="V538" s="61">
        <v>78.98</v>
      </c>
      <c r="W538" s="61">
        <v>127.79600000000001</v>
      </c>
      <c r="X538" s="61">
        <v>190.13900000000001</v>
      </c>
      <c r="Y538" s="61">
        <v>41.128</v>
      </c>
      <c r="Z538" s="61">
        <v>210.863</v>
      </c>
      <c r="AA538" s="61">
        <v>442.13</v>
      </c>
      <c r="AB538" s="60">
        <v>869.73699999999997</v>
      </c>
      <c r="AC538" s="62">
        <v>587.43799999999999</v>
      </c>
      <c r="AD538" s="61">
        <v>24.672000000000001</v>
      </c>
      <c r="AE538" s="61">
        <v>3.2269999999999999</v>
      </c>
      <c r="AF538" s="61">
        <v>371</v>
      </c>
      <c r="AG538" s="61">
        <v>678</v>
      </c>
      <c r="AH538" s="61">
        <v>-30</v>
      </c>
      <c r="AI538" s="61">
        <v>988.43799999999999</v>
      </c>
      <c r="AJ538" s="61">
        <v>41.514000000000003</v>
      </c>
      <c r="AK538" s="62">
        <v>5.43</v>
      </c>
      <c r="AL538" s="63">
        <f t="shared" si="47"/>
        <v>41.514000000000003</v>
      </c>
      <c r="AM538" s="64">
        <v>5.43</v>
      </c>
      <c r="AN538" s="65" t="s">
        <v>121</v>
      </c>
      <c r="AO538" s="61" t="s">
        <v>121</v>
      </c>
      <c r="AP538" s="61">
        <v>47.942999999999998</v>
      </c>
      <c r="AQ538" s="61">
        <v>2.0139999999999998</v>
      </c>
      <c r="AR538" s="61">
        <v>0.25700000000000001</v>
      </c>
      <c r="AS538" s="61" t="s">
        <v>122</v>
      </c>
      <c r="AT538" s="61">
        <v>24</v>
      </c>
      <c r="AU538" s="61">
        <v>-2</v>
      </c>
      <c r="AV538" s="61">
        <v>49.942999999999998</v>
      </c>
      <c r="AW538" s="61">
        <v>2.0979999999999999</v>
      </c>
      <c r="AX538" s="65">
        <v>0.26800000000000002</v>
      </c>
      <c r="AY538" s="66">
        <v>3.363</v>
      </c>
      <c r="AZ538" s="61">
        <v>20.027000000000001</v>
      </c>
      <c r="BA538" s="61">
        <v>36.484999999999999</v>
      </c>
      <c r="BB538" s="61">
        <v>59.875</v>
      </c>
      <c r="BC538" s="61">
        <v>0.16200000000000001</v>
      </c>
      <c r="BD538" s="61">
        <v>1.673</v>
      </c>
      <c r="BE538" s="61">
        <v>7.742</v>
      </c>
      <c r="BF538" s="61">
        <v>5.2999999999999999E-2</v>
      </c>
      <c r="BG538" s="61">
        <v>7.0940000000000003</v>
      </c>
      <c r="BH538" s="61">
        <v>4.1100000000000003</v>
      </c>
      <c r="BI538" s="61">
        <v>2.2330000000000001</v>
      </c>
      <c r="BJ538" s="61">
        <v>13.436999999999999</v>
      </c>
      <c r="BK538" s="66">
        <v>23.065999999999999</v>
      </c>
      <c r="BL538" s="67">
        <v>102.59699999999999</v>
      </c>
      <c r="BM538" s="61">
        <v>25.74</v>
      </c>
      <c r="BN538" s="61">
        <v>5.43</v>
      </c>
      <c r="BO538" s="61">
        <v>0.26800000000000002</v>
      </c>
      <c r="BP538" s="61">
        <v>134.035</v>
      </c>
      <c r="BQ538" s="61">
        <v>201.87299999999999</v>
      </c>
      <c r="BR538" s="61">
        <v>12.55</v>
      </c>
      <c r="BS538" s="61">
        <v>48.901000000000003</v>
      </c>
      <c r="BT538" s="61">
        <v>127.709</v>
      </c>
      <c r="BU538" s="61">
        <v>21.052</v>
      </c>
      <c r="BV538" s="61">
        <v>23.683</v>
      </c>
      <c r="BW538" s="61">
        <v>44.734999999999999</v>
      </c>
      <c r="BX538" s="67">
        <v>435.767</v>
      </c>
      <c r="BY538" s="68">
        <v>156366</v>
      </c>
      <c r="BZ538" s="68">
        <v>124109</v>
      </c>
      <c r="CA538" s="69">
        <v>3571</v>
      </c>
      <c r="CB538" s="68">
        <v>147806</v>
      </c>
      <c r="CC538" s="68">
        <v>42795</v>
      </c>
      <c r="CD538" s="68">
        <v>145391</v>
      </c>
      <c r="CE538" s="64"/>
      <c r="CF538" s="64"/>
      <c r="CG538" s="70">
        <f t="shared" si="43"/>
        <v>6207.8519999999999</v>
      </c>
      <c r="CH538" s="70">
        <f t="shared" si="44"/>
        <v>149.982</v>
      </c>
      <c r="CI538" s="70">
        <f t="shared" si="45"/>
        <v>1797.39</v>
      </c>
      <c r="CJ538" s="70">
        <f t="shared" si="46"/>
        <v>6567.3720000000003</v>
      </c>
      <c r="CK538" s="70">
        <f t="shared" si="46"/>
        <v>5212.5780000000004</v>
      </c>
      <c r="CL538" s="70">
        <f t="shared" si="42"/>
        <v>6106.4219999999996</v>
      </c>
      <c r="CM538" s="61"/>
      <c r="CN538" s="61"/>
      <c r="CO538" s="61"/>
      <c r="CP538" s="61"/>
      <c r="CQ538" s="61"/>
      <c r="CR538" s="61"/>
      <c r="CS538" s="61"/>
      <c r="CT538" s="61"/>
      <c r="CU538" s="61"/>
      <c r="CV538" s="61"/>
      <c r="CW538" s="61"/>
      <c r="CX538" s="61"/>
      <c r="CY538" s="61"/>
      <c r="CZ538" s="61"/>
      <c r="DA538" s="61"/>
      <c r="DB538" s="61"/>
      <c r="DC538" s="61"/>
      <c r="DD538" s="61"/>
      <c r="DE538" s="61"/>
      <c r="DF538" s="61"/>
      <c r="DG538" s="61"/>
      <c r="DH538" s="61"/>
      <c r="DI538" s="61"/>
      <c r="DJ538" s="61"/>
      <c r="DK538" s="61"/>
      <c r="DL538" s="61"/>
      <c r="DM538" s="61"/>
      <c r="DN538" s="61"/>
      <c r="DO538" s="61"/>
      <c r="DP538" s="61"/>
      <c r="DQ538" s="61"/>
      <c r="DR538" s="61"/>
      <c r="DS538" s="61"/>
      <c r="DT538" s="61"/>
      <c r="DU538" s="61"/>
      <c r="DV538" s="61"/>
      <c r="DW538" s="61"/>
      <c r="DX538" s="61"/>
      <c r="DY538" s="61"/>
      <c r="DZ538" s="61"/>
      <c r="EA538" s="61"/>
      <c r="EB538" s="61"/>
      <c r="EC538" s="61"/>
      <c r="ED538" s="61"/>
      <c r="EE538" s="61"/>
      <c r="EF538" s="61"/>
      <c r="EG538" s="61"/>
      <c r="EH538" s="61"/>
      <c r="EI538" s="61"/>
      <c r="EJ538" s="61"/>
      <c r="EK538" s="61"/>
      <c r="EL538" s="61"/>
      <c r="EM538" s="61"/>
      <c r="EN538" s="61"/>
      <c r="EO538" s="61"/>
      <c r="EP538" s="61"/>
      <c r="EQ538" s="61"/>
      <c r="ER538" s="61"/>
      <c r="ES538" s="61"/>
      <c r="ET538" s="61"/>
      <c r="EU538" s="61"/>
      <c r="EV538" s="61"/>
      <c r="EW538" s="61"/>
    </row>
    <row r="539" spans="1:153">
      <c r="A539" s="56">
        <v>42979</v>
      </c>
      <c r="B539" s="57">
        <v>2017</v>
      </c>
      <c r="C539" s="71">
        <v>19.053000000000001</v>
      </c>
      <c r="D539" s="61">
        <v>0.26</v>
      </c>
      <c r="E539" s="61">
        <v>3506.9839999999999</v>
      </c>
      <c r="F539" s="61">
        <v>147.29300000000001</v>
      </c>
      <c r="G539" s="61">
        <v>18.794</v>
      </c>
      <c r="H539" s="61">
        <v>205</v>
      </c>
      <c r="I539" s="61">
        <v>99.694999999999993</v>
      </c>
      <c r="J539" s="61">
        <v>105.30500000000001</v>
      </c>
      <c r="K539" s="61">
        <v>4848.5529999999999</v>
      </c>
      <c r="L539" s="61">
        <v>-506.96300000000002</v>
      </c>
      <c r="M539" s="61">
        <v>4119.2520000000004</v>
      </c>
      <c r="N539" s="61">
        <v>173.00899999999999</v>
      </c>
      <c r="O539" s="71">
        <v>22.074999999999999</v>
      </c>
      <c r="P539" s="60">
        <v>182.02799999999999</v>
      </c>
      <c r="Q539" s="61">
        <v>197.274</v>
      </c>
      <c r="R539" s="61">
        <v>417.52699999999999</v>
      </c>
      <c r="S539" s="61">
        <v>849.39099999999996</v>
      </c>
      <c r="T539" s="61">
        <v>176.34899999999999</v>
      </c>
      <c r="U539" s="61">
        <v>17.48</v>
      </c>
      <c r="V539" s="61">
        <v>73.103999999999999</v>
      </c>
      <c r="W539" s="61">
        <v>164.93199999999999</v>
      </c>
      <c r="X539" s="61">
        <v>174.64500000000001</v>
      </c>
      <c r="Y539" s="61">
        <v>38.225000000000001</v>
      </c>
      <c r="Z539" s="61">
        <v>195.26900000000001</v>
      </c>
      <c r="AA539" s="61">
        <v>408.13900000000001</v>
      </c>
      <c r="AB539" s="60">
        <v>840.00300000000004</v>
      </c>
      <c r="AC539" s="62">
        <v>523.02499999999998</v>
      </c>
      <c r="AD539" s="61">
        <v>21.966999999999999</v>
      </c>
      <c r="AE539" s="61">
        <v>2.8730000000000002</v>
      </c>
      <c r="AF539" s="61">
        <v>414</v>
      </c>
      <c r="AG539" s="61">
        <v>731</v>
      </c>
      <c r="AH539" s="61">
        <v>53</v>
      </c>
      <c r="AI539" s="61">
        <v>884.02499999999998</v>
      </c>
      <c r="AJ539" s="61">
        <v>37.128999999999998</v>
      </c>
      <c r="AK539" s="62">
        <v>4.8570000000000002</v>
      </c>
      <c r="AL539" s="63">
        <f t="shared" si="47"/>
        <v>37.128999999999998</v>
      </c>
      <c r="AM539" s="64">
        <v>4.8570000000000002</v>
      </c>
      <c r="AN539" s="65" t="s">
        <v>121</v>
      </c>
      <c r="AO539" s="61" t="s">
        <v>121</v>
      </c>
      <c r="AP539" s="61">
        <v>49.13</v>
      </c>
      <c r="AQ539" s="61">
        <v>2.0630000000000002</v>
      </c>
      <c r="AR539" s="61">
        <v>0.26300000000000001</v>
      </c>
      <c r="AS539" s="61" t="s">
        <v>122</v>
      </c>
      <c r="AT539" s="61">
        <v>32</v>
      </c>
      <c r="AU539" s="61">
        <v>8</v>
      </c>
      <c r="AV539" s="61">
        <v>41.13</v>
      </c>
      <c r="AW539" s="61">
        <v>1.7270000000000001</v>
      </c>
      <c r="AX539" s="65">
        <v>0.22</v>
      </c>
      <c r="AY539" s="66">
        <v>3.2549999999999999</v>
      </c>
      <c r="AZ539" s="61">
        <v>17.934000000000001</v>
      </c>
      <c r="BA539" s="61">
        <v>35.308</v>
      </c>
      <c r="BB539" s="61">
        <v>56.497</v>
      </c>
      <c r="BC539" s="61">
        <v>0.14000000000000001</v>
      </c>
      <c r="BD539" s="61">
        <v>1.619</v>
      </c>
      <c r="BE539" s="61">
        <v>6.9790000000000001</v>
      </c>
      <c r="BF539" s="61">
        <v>0.10299999999999999</v>
      </c>
      <c r="BG539" s="61">
        <v>6.7210000000000001</v>
      </c>
      <c r="BH539" s="61">
        <v>3.6789999999999998</v>
      </c>
      <c r="BI539" s="61">
        <v>2.0880000000000001</v>
      </c>
      <c r="BJ539" s="61">
        <v>12.488</v>
      </c>
      <c r="BK539" s="66">
        <v>21.329000000000001</v>
      </c>
      <c r="BL539" s="67">
        <v>95.914000000000001</v>
      </c>
      <c r="BM539" s="61">
        <v>22.074999999999999</v>
      </c>
      <c r="BN539" s="61">
        <v>4.8570000000000002</v>
      </c>
      <c r="BO539" s="61">
        <v>0.22</v>
      </c>
      <c r="BP539" s="61">
        <v>123.066</v>
      </c>
      <c r="BQ539" s="61">
        <v>175.53</v>
      </c>
      <c r="BR539" s="61">
        <v>12.26</v>
      </c>
      <c r="BS539" s="61">
        <v>46.100999999999999</v>
      </c>
      <c r="BT539" s="61">
        <v>164.78800000000001</v>
      </c>
      <c r="BU539" s="61">
        <v>18.055</v>
      </c>
      <c r="BV539" s="61">
        <v>21.937999999999999</v>
      </c>
      <c r="BW539" s="61">
        <v>39.993000000000002</v>
      </c>
      <c r="BX539" s="67">
        <v>438.67200000000003</v>
      </c>
      <c r="BY539" s="68">
        <v>136792</v>
      </c>
      <c r="BZ539" s="68">
        <v>117636</v>
      </c>
      <c r="CA539" s="69">
        <v>3596</v>
      </c>
      <c r="CB539" s="68">
        <v>137331</v>
      </c>
      <c r="CC539" s="68">
        <v>35885</v>
      </c>
      <c r="CD539" s="68">
        <v>126703</v>
      </c>
      <c r="CE539" s="64"/>
      <c r="CF539" s="64"/>
      <c r="CG539" s="70">
        <f t="shared" si="43"/>
        <v>5767.902</v>
      </c>
      <c r="CH539" s="70">
        <f t="shared" si="44"/>
        <v>151.03200000000001</v>
      </c>
      <c r="CI539" s="70">
        <f t="shared" si="45"/>
        <v>1507.17</v>
      </c>
      <c r="CJ539" s="70">
        <f t="shared" si="46"/>
        <v>5745.2640000000001</v>
      </c>
      <c r="CK539" s="70">
        <f t="shared" si="46"/>
        <v>4940.7120000000004</v>
      </c>
      <c r="CL539" s="70">
        <f t="shared" si="42"/>
        <v>5321.5259999999998</v>
      </c>
      <c r="CM539" s="61"/>
      <c r="CN539" s="61"/>
      <c r="CO539" s="61"/>
      <c r="CP539" s="61"/>
      <c r="CQ539" s="61"/>
      <c r="CR539" s="61"/>
      <c r="CS539" s="61"/>
      <c r="CT539" s="61"/>
      <c r="CU539" s="61"/>
      <c r="CV539" s="61"/>
      <c r="CW539" s="61"/>
      <c r="CX539" s="61"/>
      <c r="CY539" s="61"/>
      <c r="CZ539" s="61"/>
      <c r="DA539" s="61"/>
      <c r="DB539" s="61"/>
      <c r="DC539" s="61"/>
      <c r="DD539" s="61"/>
      <c r="DE539" s="61"/>
      <c r="DF539" s="61"/>
      <c r="DG539" s="61"/>
      <c r="DH539" s="61"/>
      <c r="DI539" s="61"/>
      <c r="DJ539" s="61"/>
      <c r="DK539" s="61"/>
      <c r="DL539" s="61"/>
      <c r="DM539" s="61"/>
      <c r="DN539" s="61"/>
      <c r="DO539" s="61"/>
      <c r="DP539" s="61"/>
      <c r="DQ539" s="61"/>
      <c r="DR539" s="61"/>
      <c r="DS539" s="61"/>
      <c r="DT539" s="61"/>
      <c r="DU539" s="61"/>
      <c r="DV539" s="61"/>
      <c r="DW539" s="61"/>
      <c r="DX539" s="61"/>
      <c r="DY539" s="61"/>
      <c r="DZ539" s="61"/>
      <c r="EA539" s="61"/>
      <c r="EB539" s="61"/>
      <c r="EC539" s="61"/>
      <c r="ED539" s="61"/>
      <c r="EE539" s="61"/>
      <c r="EF539" s="61"/>
      <c r="EG539" s="61"/>
      <c r="EH539" s="61"/>
      <c r="EI539" s="61"/>
      <c r="EJ539" s="61"/>
      <c r="EK539" s="61"/>
      <c r="EL539" s="61"/>
      <c r="EM539" s="61"/>
      <c r="EN539" s="61"/>
      <c r="EO539" s="61"/>
      <c r="EP539" s="61"/>
      <c r="EQ539" s="61"/>
      <c r="ER539" s="61"/>
      <c r="ES539" s="61"/>
      <c r="ET539" s="61"/>
      <c r="EU539" s="61"/>
      <c r="EV539" s="61"/>
      <c r="EW539" s="61"/>
    </row>
    <row r="540" spans="1:153">
      <c r="A540" s="56">
        <v>43009</v>
      </c>
      <c r="B540" s="57">
        <v>2017</v>
      </c>
      <c r="C540" s="71">
        <v>19.096</v>
      </c>
      <c r="D540" s="61">
        <v>0.26</v>
      </c>
      <c r="E540" s="61">
        <v>3514.8580000000002</v>
      </c>
      <c r="F540" s="61">
        <v>147.624</v>
      </c>
      <c r="G540" s="61">
        <v>18.835999999999999</v>
      </c>
      <c r="H540" s="61">
        <v>386</v>
      </c>
      <c r="I540" s="61">
        <v>217.33600000000001</v>
      </c>
      <c r="J540" s="61">
        <v>168.66399999999999</v>
      </c>
      <c r="K540" s="61">
        <v>4484.9409999999998</v>
      </c>
      <c r="L540" s="61">
        <v>-363.61200000000002</v>
      </c>
      <c r="M540" s="61">
        <v>4047.134</v>
      </c>
      <c r="N540" s="61">
        <v>169.98</v>
      </c>
      <c r="O540" s="71">
        <v>21.689</v>
      </c>
      <c r="P540" s="60">
        <v>187.38200000000001</v>
      </c>
      <c r="Q540" s="61">
        <v>206.518</v>
      </c>
      <c r="R540" s="61">
        <v>434.33600000000001</v>
      </c>
      <c r="S540" s="61">
        <v>904.78599999999994</v>
      </c>
      <c r="T540" s="61">
        <v>162.965</v>
      </c>
      <c r="U540" s="61">
        <v>16.573</v>
      </c>
      <c r="V540" s="61">
        <v>66.525000000000006</v>
      </c>
      <c r="W540" s="61">
        <v>224.387</v>
      </c>
      <c r="X540" s="61">
        <v>181.10400000000001</v>
      </c>
      <c r="Y540" s="61">
        <v>40.436</v>
      </c>
      <c r="Z540" s="61">
        <v>202.523</v>
      </c>
      <c r="AA540" s="61">
        <v>424.06299999999999</v>
      </c>
      <c r="AB540" s="60">
        <v>894.51300000000003</v>
      </c>
      <c r="AC540" s="62">
        <v>603.49599999999998</v>
      </c>
      <c r="AD540" s="61">
        <v>25.347000000000001</v>
      </c>
      <c r="AE540" s="61">
        <v>3.3159999999999998</v>
      </c>
      <c r="AF540" s="61">
        <v>387</v>
      </c>
      <c r="AG540" s="61">
        <v>732</v>
      </c>
      <c r="AH540" s="61">
        <v>1</v>
      </c>
      <c r="AI540" s="61">
        <v>989.49599999999998</v>
      </c>
      <c r="AJ540" s="61">
        <v>41.558999999999997</v>
      </c>
      <c r="AK540" s="62">
        <v>5.4359999999999999</v>
      </c>
      <c r="AL540" s="63">
        <f t="shared" si="47"/>
        <v>41.558999999999997</v>
      </c>
      <c r="AM540" s="64">
        <v>5.4359999999999999</v>
      </c>
      <c r="AN540" s="65" t="s">
        <v>121</v>
      </c>
      <c r="AO540" s="61" t="s">
        <v>121</v>
      </c>
      <c r="AP540" s="61">
        <v>48.314999999999998</v>
      </c>
      <c r="AQ540" s="61">
        <v>2.0289999999999999</v>
      </c>
      <c r="AR540" s="61">
        <v>0.25900000000000001</v>
      </c>
      <c r="AS540" s="61" t="s">
        <v>122</v>
      </c>
      <c r="AT540" s="61">
        <v>33</v>
      </c>
      <c r="AU540" s="61">
        <v>1</v>
      </c>
      <c r="AV540" s="61">
        <v>47.314999999999998</v>
      </c>
      <c r="AW540" s="61">
        <v>1.9870000000000001</v>
      </c>
      <c r="AX540" s="65">
        <v>0.254</v>
      </c>
      <c r="AY540" s="66">
        <v>3.363</v>
      </c>
      <c r="AZ540" s="61">
        <v>16.039000000000001</v>
      </c>
      <c r="BA540" s="61">
        <v>36.484999999999999</v>
      </c>
      <c r="BB540" s="61">
        <v>55.887</v>
      </c>
      <c r="BC540" s="61">
        <v>0.11899999999999999</v>
      </c>
      <c r="BD540" s="61">
        <v>1.673</v>
      </c>
      <c r="BE540" s="61">
        <v>6.194</v>
      </c>
      <c r="BF540" s="61">
        <v>0.13700000000000001</v>
      </c>
      <c r="BG540" s="61">
        <v>7.1230000000000002</v>
      </c>
      <c r="BH540" s="61">
        <v>3.6779999999999999</v>
      </c>
      <c r="BI540" s="61">
        <v>2.1629999999999998</v>
      </c>
      <c r="BJ540" s="61">
        <v>12.964</v>
      </c>
      <c r="BK540" s="66">
        <v>21.085999999999999</v>
      </c>
      <c r="BL540" s="67">
        <v>99.39</v>
      </c>
      <c r="BM540" s="61">
        <v>21.689</v>
      </c>
      <c r="BN540" s="61">
        <v>5.4359999999999999</v>
      </c>
      <c r="BO540" s="61">
        <v>0.254</v>
      </c>
      <c r="BP540" s="61">
        <v>126.76900000000001</v>
      </c>
      <c r="BQ540" s="61">
        <v>162.12</v>
      </c>
      <c r="BR540" s="61">
        <v>11.18</v>
      </c>
      <c r="BS540" s="61">
        <v>42.411999999999999</v>
      </c>
      <c r="BT540" s="61">
        <v>224.17500000000001</v>
      </c>
      <c r="BU540" s="61">
        <v>18.039000000000001</v>
      </c>
      <c r="BV540" s="61">
        <v>22.503</v>
      </c>
      <c r="BW540" s="61">
        <v>40.542000000000002</v>
      </c>
      <c r="BX540" s="67">
        <v>480.42899999999997</v>
      </c>
      <c r="BY540" s="68">
        <v>154133</v>
      </c>
      <c r="BZ540" s="68">
        <v>124348</v>
      </c>
      <c r="CA540" s="69">
        <v>4139</v>
      </c>
      <c r="CB540" s="68">
        <v>130053</v>
      </c>
      <c r="CC540" s="68">
        <v>43804</v>
      </c>
      <c r="CD540" s="68">
        <v>143080</v>
      </c>
      <c r="CE540" s="64"/>
      <c r="CF540" s="64"/>
      <c r="CG540" s="70">
        <f t="shared" si="43"/>
        <v>5462.2259999999997</v>
      </c>
      <c r="CH540" s="70">
        <f t="shared" si="44"/>
        <v>173.83799999999999</v>
      </c>
      <c r="CI540" s="70">
        <f t="shared" si="45"/>
        <v>1839.768</v>
      </c>
      <c r="CJ540" s="70">
        <f t="shared" si="46"/>
        <v>6473.5860000000002</v>
      </c>
      <c r="CK540" s="70">
        <f t="shared" si="46"/>
        <v>5222.616</v>
      </c>
      <c r="CL540" s="70">
        <f t="shared" si="42"/>
        <v>6009.36</v>
      </c>
      <c r="CM540" s="61"/>
      <c r="CN540" s="61"/>
      <c r="CO540" s="61"/>
      <c r="CP540" s="61"/>
      <c r="CQ540" s="61"/>
      <c r="CR540" s="61"/>
      <c r="CS540" s="61"/>
      <c r="CT540" s="61"/>
      <c r="CU540" s="61"/>
      <c r="CV540" s="61"/>
      <c r="CW540" s="61"/>
      <c r="CX540" s="61"/>
      <c r="CY540" s="61"/>
      <c r="CZ540" s="61"/>
      <c r="DA540" s="61"/>
      <c r="DB540" s="61"/>
      <c r="DC540" s="61"/>
      <c r="DD540" s="61"/>
      <c r="DE540" s="61"/>
      <c r="DF540" s="61"/>
      <c r="DG540" s="61"/>
      <c r="DH540" s="61"/>
      <c r="DI540" s="61"/>
      <c r="DJ540" s="61"/>
      <c r="DK540" s="61"/>
      <c r="DL540" s="61"/>
      <c r="DM540" s="61"/>
      <c r="DN540" s="61"/>
      <c r="DO540" s="61"/>
      <c r="DP540" s="61"/>
      <c r="DQ540" s="61"/>
      <c r="DR540" s="61"/>
      <c r="DS540" s="61"/>
      <c r="DT540" s="61"/>
      <c r="DU540" s="61"/>
      <c r="DV540" s="61"/>
      <c r="DW540" s="61"/>
      <c r="DX540" s="61"/>
      <c r="DY540" s="61"/>
      <c r="DZ540" s="61"/>
      <c r="EA540" s="61"/>
      <c r="EB540" s="61"/>
      <c r="EC540" s="61"/>
      <c r="ED540" s="61"/>
      <c r="EE540" s="61"/>
      <c r="EF540" s="61"/>
      <c r="EG540" s="61"/>
      <c r="EH540" s="61"/>
      <c r="EI540" s="61"/>
      <c r="EJ540" s="61"/>
      <c r="EK540" s="61"/>
      <c r="EL540" s="61"/>
      <c r="EM540" s="61"/>
      <c r="EN540" s="61"/>
      <c r="EO540" s="61"/>
      <c r="EP540" s="61"/>
      <c r="EQ540" s="61"/>
      <c r="ER540" s="61"/>
      <c r="ES540" s="61"/>
      <c r="ET540" s="61"/>
      <c r="EU540" s="61"/>
      <c r="EV540" s="61"/>
      <c r="EW540" s="61"/>
    </row>
    <row r="541" spans="1:153">
      <c r="A541" s="56">
        <v>43040</v>
      </c>
      <c r="B541" s="57">
        <v>2017</v>
      </c>
      <c r="C541" s="71">
        <v>19.141999999999999</v>
      </c>
      <c r="D541" s="61">
        <v>0.26100000000000001</v>
      </c>
      <c r="E541" s="61">
        <v>3523.34</v>
      </c>
      <c r="F541" s="61">
        <v>147.97999999999999</v>
      </c>
      <c r="G541" s="61">
        <v>18.882000000000001</v>
      </c>
      <c r="H541" s="61">
        <v>222</v>
      </c>
      <c r="I541" s="61">
        <v>49.345999999999997</v>
      </c>
      <c r="J541" s="61">
        <v>172.654</v>
      </c>
      <c r="K541" s="61">
        <v>4233.2470000000003</v>
      </c>
      <c r="L541" s="61">
        <v>-251.69399999999999</v>
      </c>
      <c r="M541" s="61">
        <v>3947.6880000000001</v>
      </c>
      <c r="N541" s="61">
        <v>165.803</v>
      </c>
      <c r="O541" s="71">
        <v>21.155999999999999</v>
      </c>
      <c r="P541" s="60">
        <v>188.898</v>
      </c>
      <c r="Q541" s="61">
        <v>208.792</v>
      </c>
      <c r="R541" s="61">
        <v>439.36700000000002</v>
      </c>
      <c r="S541" s="61">
        <v>896.11699999999996</v>
      </c>
      <c r="T541" s="61">
        <v>183.13200000000001</v>
      </c>
      <c r="U541" s="61">
        <v>17.233000000000001</v>
      </c>
      <c r="V541" s="61">
        <v>48.146999999999998</v>
      </c>
      <c r="W541" s="61">
        <v>208.238</v>
      </c>
      <c r="X541" s="61">
        <v>181.85300000000001</v>
      </c>
      <c r="Y541" s="61">
        <v>41.676000000000002</v>
      </c>
      <c r="Z541" s="61">
        <v>199.61799999999999</v>
      </c>
      <c r="AA541" s="61">
        <v>423.14800000000002</v>
      </c>
      <c r="AB541" s="60">
        <v>879.89700000000005</v>
      </c>
      <c r="AC541" s="62">
        <v>551.82799999999997</v>
      </c>
      <c r="AD541" s="61">
        <v>23.177</v>
      </c>
      <c r="AE541" s="61">
        <v>3.032</v>
      </c>
      <c r="AF541" s="61">
        <v>345</v>
      </c>
      <c r="AG541" s="61">
        <v>881</v>
      </c>
      <c r="AH541" s="61">
        <v>149</v>
      </c>
      <c r="AI541" s="61">
        <v>747.82799999999997</v>
      </c>
      <c r="AJ541" s="61">
        <v>31.408999999999999</v>
      </c>
      <c r="AK541" s="62">
        <v>4.109</v>
      </c>
      <c r="AL541" s="63">
        <f t="shared" si="47"/>
        <v>31.408999999999999</v>
      </c>
      <c r="AM541" s="64">
        <v>4.109</v>
      </c>
      <c r="AN541" s="65" t="s">
        <v>121</v>
      </c>
      <c r="AO541" s="61" t="s">
        <v>121</v>
      </c>
      <c r="AP541" s="61">
        <v>49.112000000000002</v>
      </c>
      <c r="AQ541" s="61">
        <v>2.0630000000000002</v>
      </c>
      <c r="AR541" s="61">
        <v>0.26300000000000001</v>
      </c>
      <c r="AS541" s="61" t="s">
        <v>122</v>
      </c>
      <c r="AT541" s="61">
        <v>25</v>
      </c>
      <c r="AU541" s="61">
        <v>-8</v>
      </c>
      <c r="AV541" s="61">
        <v>57.112000000000002</v>
      </c>
      <c r="AW541" s="61">
        <v>2.399</v>
      </c>
      <c r="AX541" s="65">
        <v>0.30599999999999999</v>
      </c>
      <c r="AY541" s="66">
        <v>3.2549999999999999</v>
      </c>
      <c r="AZ541" s="61">
        <v>12.548</v>
      </c>
      <c r="BA541" s="61">
        <v>35.308</v>
      </c>
      <c r="BB541" s="61">
        <v>51.110999999999997</v>
      </c>
      <c r="BC541" s="61">
        <v>0.13300000000000001</v>
      </c>
      <c r="BD541" s="61">
        <v>1.619</v>
      </c>
      <c r="BE541" s="61">
        <v>4.915</v>
      </c>
      <c r="BF541" s="61">
        <v>0.128</v>
      </c>
      <c r="BG541" s="61">
        <v>6.9859999999999998</v>
      </c>
      <c r="BH541" s="61">
        <v>3.907</v>
      </c>
      <c r="BI541" s="61">
        <v>2.12</v>
      </c>
      <c r="BJ541" s="61">
        <v>13.013</v>
      </c>
      <c r="BK541" s="66">
        <v>19.808</v>
      </c>
      <c r="BL541" s="67">
        <v>97.39</v>
      </c>
      <c r="BM541" s="61">
        <v>21.155999999999999</v>
      </c>
      <c r="BN541" s="61">
        <v>4.109</v>
      </c>
      <c r="BO541" s="61">
        <v>0.30599999999999999</v>
      </c>
      <c r="BP541" s="61">
        <v>122.961</v>
      </c>
      <c r="BQ541" s="61">
        <v>181.93100000000001</v>
      </c>
      <c r="BR541" s="61">
        <v>12.013999999999999</v>
      </c>
      <c r="BS541" s="61">
        <v>29.227</v>
      </c>
      <c r="BT541" s="61">
        <v>208.03</v>
      </c>
      <c r="BU541" s="61">
        <v>19.036000000000001</v>
      </c>
      <c r="BV541" s="61">
        <v>23.19</v>
      </c>
      <c r="BW541" s="61">
        <v>42.225999999999999</v>
      </c>
      <c r="BX541" s="67">
        <v>473.428</v>
      </c>
      <c r="BY541" s="68">
        <v>160863</v>
      </c>
      <c r="BZ541" s="68">
        <v>124723</v>
      </c>
      <c r="CA541" s="69">
        <v>5400</v>
      </c>
      <c r="CB541" s="68">
        <v>133387</v>
      </c>
      <c r="CC541" s="68">
        <v>40742</v>
      </c>
      <c r="CD541" s="68">
        <v>149839</v>
      </c>
      <c r="CE541" s="64"/>
      <c r="CF541" s="64"/>
      <c r="CG541" s="70">
        <f t="shared" si="43"/>
        <v>5602.2539999999999</v>
      </c>
      <c r="CH541" s="70">
        <f t="shared" si="44"/>
        <v>226.8</v>
      </c>
      <c r="CI541" s="70">
        <f t="shared" si="45"/>
        <v>1711.164</v>
      </c>
      <c r="CJ541" s="70">
        <f t="shared" si="46"/>
        <v>6756.2460000000001</v>
      </c>
      <c r="CK541" s="70">
        <f t="shared" si="46"/>
        <v>5238.366</v>
      </c>
      <c r="CL541" s="70">
        <f t="shared" si="42"/>
        <v>6293.2380000000003</v>
      </c>
      <c r="CM541" s="61"/>
      <c r="CN541" s="61"/>
      <c r="CO541" s="61"/>
      <c r="CP541" s="61"/>
      <c r="CQ541" s="61"/>
      <c r="CR541" s="61"/>
      <c r="CS541" s="61"/>
      <c r="CT541" s="61"/>
      <c r="CU541" s="61"/>
      <c r="CV541" s="61"/>
      <c r="CW541" s="61"/>
      <c r="CX541" s="61"/>
      <c r="CY541" s="61"/>
      <c r="CZ541" s="61"/>
      <c r="DA541" s="61"/>
      <c r="DB541" s="61"/>
      <c r="DC541" s="61"/>
      <c r="DD541" s="61"/>
      <c r="DE541" s="61"/>
      <c r="DF541" s="61"/>
      <c r="DG541" s="61"/>
      <c r="DH541" s="61"/>
      <c r="DI541" s="61"/>
      <c r="DJ541" s="61"/>
      <c r="DK541" s="61"/>
      <c r="DL541" s="61"/>
      <c r="DM541" s="61"/>
      <c r="DN541" s="61"/>
      <c r="DO541" s="61"/>
      <c r="DP541" s="61"/>
      <c r="DQ541" s="61"/>
      <c r="DR541" s="61"/>
      <c r="DS541" s="61"/>
      <c r="DT541" s="61"/>
      <c r="DU541" s="61"/>
      <c r="DV541" s="61"/>
      <c r="DW541" s="61"/>
      <c r="DX541" s="61"/>
      <c r="DY541" s="61"/>
      <c r="DZ541" s="61"/>
      <c r="EA541" s="61"/>
      <c r="EB541" s="61"/>
      <c r="EC541" s="61"/>
      <c r="ED541" s="61"/>
      <c r="EE541" s="61"/>
      <c r="EF541" s="61"/>
      <c r="EG541" s="61"/>
      <c r="EH541" s="61"/>
      <c r="EI541" s="61"/>
      <c r="EJ541" s="61"/>
      <c r="EK541" s="61"/>
      <c r="EL541" s="61"/>
      <c r="EM541" s="61"/>
      <c r="EN541" s="61"/>
      <c r="EO541" s="61"/>
      <c r="EP541" s="61"/>
      <c r="EQ541" s="61"/>
      <c r="ER541" s="61"/>
      <c r="ES541" s="61"/>
      <c r="ET541" s="61"/>
      <c r="EU541" s="61"/>
      <c r="EV541" s="61"/>
      <c r="EW541" s="61"/>
    </row>
    <row r="542" spans="1:153">
      <c r="A542" s="56">
        <v>43070</v>
      </c>
      <c r="B542" s="57">
        <v>2017</v>
      </c>
      <c r="C542" s="71">
        <v>19.097999999999999</v>
      </c>
      <c r="D542" s="61">
        <v>0.26</v>
      </c>
      <c r="E542" s="61">
        <v>3515.2170000000001</v>
      </c>
      <c r="F542" s="61">
        <v>147.63900000000001</v>
      </c>
      <c r="G542" s="61">
        <v>18.838000000000001</v>
      </c>
      <c r="H542" s="61">
        <v>504</v>
      </c>
      <c r="I542" s="61">
        <v>35.188000000000002</v>
      </c>
      <c r="J542" s="61">
        <v>468.81200000000001</v>
      </c>
      <c r="K542" s="61">
        <v>4267.9489999999996</v>
      </c>
      <c r="L542" s="61">
        <v>34.701000000000001</v>
      </c>
      <c r="M542" s="61">
        <v>3949.328</v>
      </c>
      <c r="N542" s="61">
        <v>165.87200000000001</v>
      </c>
      <c r="O542" s="71">
        <v>21.164000000000001</v>
      </c>
      <c r="P542" s="60">
        <v>200.39099999999999</v>
      </c>
      <c r="Q542" s="61">
        <v>210.96600000000001</v>
      </c>
      <c r="R542" s="61">
        <v>454.79399999999998</v>
      </c>
      <c r="S542" s="61">
        <v>927.66800000000001</v>
      </c>
      <c r="T542" s="61">
        <v>204.858</v>
      </c>
      <c r="U542" s="61">
        <v>18.109000000000002</v>
      </c>
      <c r="V542" s="61">
        <v>45.484000000000002</v>
      </c>
      <c r="W542" s="61">
        <v>204.42400000000001</v>
      </c>
      <c r="X542" s="61">
        <v>191.36600000000001</v>
      </c>
      <c r="Y542" s="61">
        <v>43.436999999999998</v>
      </c>
      <c r="Z542" s="61">
        <v>201.642</v>
      </c>
      <c r="AA542" s="61">
        <v>436.44499999999999</v>
      </c>
      <c r="AB542" s="60">
        <v>909.31899999999996</v>
      </c>
      <c r="AC542" s="62">
        <v>607.72299999999996</v>
      </c>
      <c r="AD542" s="61">
        <v>25.524000000000001</v>
      </c>
      <c r="AE542" s="61">
        <v>3.339</v>
      </c>
      <c r="AF542" s="61">
        <v>299</v>
      </c>
      <c r="AG542" s="61">
        <v>753</v>
      </c>
      <c r="AH542" s="61">
        <v>-128</v>
      </c>
      <c r="AI542" s="61">
        <v>1034.723</v>
      </c>
      <c r="AJ542" s="61">
        <v>43.457999999999998</v>
      </c>
      <c r="AK542" s="62">
        <v>5.6849999999999996</v>
      </c>
      <c r="AL542" s="63">
        <f t="shared" si="47"/>
        <v>43.457999999999998</v>
      </c>
      <c r="AM542" s="64">
        <v>5.6849999999999996</v>
      </c>
      <c r="AN542" s="65" t="s">
        <v>121</v>
      </c>
      <c r="AO542" s="61" t="s">
        <v>121</v>
      </c>
      <c r="AP542" s="61">
        <v>64.468000000000004</v>
      </c>
      <c r="AQ542" s="61">
        <v>2.7080000000000002</v>
      </c>
      <c r="AR542" s="61">
        <v>0.34499999999999997</v>
      </c>
      <c r="AS542" s="61" t="s">
        <v>122</v>
      </c>
      <c r="AT542" s="61">
        <v>28</v>
      </c>
      <c r="AU542" s="61">
        <v>3</v>
      </c>
      <c r="AV542" s="61">
        <v>61.468000000000004</v>
      </c>
      <c r="AW542" s="61">
        <v>2.5819999999999999</v>
      </c>
      <c r="AX542" s="65">
        <v>0.32900000000000001</v>
      </c>
      <c r="AY542" s="66">
        <v>3.363</v>
      </c>
      <c r="AZ542" s="61">
        <v>11.731999999999999</v>
      </c>
      <c r="BA542" s="61">
        <v>36.484999999999999</v>
      </c>
      <c r="BB542" s="61">
        <v>51.581000000000003</v>
      </c>
      <c r="BC542" s="61">
        <v>0.151</v>
      </c>
      <c r="BD542" s="61">
        <v>1.673</v>
      </c>
      <c r="BE542" s="61">
        <v>4.774</v>
      </c>
      <c r="BF542" s="61">
        <v>0.12</v>
      </c>
      <c r="BG542" s="61">
        <v>7.2539999999999996</v>
      </c>
      <c r="BH542" s="61">
        <v>4.0540000000000003</v>
      </c>
      <c r="BI542" s="61">
        <v>2.113</v>
      </c>
      <c r="BJ542" s="61">
        <v>13.422000000000001</v>
      </c>
      <c r="BK542" s="66">
        <v>20.14</v>
      </c>
      <c r="BL542" s="67">
        <v>97.102999999999994</v>
      </c>
      <c r="BM542" s="61">
        <v>21.164000000000001</v>
      </c>
      <c r="BN542" s="61">
        <v>5.6849999999999996</v>
      </c>
      <c r="BO542" s="61">
        <v>0.32900000000000001</v>
      </c>
      <c r="BP542" s="61">
        <v>124.282</v>
      </c>
      <c r="BQ542" s="61">
        <v>203.828</v>
      </c>
      <c r="BR542" s="61">
        <v>12.715</v>
      </c>
      <c r="BS542" s="61">
        <v>27.683</v>
      </c>
      <c r="BT542" s="61">
        <v>204.226</v>
      </c>
      <c r="BU542" s="61">
        <v>21.212</v>
      </c>
      <c r="BV542" s="61">
        <v>24.315000000000001</v>
      </c>
      <c r="BW542" s="61">
        <v>45.527999999999999</v>
      </c>
      <c r="BX542" s="67">
        <v>493.98</v>
      </c>
      <c r="BY542" s="68">
        <v>167644</v>
      </c>
      <c r="BZ542" s="68">
        <v>123234</v>
      </c>
      <c r="CA542" s="69">
        <v>8748</v>
      </c>
      <c r="CB542" s="68">
        <v>145638</v>
      </c>
      <c r="CC542" s="68">
        <v>43648</v>
      </c>
      <c r="CD542" s="68">
        <v>156140</v>
      </c>
      <c r="CE542" s="64"/>
      <c r="CF542" s="64"/>
      <c r="CG542" s="70">
        <f t="shared" si="43"/>
        <v>6116.7960000000003</v>
      </c>
      <c r="CH542" s="70">
        <f t="shared" si="44"/>
        <v>367.416</v>
      </c>
      <c r="CI542" s="70">
        <f t="shared" si="45"/>
        <v>1833.2159999999999</v>
      </c>
      <c r="CJ542" s="70">
        <f t="shared" si="46"/>
        <v>7041.0479999999998</v>
      </c>
      <c r="CK542" s="70">
        <f t="shared" si="46"/>
        <v>5175.8280000000004</v>
      </c>
      <c r="CL542" s="70">
        <f t="shared" si="42"/>
        <v>6557.88</v>
      </c>
      <c r="CM542" s="61"/>
      <c r="CN542" s="61"/>
      <c r="CO542" s="61"/>
      <c r="CP542" s="61"/>
      <c r="CQ542" s="61"/>
      <c r="CR542" s="61"/>
      <c r="CS542" s="61"/>
      <c r="CT542" s="61"/>
      <c r="CU542" s="61"/>
      <c r="CV542" s="61"/>
      <c r="CW542" s="61"/>
      <c r="CX542" s="61"/>
      <c r="CY542" s="61"/>
      <c r="CZ542" s="61"/>
      <c r="DA542" s="61"/>
      <c r="DB542" s="61"/>
      <c r="DC542" s="61"/>
      <c r="DD542" s="61"/>
      <c r="DE542" s="61"/>
      <c r="DF542" s="61"/>
      <c r="DG542" s="61"/>
      <c r="DH542" s="61"/>
      <c r="DI542" s="61"/>
      <c r="DJ542" s="61"/>
      <c r="DK542" s="61"/>
      <c r="DL542" s="61"/>
      <c r="DM542" s="61"/>
      <c r="DN542" s="61"/>
      <c r="DO542" s="61"/>
      <c r="DP542" s="61"/>
      <c r="DQ542" s="61"/>
      <c r="DR542" s="61"/>
      <c r="DS542" s="61"/>
      <c r="DT542" s="61"/>
      <c r="DU542" s="61"/>
      <c r="DV542" s="61"/>
      <c r="DW542" s="61"/>
      <c r="DX542" s="61"/>
      <c r="DY542" s="61"/>
      <c r="DZ542" s="61"/>
      <c r="EA542" s="61"/>
      <c r="EB542" s="61"/>
      <c r="EC542" s="61"/>
      <c r="ED542" s="61"/>
      <c r="EE542" s="61"/>
      <c r="EF542" s="61"/>
      <c r="EG542" s="61"/>
      <c r="EH542" s="61"/>
      <c r="EI542" s="61"/>
      <c r="EJ542" s="61"/>
      <c r="EK542" s="61"/>
      <c r="EL542" s="61"/>
      <c r="EM542" s="61"/>
      <c r="EN542" s="61"/>
      <c r="EO542" s="61"/>
      <c r="EP542" s="61"/>
      <c r="EQ542" s="61"/>
      <c r="ER542" s="61"/>
      <c r="ES542" s="61"/>
      <c r="ET542" s="61"/>
      <c r="EU542" s="61"/>
      <c r="EV542" s="61"/>
      <c r="EW542" s="61"/>
    </row>
    <row r="543" spans="1:153">
      <c r="A543" s="56">
        <v>43101</v>
      </c>
      <c r="B543" s="57">
        <v>2018</v>
      </c>
      <c r="C543" s="71">
        <v>16.238</v>
      </c>
      <c r="D543" s="61">
        <v>0.221</v>
      </c>
      <c r="E543" s="61">
        <v>2988.6819999999998</v>
      </c>
      <c r="F543" s="61">
        <v>125.52500000000001</v>
      </c>
      <c r="G543" s="61">
        <v>16.015999999999998</v>
      </c>
      <c r="H543" s="61">
        <v>246</v>
      </c>
      <c r="I543" s="61">
        <v>84.281000000000006</v>
      </c>
      <c r="J543" s="61">
        <v>161.71899999999999</v>
      </c>
      <c r="K543" s="61">
        <v>4565.1189999999997</v>
      </c>
      <c r="L543" s="61">
        <v>297.17099999999999</v>
      </c>
      <c r="M543" s="61">
        <v>2853.23</v>
      </c>
      <c r="N543" s="61">
        <v>119.836</v>
      </c>
      <c r="O543" s="71">
        <v>15.29</v>
      </c>
      <c r="P543" s="60">
        <v>202.35499999999999</v>
      </c>
      <c r="Q543" s="61">
        <v>204.21799999999999</v>
      </c>
      <c r="R543" s="61">
        <v>449.90100000000001</v>
      </c>
      <c r="S543" s="61">
        <v>976.92499999999995</v>
      </c>
      <c r="T543" s="61">
        <v>228.03299999999999</v>
      </c>
      <c r="U543" s="61">
        <v>17.596</v>
      </c>
      <c r="V543" s="61">
        <v>48.496000000000002</v>
      </c>
      <c r="W543" s="61">
        <v>232.898</v>
      </c>
      <c r="X543" s="61">
        <v>196.774</v>
      </c>
      <c r="Y543" s="61">
        <v>43.328000000000003</v>
      </c>
      <c r="Z543" s="61">
        <v>190.95599999999999</v>
      </c>
      <c r="AA543" s="61">
        <v>431.05799999999999</v>
      </c>
      <c r="AB543" s="60">
        <v>958.08199999999999</v>
      </c>
      <c r="AC543" s="62">
        <v>325.73</v>
      </c>
      <c r="AD543" s="61">
        <v>13.680999999999999</v>
      </c>
      <c r="AE543" s="61">
        <v>1.79</v>
      </c>
      <c r="AF543" s="61">
        <v>506</v>
      </c>
      <c r="AG543" s="61">
        <v>1115</v>
      </c>
      <c r="AH543" s="61">
        <v>362</v>
      </c>
      <c r="AI543" s="61">
        <v>469.73</v>
      </c>
      <c r="AJ543" s="61">
        <v>19.728999999999999</v>
      </c>
      <c r="AK543" s="62">
        <v>2.581</v>
      </c>
      <c r="AL543" s="63">
        <f t="shared" si="47"/>
        <v>19.728999999999999</v>
      </c>
      <c r="AM543" s="64">
        <v>2.581</v>
      </c>
      <c r="AN543" s="65" t="s">
        <v>121</v>
      </c>
      <c r="AO543" s="61" t="s">
        <v>121</v>
      </c>
      <c r="AP543" s="61">
        <v>51.387</v>
      </c>
      <c r="AQ543" s="61">
        <v>2.1579999999999999</v>
      </c>
      <c r="AR543" s="61">
        <v>0.27500000000000002</v>
      </c>
      <c r="AS543" s="61" t="s">
        <v>122</v>
      </c>
      <c r="AT543" s="61">
        <v>31</v>
      </c>
      <c r="AU543" s="61">
        <v>3</v>
      </c>
      <c r="AV543" s="61">
        <v>48.387</v>
      </c>
      <c r="AW543" s="61">
        <v>2.032</v>
      </c>
      <c r="AX543" s="65">
        <v>0.25900000000000001</v>
      </c>
      <c r="AY543" s="66">
        <v>3.363</v>
      </c>
      <c r="AZ543" s="61">
        <v>11.943</v>
      </c>
      <c r="BA543" s="61">
        <v>44.576999999999998</v>
      </c>
      <c r="BB543" s="61">
        <v>59.883000000000003</v>
      </c>
      <c r="BC543" s="61">
        <v>0.17199999999999999</v>
      </c>
      <c r="BD543" s="61">
        <v>1.673</v>
      </c>
      <c r="BE543" s="61">
        <v>5.2869999999999999</v>
      </c>
      <c r="BF543" s="61">
        <v>0.16</v>
      </c>
      <c r="BG543" s="61">
        <v>7.2050000000000001</v>
      </c>
      <c r="BH543" s="61">
        <v>3.9870000000000001</v>
      </c>
      <c r="BI543" s="61">
        <v>2.133</v>
      </c>
      <c r="BJ543" s="61">
        <v>13.324999999999999</v>
      </c>
      <c r="BK543" s="66">
        <v>20.616</v>
      </c>
      <c r="BL543" s="67">
        <v>96.486000000000004</v>
      </c>
      <c r="BM543" s="61">
        <v>15.29</v>
      </c>
      <c r="BN543" s="61">
        <v>2.581</v>
      </c>
      <c r="BO543" s="61">
        <v>0.25900000000000001</v>
      </c>
      <c r="BP543" s="61">
        <v>114.617</v>
      </c>
      <c r="BQ543" s="61">
        <v>227.10400000000001</v>
      </c>
      <c r="BR543" s="61">
        <v>12.202999999999999</v>
      </c>
      <c r="BS543" s="61">
        <v>29.913</v>
      </c>
      <c r="BT543" s="61">
        <v>232.636</v>
      </c>
      <c r="BU543" s="61">
        <v>21.462</v>
      </c>
      <c r="BV543" s="61">
        <v>24.363</v>
      </c>
      <c r="BW543" s="61">
        <v>45.826000000000001</v>
      </c>
      <c r="BX543" s="67">
        <v>547.68200000000002</v>
      </c>
      <c r="BY543" s="68">
        <v>155184</v>
      </c>
      <c r="BZ543" s="68">
        <v>139222</v>
      </c>
      <c r="CA543" s="69">
        <v>9002</v>
      </c>
      <c r="CB543" s="68">
        <v>141340</v>
      </c>
      <c r="CC543" s="68">
        <v>30959</v>
      </c>
      <c r="CD543" s="68">
        <v>141996</v>
      </c>
      <c r="CE543" s="72">
        <v>4687.2000000000007</v>
      </c>
      <c r="CF543" s="72">
        <v>6523.0199999999995</v>
      </c>
      <c r="CG543" s="70">
        <f t="shared" si="43"/>
        <v>5936.28</v>
      </c>
      <c r="CH543" s="70">
        <f t="shared" si="44"/>
        <v>378.084</v>
      </c>
      <c r="CI543" s="70">
        <f t="shared" si="45"/>
        <v>1300.278</v>
      </c>
      <c r="CJ543" s="70">
        <f t="shared" si="46"/>
        <v>6517.7280000000001</v>
      </c>
      <c r="CK543" s="70">
        <f t="shared" si="46"/>
        <v>5847.3239999999996</v>
      </c>
      <c r="CL543" s="70">
        <f t="shared" si="42"/>
        <v>5963.8320000000003</v>
      </c>
      <c r="CM543" s="61"/>
      <c r="CN543" s="61"/>
      <c r="CO543" s="61"/>
      <c r="CP543" s="61"/>
      <c r="CQ543" s="61"/>
      <c r="CR543" s="61"/>
      <c r="CS543" s="61"/>
      <c r="CT543" s="61"/>
      <c r="CU543" s="61"/>
      <c r="CV543" s="61"/>
      <c r="CW543" s="61"/>
      <c r="CX543" s="61"/>
      <c r="CY543" s="61"/>
      <c r="CZ543" s="61"/>
      <c r="DA543" s="61"/>
      <c r="DB543" s="61"/>
      <c r="DC543" s="61"/>
      <c r="DD543" s="61"/>
      <c r="DE543" s="61"/>
      <c r="DF543" s="61"/>
      <c r="DG543" s="61"/>
      <c r="DH543" s="61"/>
      <c r="DI543" s="61"/>
      <c r="DJ543" s="61"/>
      <c r="DK543" s="61"/>
      <c r="DL543" s="61"/>
      <c r="DM543" s="61"/>
      <c r="DN543" s="61"/>
      <c r="DO543" s="61"/>
      <c r="DP543" s="61"/>
      <c r="DQ543" s="61"/>
      <c r="DR543" s="61"/>
      <c r="DS543" s="61"/>
      <c r="DT543" s="61"/>
      <c r="DU543" s="61"/>
      <c r="DV543" s="61"/>
      <c r="DW543" s="61"/>
      <c r="DX543" s="61"/>
      <c r="DY543" s="61"/>
      <c r="DZ543" s="61"/>
      <c r="EA543" s="61"/>
      <c r="EB543" s="61"/>
      <c r="EC543" s="61"/>
      <c r="ED543" s="61"/>
      <c r="EE543" s="61"/>
      <c r="EF543" s="61"/>
      <c r="EG543" s="61"/>
      <c r="EH543" s="61"/>
      <c r="EI543" s="61"/>
      <c r="EJ543" s="61"/>
      <c r="EK543" s="61"/>
      <c r="EL543" s="61"/>
      <c r="EM543" s="61"/>
      <c r="EN543" s="61"/>
      <c r="EO543" s="61"/>
      <c r="EP543" s="61"/>
      <c r="EQ543" s="61"/>
      <c r="ER543" s="61"/>
      <c r="ES543" s="61"/>
      <c r="ET543" s="61"/>
      <c r="EU543" s="61"/>
      <c r="EV543" s="61"/>
      <c r="EW543" s="61"/>
    </row>
    <row r="544" spans="1:153">
      <c r="A544" s="56">
        <v>43132</v>
      </c>
      <c r="B544" s="57">
        <v>2018</v>
      </c>
      <c r="C544" s="71">
        <v>16.550999999999998</v>
      </c>
      <c r="D544" s="61">
        <v>0.22500000000000001</v>
      </c>
      <c r="E544" s="61">
        <v>3046.3159999999998</v>
      </c>
      <c r="F544" s="61">
        <v>127.94499999999999</v>
      </c>
      <c r="G544" s="61">
        <v>16.324999999999999</v>
      </c>
      <c r="H544" s="61">
        <v>146</v>
      </c>
      <c r="I544" s="61">
        <v>103.30200000000001</v>
      </c>
      <c r="J544" s="61">
        <v>42.698</v>
      </c>
      <c r="K544" s="61">
        <v>4933.826</v>
      </c>
      <c r="L544" s="61">
        <v>368.70600000000002</v>
      </c>
      <c r="M544" s="61">
        <v>2720.308</v>
      </c>
      <c r="N544" s="61">
        <v>114.253</v>
      </c>
      <c r="O544" s="71">
        <v>14.577999999999999</v>
      </c>
      <c r="P544" s="60">
        <v>184.22</v>
      </c>
      <c r="Q544" s="61">
        <v>189.13900000000001</v>
      </c>
      <c r="R544" s="61">
        <v>413.51600000000002</v>
      </c>
      <c r="S544" s="61">
        <v>922.928</v>
      </c>
      <c r="T544" s="61">
        <v>226.56100000000001</v>
      </c>
      <c r="U544" s="61">
        <v>16.463000000000001</v>
      </c>
      <c r="V544" s="61">
        <v>55.411000000000001</v>
      </c>
      <c r="W544" s="61">
        <v>210.97800000000001</v>
      </c>
      <c r="X544" s="61">
        <v>176.39500000000001</v>
      </c>
      <c r="Y544" s="61">
        <v>40.155999999999999</v>
      </c>
      <c r="Z544" s="61">
        <v>171.59200000000001</v>
      </c>
      <c r="AA544" s="61">
        <v>388.14299999999997</v>
      </c>
      <c r="AB544" s="60">
        <v>897.55600000000004</v>
      </c>
      <c r="AC544" s="62">
        <v>514.4</v>
      </c>
      <c r="AD544" s="61">
        <v>21.605</v>
      </c>
      <c r="AE544" s="61">
        <v>2.8260000000000001</v>
      </c>
      <c r="AF544" s="61">
        <v>337</v>
      </c>
      <c r="AG544" s="61">
        <v>1012</v>
      </c>
      <c r="AH544" s="61">
        <v>-103</v>
      </c>
      <c r="AI544" s="61">
        <v>954.4</v>
      </c>
      <c r="AJ544" s="61">
        <v>40.085000000000001</v>
      </c>
      <c r="AK544" s="62">
        <v>5.2430000000000003</v>
      </c>
      <c r="AL544" s="63">
        <f t="shared" si="47"/>
        <v>40.085000000000001</v>
      </c>
      <c r="AM544" s="64">
        <v>5.2430000000000003</v>
      </c>
      <c r="AN544" s="65" t="s">
        <v>121</v>
      </c>
      <c r="AO544" s="61" t="s">
        <v>121</v>
      </c>
      <c r="AP544" s="61">
        <v>57.927</v>
      </c>
      <c r="AQ544" s="61">
        <v>2.4329999999999998</v>
      </c>
      <c r="AR544" s="61">
        <v>0.31</v>
      </c>
      <c r="AS544" s="61" t="s">
        <v>122</v>
      </c>
      <c r="AT544" s="61">
        <v>36</v>
      </c>
      <c r="AU544" s="61">
        <v>5</v>
      </c>
      <c r="AV544" s="61">
        <v>52.927</v>
      </c>
      <c r="AW544" s="61">
        <v>2.2229999999999999</v>
      </c>
      <c r="AX544" s="65">
        <v>0.28399999999999997</v>
      </c>
      <c r="AY544" s="66">
        <v>3.0379999999999998</v>
      </c>
      <c r="AZ544" s="61">
        <v>13.048999999999999</v>
      </c>
      <c r="BA544" s="61">
        <v>40.262999999999998</v>
      </c>
      <c r="BB544" s="61">
        <v>56.35</v>
      </c>
      <c r="BC544" s="61">
        <v>0.17499999999999999</v>
      </c>
      <c r="BD544" s="61">
        <v>1.5109999999999999</v>
      </c>
      <c r="BE544" s="61">
        <v>5.7830000000000004</v>
      </c>
      <c r="BF544" s="61">
        <v>0.14000000000000001</v>
      </c>
      <c r="BG544" s="61">
        <v>6.5570000000000004</v>
      </c>
      <c r="BH544" s="61">
        <v>3.7090000000000001</v>
      </c>
      <c r="BI544" s="61">
        <v>1.8149999999999999</v>
      </c>
      <c r="BJ544" s="61">
        <v>12.081</v>
      </c>
      <c r="BK544" s="66">
        <v>19.690000000000001</v>
      </c>
      <c r="BL544" s="67">
        <v>82.108000000000004</v>
      </c>
      <c r="BM544" s="61">
        <v>14.577999999999999</v>
      </c>
      <c r="BN544" s="61">
        <v>5.2430000000000003</v>
      </c>
      <c r="BO544" s="61">
        <v>0.28399999999999997</v>
      </c>
      <c r="BP544" s="61">
        <v>102.21299999999999</v>
      </c>
      <c r="BQ544" s="61">
        <v>225.57300000000001</v>
      </c>
      <c r="BR544" s="61">
        <v>11.592000000000001</v>
      </c>
      <c r="BS544" s="61">
        <v>35.143000000000001</v>
      </c>
      <c r="BT544" s="61">
        <v>210.755</v>
      </c>
      <c r="BU544" s="61">
        <v>18.849</v>
      </c>
      <c r="BV544" s="61">
        <v>22.923999999999999</v>
      </c>
      <c r="BW544" s="61">
        <v>41.774000000000001</v>
      </c>
      <c r="BX544" s="67">
        <v>524.83699999999999</v>
      </c>
      <c r="BY544" s="68">
        <v>128356</v>
      </c>
      <c r="BZ544" s="68">
        <v>111420</v>
      </c>
      <c r="CA544" s="69">
        <v>7954</v>
      </c>
      <c r="CB544" s="68">
        <v>138888</v>
      </c>
      <c r="CC544" s="68">
        <v>28954</v>
      </c>
      <c r="CD544" s="68">
        <v>118329</v>
      </c>
      <c r="CE544" s="72">
        <v>4033.6800000000003</v>
      </c>
      <c r="CF544" s="72">
        <v>5386.08</v>
      </c>
      <c r="CG544" s="70">
        <f t="shared" si="43"/>
        <v>5833.2960000000003</v>
      </c>
      <c r="CH544" s="70">
        <f t="shared" si="44"/>
        <v>334.06799999999998</v>
      </c>
      <c r="CI544" s="70">
        <f t="shared" si="45"/>
        <v>1216.068</v>
      </c>
      <c r="CJ544" s="70">
        <f t="shared" si="46"/>
        <v>5390.9520000000002</v>
      </c>
      <c r="CK544" s="70">
        <f t="shared" si="46"/>
        <v>4679.6400000000003</v>
      </c>
      <c r="CL544" s="70">
        <f t="shared" si="42"/>
        <v>4969.8180000000002</v>
      </c>
      <c r="CM544" s="61"/>
      <c r="CN544" s="61"/>
      <c r="CO544" s="61"/>
      <c r="CP544" s="61"/>
      <c r="CQ544" s="61"/>
      <c r="CR544" s="61"/>
      <c r="CS544" s="61"/>
      <c r="CT544" s="61"/>
      <c r="CU544" s="61"/>
      <c r="CV544" s="61"/>
      <c r="CW544" s="61"/>
      <c r="CX544" s="61"/>
      <c r="CY544" s="61"/>
      <c r="CZ544" s="61"/>
      <c r="DA544" s="61"/>
      <c r="DB544" s="61"/>
      <c r="DC544" s="61"/>
      <c r="DD544" s="61"/>
      <c r="DE544" s="61"/>
      <c r="DF544" s="61"/>
      <c r="DG544" s="61"/>
      <c r="DH544" s="61"/>
      <c r="DI544" s="61"/>
      <c r="DJ544" s="61"/>
      <c r="DK544" s="61"/>
      <c r="DL544" s="61"/>
      <c r="DM544" s="61"/>
      <c r="DN544" s="61"/>
      <c r="DO544" s="61"/>
      <c r="DP544" s="61"/>
      <c r="DQ544" s="61"/>
      <c r="DR544" s="61"/>
      <c r="DS544" s="61"/>
      <c r="DT544" s="61"/>
      <c r="DU544" s="61"/>
      <c r="DV544" s="61"/>
      <c r="DW544" s="61"/>
      <c r="DX544" s="61"/>
      <c r="DY544" s="61"/>
      <c r="DZ544" s="61"/>
      <c r="EA544" s="61"/>
      <c r="EB544" s="61"/>
      <c r="EC544" s="61"/>
      <c r="ED544" s="61"/>
      <c r="EE544" s="61"/>
      <c r="EF544" s="61"/>
      <c r="EG544" s="61"/>
      <c r="EH544" s="61"/>
      <c r="EI544" s="61"/>
      <c r="EJ544" s="61"/>
      <c r="EK544" s="61"/>
      <c r="EL544" s="61"/>
      <c r="EM544" s="61"/>
      <c r="EN544" s="61"/>
      <c r="EO544" s="61"/>
      <c r="EP544" s="61"/>
      <c r="EQ544" s="61"/>
      <c r="ER544" s="61"/>
      <c r="ES544" s="61"/>
      <c r="ET544" s="61"/>
      <c r="EU544" s="61"/>
      <c r="EV544" s="61"/>
      <c r="EW544" s="61"/>
    </row>
    <row r="545" spans="1:153">
      <c r="A545" s="56">
        <v>43160</v>
      </c>
      <c r="B545" s="57">
        <v>2018</v>
      </c>
      <c r="C545" s="71">
        <v>19.291</v>
      </c>
      <c r="D545" s="61">
        <v>0.26300000000000001</v>
      </c>
      <c r="E545" s="61">
        <v>3550.6529999999998</v>
      </c>
      <c r="F545" s="61">
        <v>149.12700000000001</v>
      </c>
      <c r="G545" s="61">
        <v>19.027999999999999</v>
      </c>
      <c r="H545" s="61">
        <v>457</v>
      </c>
      <c r="I545" s="61">
        <v>257.08100000000002</v>
      </c>
      <c r="J545" s="61">
        <v>199.91900000000001</v>
      </c>
      <c r="K545" s="61">
        <v>4924.6450000000004</v>
      </c>
      <c r="L545" s="61">
        <v>-9.1820000000000004</v>
      </c>
      <c r="M545" s="61">
        <v>3759.7539999999999</v>
      </c>
      <c r="N545" s="61">
        <v>157.91</v>
      </c>
      <c r="O545" s="71">
        <v>20.149000000000001</v>
      </c>
      <c r="P545" s="60">
        <v>198.708</v>
      </c>
      <c r="Q545" s="61">
        <v>207.86</v>
      </c>
      <c r="R545" s="61">
        <v>449.80700000000002</v>
      </c>
      <c r="S545" s="61">
        <v>1017.19</v>
      </c>
      <c r="T545" s="61">
        <v>235.28</v>
      </c>
      <c r="U545" s="61">
        <v>17.827999999999999</v>
      </c>
      <c r="V545" s="61">
        <v>73.507999999999996</v>
      </c>
      <c r="W545" s="61">
        <v>240.767</v>
      </c>
      <c r="X545" s="61">
        <v>192.887</v>
      </c>
      <c r="Y545" s="61">
        <v>43.24</v>
      </c>
      <c r="Z545" s="61">
        <v>195.31100000000001</v>
      </c>
      <c r="AA545" s="61">
        <v>431.43799999999999</v>
      </c>
      <c r="AB545" s="60">
        <v>998.82</v>
      </c>
      <c r="AC545" s="62">
        <v>596.85699999999997</v>
      </c>
      <c r="AD545" s="61">
        <v>25.068000000000001</v>
      </c>
      <c r="AE545" s="61">
        <v>3.2789999999999999</v>
      </c>
      <c r="AF545" s="61">
        <v>275</v>
      </c>
      <c r="AG545" s="61">
        <v>1305</v>
      </c>
      <c r="AH545" s="61">
        <v>293</v>
      </c>
      <c r="AI545" s="61">
        <v>578.85699999999997</v>
      </c>
      <c r="AJ545" s="61">
        <v>24.312000000000001</v>
      </c>
      <c r="AK545" s="62">
        <v>3.18</v>
      </c>
      <c r="AL545" s="63">
        <f t="shared" si="47"/>
        <v>24.312000000000001</v>
      </c>
      <c r="AM545" s="64">
        <v>3.18</v>
      </c>
      <c r="AN545" s="65" t="s">
        <v>121</v>
      </c>
      <c r="AO545" s="61" t="s">
        <v>121</v>
      </c>
      <c r="AP545" s="61">
        <v>65.016000000000005</v>
      </c>
      <c r="AQ545" s="61">
        <v>2.7309999999999999</v>
      </c>
      <c r="AR545" s="61">
        <v>0.34799999999999998</v>
      </c>
      <c r="AS545" s="61" t="s">
        <v>122</v>
      </c>
      <c r="AT545" s="61">
        <v>46</v>
      </c>
      <c r="AU545" s="61">
        <v>10</v>
      </c>
      <c r="AV545" s="61">
        <v>55.015999999999998</v>
      </c>
      <c r="AW545" s="61">
        <v>2.3109999999999999</v>
      </c>
      <c r="AX545" s="65">
        <v>0.29499999999999998</v>
      </c>
      <c r="AY545" s="66">
        <v>3.363</v>
      </c>
      <c r="AZ545" s="61">
        <v>18.038</v>
      </c>
      <c r="BA545" s="61">
        <v>44.576999999999998</v>
      </c>
      <c r="BB545" s="61">
        <v>65.978999999999999</v>
      </c>
      <c r="BC545" s="61">
        <v>0.19500000000000001</v>
      </c>
      <c r="BD545" s="61">
        <v>1.673</v>
      </c>
      <c r="BE545" s="61">
        <v>7.85</v>
      </c>
      <c r="BF545" s="61">
        <v>0.16800000000000001</v>
      </c>
      <c r="BG545" s="61">
        <v>7.2169999999999996</v>
      </c>
      <c r="BH545" s="61">
        <v>3.9870000000000001</v>
      </c>
      <c r="BI545" s="61">
        <v>2.1160000000000001</v>
      </c>
      <c r="BJ545" s="61">
        <v>13.319000000000001</v>
      </c>
      <c r="BK545" s="66">
        <v>23.204999999999998</v>
      </c>
      <c r="BL545" s="67">
        <v>95.715999999999994</v>
      </c>
      <c r="BM545" s="61">
        <v>20.149000000000001</v>
      </c>
      <c r="BN545" s="61">
        <v>3.18</v>
      </c>
      <c r="BO545" s="61">
        <v>0.29499999999999998</v>
      </c>
      <c r="BP545" s="61">
        <v>119.339</v>
      </c>
      <c r="BQ545" s="61">
        <v>234.29300000000001</v>
      </c>
      <c r="BR545" s="61">
        <v>12.435</v>
      </c>
      <c r="BS545" s="61">
        <v>45.573</v>
      </c>
      <c r="BT545" s="61">
        <v>240.506</v>
      </c>
      <c r="BU545" s="61">
        <v>19.658000000000001</v>
      </c>
      <c r="BV545" s="61">
        <v>24.334</v>
      </c>
      <c r="BW545" s="61">
        <v>43.993000000000002</v>
      </c>
      <c r="BX545" s="67">
        <v>576.79899999999998</v>
      </c>
      <c r="BY545" s="68">
        <v>149498</v>
      </c>
      <c r="BZ545" s="68">
        <v>130091</v>
      </c>
      <c r="CA545" s="69">
        <v>4867</v>
      </c>
      <c r="CB545" s="68">
        <v>130478</v>
      </c>
      <c r="CC545" s="68">
        <v>34968</v>
      </c>
      <c r="CD545" s="68">
        <v>138738</v>
      </c>
      <c r="CE545" s="72">
        <v>4960.62</v>
      </c>
      <c r="CF545" s="72">
        <v>6275.64</v>
      </c>
      <c r="CG545" s="70">
        <f t="shared" si="43"/>
        <v>5480.076</v>
      </c>
      <c r="CH545" s="70">
        <f t="shared" si="44"/>
        <v>204.41399999999999</v>
      </c>
      <c r="CI545" s="70">
        <f t="shared" si="45"/>
        <v>1468.6559999999999</v>
      </c>
      <c r="CJ545" s="70">
        <f t="shared" si="46"/>
        <v>6278.9160000000002</v>
      </c>
      <c r="CK545" s="70">
        <f t="shared" si="46"/>
        <v>5463.8220000000001</v>
      </c>
      <c r="CL545" s="70">
        <f t="shared" si="42"/>
        <v>5826.9960000000001</v>
      </c>
      <c r="CM545" s="61"/>
      <c r="CN545" s="61"/>
      <c r="CO545" s="61"/>
      <c r="CP545" s="61"/>
      <c r="CQ545" s="61"/>
      <c r="CR545" s="61"/>
      <c r="CS545" s="61"/>
      <c r="CT545" s="61"/>
      <c r="CU545" s="61"/>
      <c r="CV545" s="61"/>
      <c r="CW545" s="61"/>
      <c r="CX545" s="61"/>
      <c r="CY545" s="61"/>
      <c r="CZ545" s="61"/>
      <c r="DA545" s="61"/>
      <c r="DB545" s="61"/>
      <c r="DC545" s="61"/>
      <c r="DD545" s="61"/>
      <c r="DE545" s="61"/>
      <c r="DF545" s="61"/>
      <c r="DG545" s="61"/>
      <c r="DH545" s="61"/>
      <c r="DI545" s="61"/>
      <c r="DJ545" s="61"/>
      <c r="DK545" s="61"/>
      <c r="DL545" s="61"/>
      <c r="DM545" s="61"/>
      <c r="DN545" s="61"/>
      <c r="DO545" s="61"/>
      <c r="DP545" s="61"/>
      <c r="DQ545" s="61"/>
      <c r="DR545" s="61"/>
      <c r="DS545" s="61"/>
      <c r="DT545" s="61"/>
      <c r="DU545" s="61"/>
      <c r="DV545" s="61"/>
      <c r="DW545" s="61"/>
      <c r="DX545" s="61"/>
      <c r="DY545" s="61"/>
      <c r="DZ545" s="61"/>
      <c r="EA545" s="61"/>
      <c r="EB545" s="61"/>
      <c r="EC545" s="61"/>
      <c r="ED545" s="61"/>
      <c r="EE545" s="61"/>
      <c r="EF545" s="61"/>
      <c r="EG545" s="61"/>
      <c r="EH545" s="61"/>
      <c r="EI545" s="61"/>
      <c r="EJ545" s="61"/>
      <c r="EK545" s="61"/>
      <c r="EL545" s="61"/>
      <c r="EM545" s="61"/>
      <c r="EN545" s="61"/>
      <c r="EO545" s="61"/>
      <c r="EP545" s="61"/>
      <c r="EQ545" s="61"/>
      <c r="ER545" s="61"/>
      <c r="ES545" s="61"/>
      <c r="ET545" s="61"/>
      <c r="EU545" s="61"/>
      <c r="EV545" s="61"/>
      <c r="EW545" s="61"/>
    </row>
    <row r="546" spans="1:153">
      <c r="A546" s="56">
        <v>43191</v>
      </c>
      <c r="B546" s="57">
        <v>2018</v>
      </c>
      <c r="C546" s="71">
        <v>18.437000000000001</v>
      </c>
      <c r="D546" s="61">
        <v>0.251</v>
      </c>
      <c r="E546" s="61">
        <v>3393.4540000000002</v>
      </c>
      <c r="F546" s="61">
        <v>142.52500000000001</v>
      </c>
      <c r="G546" s="61">
        <v>18.186</v>
      </c>
      <c r="H546" s="61">
        <v>308</v>
      </c>
      <c r="I546" s="61">
        <v>217.471</v>
      </c>
      <c r="J546" s="61">
        <v>90.528999999999996</v>
      </c>
      <c r="K546" s="61">
        <v>4715.8040000000001</v>
      </c>
      <c r="L546" s="61">
        <v>-208.84100000000001</v>
      </c>
      <c r="M546" s="61">
        <v>3692.8240000000001</v>
      </c>
      <c r="N546" s="61">
        <v>155.09899999999999</v>
      </c>
      <c r="O546" s="71">
        <v>19.79</v>
      </c>
      <c r="P546" s="60">
        <v>187.922</v>
      </c>
      <c r="Q546" s="61">
        <v>197.23699999999999</v>
      </c>
      <c r="R546" s="61">
        <v>425.82</v>
      </c>
      <c r="S546" s="61">
        <v>1024.172</v>
      </c>
      <c r="T546" s="61">
        <v>255.792</v>
      </c>
      <c r="U546" s="61">
        <v>16.027000000000001</v>
      </c>
      <c r="V546" s="61">
        <v>86.066000000000003</v>
      </c>
      <c r="W546" s="61">
        <v>240.46799999999999</v>
      </c>
      <c r="X546" s="61">
        <v>180.62899999999999</v>
      </c>
      <c r="Y546" s="61">
        <v>40.661000000000001</v>
      </c>
      <c r="Z546" s="61">
        <v>186.07</v>
      </c>
      <c r="AA546" s="61">
        <v>407.36</v>
      </c>
      <c r="AB546" s="60">
        <v>1005.712</v>
      </c>
      <c r="AC546" s="62">
        <v>613.11900000000003</v>
      </c>
      <c r="AD546" s="61">
        <v>25.751000000000001</v>
      </c>
      <c r="AE546" s="61">
        <v>3.3679999999999999</v>
      </c>
      <c r="AF546" s="61">
        <v>446</v>
      </c>
      <c r="AG546" s="61">
        <v>1559</v>
      </c>
      <c r="AH546" s="61">
        <v>254</v>
      </c>
      <c r="AI546" s="61">
        <v>805.11900000000003</v>
      </c>
      <c r="AJ546" s="61">
        <v>33.814999999999998</v>
      </c>
      <c r="AK546" s="62">
        <v>4.423</v>
      </c>
      <c r="AL546" s="63">
        <f t="shared" si="47"/>
        <v>33.814999999999998</v>
      </c>
      <c r="AM546" s="64">
        <v>4.423</v>
      </c>
      <c r="AN546" s="65" t="s">
        <v>121</v>
      </c>
      <c r="AO546" s="61" t="s">
        <v>121</v>
      </c>
      <c r="AP546" s="61">
        <v>51.438000000000002</v>
      </c>
      <c r="AQ546" s="61">
        <v>2.16</v>
      </c>
      <c r="AR546" s="61">
        <v>0.27600000000000002</v>
      </c>
      <c r="AS546" s="61" t="s">
        <v>122</v>
      </c>
      <c r="AT546" s="61">
        <v>44</v>
      </c>
      <c r="AU546" s="61">
        <v>-2</v>
      </c>
      <c r="AV546" s="61">
        <v>53.438000000000002</v>
      </c>
      <c r="AW546" s="61">
        <v>2.2440000000000002</v>
      </c>
      <c r="AX546" s="65">
        <v>0.28599999999999998</v>
      </c>
      <c r="AY546" s="66">
        <v>3.2549999999999999</v>
      </c>
      <c r="AZ546" s="61">
        <v>20.521000000000001</v>
      </c>
      <c r="BA546" s="61">
        <v>43.139000000000003</v>
      </c>
      <c r="BB546" s="61">
        <v>66.915000000000006</v>
      </c>
      <c r="BC546" s="61">
        <v>0.214</v>
      </c>
      <c r="BD546" s="61">
        <v>1.619</v>
      </c>
      <c r="BE546" s="61">
        <v>8.7050000000000001</v>
      </c>
      <c r="BF546" s="61">
        <v>0.14599999999999999</v>
      </c>
      <c r="BG546" s="61">
        <v>6.8280000000000003</v>
      </c>
      <c r="BH546" s="61">
        <v>3.899</v>
      </c>
      <c r="BI546" s="61">
        <v>1.982</v>
      </c>
      <c r="BJ546" s="61">
        <v>12.709</v>
      </c>
      <c r="BK546" s="66">
        <v>23.393000000000001</v>
      </c>
      <c r="BL546" s="67">
        <v>89.653999999999996</v>
      </c>
      <c r="BM546" s="61">
        <v>19.79</v>
      </c>
      <c r="BN546" s="61">
        <v>4.423</v>
      </c>
      <c r="BO546" s="61">
        <v>0.28599999999999998</v>
      </c>
      <c r="BP546" s="61">
        <v>114.154</v>
      </c>
      <c r="BQ546" s="61">
        <v>254.65299999999999</v>
      </c>
      <c r="BR546" s="61">
        <v>10.808</v>
      </c>
      <c r="BS546" s="61">
        <v>54.61</v>
      </c>
      <c r="BT546" s="61">
        <v>240.244</v>
      </c>
      <c r="BU546" s="61">
        <v>15.965999999999999</v>
      </c>
      <c r="BV546" s="61">
        <v>22.632000000000001</v>
      </c>
      <c r="BW546" s="61">
        <v>38.597999999999999</v>
      </c>
      <c r="BX546" s="67">
        <v>598.91200000000003</v>
      </c>
      <c r="BY546" s="68">
        <v>153586</v>
      </c>
      <c r="BZ546" s="68">
        <v>124171</v>
      </c>
      <c r="CA546" s="69">
        <v>2732</v>
      </c>
      <c r="CB546" s="68">
        <v>120928</v>
      </c>
      <c r="CC546" s="68">
        <v>43919</v>
      </c>
      <c r="CD546" s="68">
        <v>144107</v>
      </c>
      <c r="CE546" s="72">
        <v>4851.0000000000009</v>
      </c>
      <c r="CF546" s="72">
        <v>6451.2</v>
      </c>
      <c r="CG546" s="70">
        <f t="shared" si="43"/>
        <v>5078.9759999999997</v>
      </c>
      <c r="CH546" s="70">
        <f t="shared" si="44"/>
        <v>114.744</v>
      </c>
      <c r="CI546" s="70">
        <f t="shared" si="45"/>
        <v>1844.598</v>
      </c>
      <c r="CJ546" s="70">
        <f t="shared" si="46"/>
        <v>6450.6120000000001</v>
      </c>
      <c r="CK546" s="70">
        <f t="shared" si="46"/>
        <v>5215.1819999999998</v>
      </c>
      <c r="CL546" s="70">
        <f t="shared" si="42"/>
        <v>6052.4939999999997</v>
      </c>
      <c r="CM546" s="61"/>
      <c r="CN546" s="61"/>
      <c r="CO546" s="61"/>
      <c r="CP546" s="61"/>
      <c r="CQ546" s="61"/>
      <c r="CR546" s="61"/>
      <c r="CS546" s="61"/>
      <c r="CT546" s="61"/>
      <c r="CU546" s="61"/>
      <c r="CV546" s="61"/>
      <c r="CW546" s="61"/>
      <c r="CX546" s="61"/>
      <c r="CY546" s="61"/>
      <c r="CZ546" s="61"/>
      <c r="DA546" s="61"/>
      <c r="DB546" s="61"/>
      <c r="DC546" s="61"/>
      <c r="DD546" s="61"/>
      <c r="DE546" s="61"/>
      <c r="DF546" s="61"/>
      <c r="DG546" s="61"/>
      <c r="DH546" s="61"/>
      <c r="DI546" s="61"/>
      <c r="DJ546" s="61"/>
      <c r="DK546" s="61"/>
      <c r="DL546" s="61"/>
      <c r="DM546" s="61"/>
      <c r="DN546" s="61"/>
      <c r="DO546" s="61"/>
      <c r="DP546" s="61"/>
      <c r="DQ546" s="61"/>
      <c r="DR546" s="61"/>
      <c r="DS546" s="61"/>
      <c r="DT546" s="61"/>
      <c r="DU546" s="61"/>
      <c r="DV546" s="61"/>
      <c r="DW546" s="61"/>
      <c r="DX546" s="61"/>
      <c r="DY546" s="61"/>
      <c r="DZ546" s="61"/>
      <c r="EA546" s="61"/>
      <c r="EB546" s="61"/>
      <c r="EC546" s="61"/>
      <c r="ED546" s="61"/>
      <c r="EE546" s="61"/>
      <c r="EF546" s="61"/>
      <c r="EG546" s="61"/>
      <c r="EH546" s="61"/>
      <c r="EI546" s="61"/>
      <c r="EJ546" s="61"/>
      <c r="EK546" s="61"/>
      <c r="EL546" s="61"/>
      <c r="EM546" s="61"/>
      <c r="EN546" s="61"/>
      <c r="EO546" s="61"/>
      <c r="EP546" s="61"/>
      <c r="EQ546" s="61"/>
      <c r="ER546" s="61"/>
      <c r="ES546" s="61"/>
      <c r="ET546" s="61"/>
      <c r="EU546" s="61"/>
      <c r="EV546" s="61"/>
      <c r="EW546" s="61"/>
    </row>
    <row r="547" spans="1:153">
      <c r="A547" s="56">
        <v>43221</v>
      </c>
      <c r="B547" s="57">
        <v>2018</v>
      </c>
      <c r="C547" s="71">
        <v>19.573</v>
      </c>
      <c r="D547" s="61">
        <v>0.26700000000000002</v>
      </c>
      <c r="E547" s="61">
        <v>3602.6729999999998</v>
      </c>
      <c r="F547" s="61">
        <v>151.31200000000001</v>
      </c>
      <c r="G547" s="61">
        <v>19.306999999999999</v>
      </c>
      <c r="H547" s="61">
        <v>325</v>
      </c>
      <c r="I547" s="61">
        <v>396.41</v>
      </c>
      <c r="J547" s="61">
        <v>-71.41</v>
      </c>
      <c r="K547" s="61">
        <v>4274.741</v>
      </c>
      <c r="L547" s="61">
        <v>-441.06299999999999</v>
      </c>
      <c r="M547" s="61">
        <v>3972.326</v>
      </c>
      <c r="N547" s="61">
        <v>166.83799999999999</v>
      </c>
      <c r="O547" s="71">
        <v>21.288</v>
      </c>
      <c r="P547" s="60">
        <v>197.119</v>
      </c>
      <c r="Q547" s="61">
        <v>207.56399999999999</v>
      </c>
      <c r="R547" s="61">
        <v>445.435</v>
      </c>
      <c r="S547" s="61">
        <v>1054.6569999999999</v>
      </c>
      <c r="T547" s="61">
        <v>276.98200000000003</v>
      </c>
      <c r="U547" s="61">
        <v>17.972000000000001</v>
      </c>
      <c r="V547" s="61">
        <v>96.341999999999999</v>
      </c>
      <c r="W547" s="61">
        <v>217.92599999999999</v>
      </c>
      <c r="X547" s="61">
        <v>189.19</v>
      </c>
      <c r="Y547" s="61">
        <v>40.753</v>
      </c>
      <c r="Z547" s="61">
        <v>209.285</v>
      </c>
      <c r="AA547" s="61">
        <v>439.22800000000001</v>
      </c>
      <c r="AB547" s="60">
        <v>1048.45</v>
      </c>
      <c r="AC547" s="62">
        <v>512.101</v>
      </c>
      <c r="AD547" s="61">
        <v>21.507999999999999</v>
      </c>
      <c r="AE547" s="61">
        <v>2.8130000000000002</v>
      </c>
      <c r="AF547" s="61">
        <v>340</v>
      </c>
      <c r="AG547" s="61">
        <v>972</v>
      </c>
      <c r="AH547" s="61">
        <v>-587</v>
      </c>
      <c r="AI547" s="61">
        <v>1439.1010000000001</v>
      </c>
      <c r="AJ547" s="61">
        <v>60.442</v>
      </c>
      <c r="AK547" s="62">
        <v>7.9059999999999997</v>
      </c>
      <c r="AL547" s="63">
        <f t="shared" si="47"/>
        <v>60.442</v>
      </c>
      <c r="AM547" s="64">
        <v>7.9059999999999997</v>
      </c>
      <c r="AN547" s="65" t="s">
        <v>121</v>
      </c>
      <c r="AO547" s="61" t="s">
        <v>121</v>
      </c>
      <c r="AP547" s="61">
        <v>48.314</v>
      </c>
      <c r="AQ547" s="61">
        <v>2.0289999999999999</v>
      </c>
      <c r="AR547" s="61">
        <v>0.25900000000000001</v>
      </c>
      <c r="AS547" s="61" t="s">
        <v>122</v>
      </c>
      <c r="AT547" s="61">
        <v>43</v>
      </c>
      <c r="AU547" s="61">
        <v>-1</v>
      </c>
      <c r="AV547" s="61">
        <v>49.314</v>
      </c>
      <c r="AW547" s="61">
        <v>2.0710000000000002</v>
      </c>
      <c r="AX547" s="65">
        <v>0.26400000000000001</v>
      </c>
      <c r="AY547" s="66">
        <v>3.363</v>
      </c>
      <c r="AZ547" s="61">
        <v>22.58</v>
      </c>
      <c r="BA547" s="61">
        <v>44.576999999999998</v>
      </c>
      <c r="BB547" s="61">
        <v>70.52</v>
      </c>
      <c r="BC547" s="61">
        <v>0.222</v>
      </c>
      <c r="BD547" s="61">
        <v>1.673</v>
      </c>
      <c r="BE547" s="61">
        <v>9.5380000000000003</v>
      </c>
      <c r="BF547" s="61">
        <v>0.124</v>
      </c>
      <c r="BG547" s="61">
        <v>7.0389999999999997</v>
      </c>
      <c r="BH547" s="61">
        <v>4.0410000000000004</v>
      </c>
      <c r="BI547" s="61">
        <v>2.2890000000000001</v>
      </c>
      <c r="BJ547" s="61">
        <v>13.369</v>
      </c>
      <c r="BK547" s="66">
        <v>24.925999999999998</v>
      </c>
      <c r="BL547" s="67">
        <v>103.559</v>
      </c>
      <c r="BM547" s="61">
        <v>21.288</v>
      </c>
      <c r="BN547" s="61">
        <v>7.9059999999999997</v>
      </c>
      <c r="BO547" s="61">
        <v>0.26400000000000001</v>
      </c>
      <c r="BP547" s="61">
        <v>133.018</v>
      </c>
      <c r="BQ547" s="61">
        <v>275.839</v>
      </c>
      <c r="BR547" s="61">
        <v>12.579000000000001</v>
      </c>
      <c r="BS547" s="61">
        <v>61.755000000000003</v>
      </c>
      <c r="BT547" s="61">
        <v>217.72900000000001</v>
      </c>
      <c r="BU547" s="61">
        <v>17.231000000000002</v>
      </c>
      <c r="BV547" s="61">
        <v>22.934999999999999</v>
      </c>
      <c r="BW547" s="61">
        <v>40.165999999999997</v>
      </c>
      <c r="BX547" s="67">
        <v>608.06799999999998</v>
      </c>
      <c r="BY547" s="68">
        <v>161638</v>
      </c>
      <c r="BZ547" s="68">
        <v>130472</v>
      </c>
      <c r="CA547" s="69">
        <v>3772</v>
      </c>
      <c r="CB547" s="68">
        <v>115580</v>
      </c>
      <c r="CC547" s="68">
        <v>42527</v>
      </c>
      <c r="CD547" s="68">
        <v>152006</v>
      </c>
      <c r="CE547" s="72">
        <v>5286.119999999999</v>
      </c>
      <c r="CF547" s="72">
        <v>6783.42</v>
      </c>
      <c r="CG547" s="70">
        <f t="shared" si="43"/>
        <v>4854.3599999999997</v>
      </c>
      <c r="CH547" s="70">
        <f t="shared" si="44"/>
        <v>158.42400000000001</v>
      </c>
      <c r="CI547" s="70">
        <f t="shared" si="45"/>
        <v>1786.134</v>
      </c>
      <c r="CJ547" s="70">
        <f t="shared" si="46"/>
        <v>6788.7960000000003</v>
      </c>
      <c r="CK547" s="70">
        <f t="shared" si="46"/>
        <v>5479.8239999999996</v>
      </c>
      <c r="CL547" s="70">
        <f t="shared" si="42"/>
        <v>6384.2520000000004</v>
      </c>
      <c r="CM547" s="61"/>
      <c r="CN547" s="61"/>
      <c r="CO547" s="61"/>
      <c r="CP547" s="61"/>
      <c r="CQ547" s="61"/>
      <c r="CR547" s="61"/>
      <c r="CS547" s="61"/>
      <c r="CT547" s="61"/>
      <c r="CU547" s="61"/>
      <c r="CV547" s="61"/>
      <c r="CW547" s="61"/>
      <c r="CX547" s="61"/>
      <c r="CY547" s="61"/>
      <c r="CZ547" s="61"/>
      <c r="DA547" s="61"/>
      <c r="DB547" s="61"/>
      <c r="DC547" s="61"/>
      <c r="DD547" s="61"/>
      <c r="DE547" s="61"/>
      <c r="DF547" s="61"/>
      <c r="DG547" s="61"/>
      <c r="DH547" s="61"/>
      <c r="DI547" s="61"/>
      <c r="DJ547" s="61"/>
      <c r="DK547" s="61"/>
      <c r="DL547" s="61"/>
      <c r="DM547" s="61"/>
      <c r="DN547" s="61"/>
      <c r="DO547" s="61"/>
      <c r="DP547" s="61"/>
      <c r="DQ547" s="61"/>
      <c r="DR547" s="61"/>
      <c r="DS547" s="61"/>
      <c r="DT547" s="61"/>
      <c r="DU547" s="61"/>
      <c r="DV547" s="61"/>
      <c r="DW547" s="61"/>
      <c r="DX547" s="61"/>
      <c r="DY547" s="61"/>
      <c r="DZ547" s="61"/>
      <c r="EA547" s="61"/>
      <c r="EB547" s="61"/>
      <c r="EC547" s="61"/>
      <c r="ED547" s="61"/>
      <c r="EE547" s="61"/>
      <c r="EF547" s="61"/>
      <c r="EG547" s="61"/>
      <c r="EH547" s="61"/>
      <c r="EI547" s="61"/>
      <c r="EJ547" s="61"/>
      <c r="EK547" s="61"/>
      <c r="EL547" s="61"/>
      <c r="EM547" s="61"/>
      <c r="EN547" s="61"/>
      <c r="EO547" s="61"/>
      <c r="EP547" s="61"/>
      <c r="EQ547" s="61"/>
      <c r="ER547" s="61"/>
      <c r="ES547" s="61"/>
      <c r="ET547" s="61"/>
      <c r="EU547" s="61"/>
      <c r="EV547" s="61"/>
      <c r="EW547" s="61"/>
    </row>
    <row r="548" spans="1:153">
      <c r="A548" s="56">
        <v>43252</v>
      </c>
      <c r="B548" s="57">
        <v>2018</v>
      </c>
      <c r="C548" s="71">
        <v>20.550999999999998</v>
      </c>
      <c r="D548" s="61">
        <v>0.28000000000000003</v>
      </c>
      <c r="E548" s="61">
        <v>3782.5479999999998</v>
      </c>
      <c r="F548" s="61">
        <v>158.86699999999999</v>
      </c>
      <c r="G548" s="61">
        <v>20.271000000000001</v>
      </c>
      <c r="H548" s="61">
        <v>296</v>
      </c>
      <c r="I548" s="61">
        <v>275.52499999999998</v>
      </c>
      <c r="J548" s="61">
        <v>20.475000000000001</v>
      </c>
      <c r="K548" s="61">
        <v>3849.9079999999999</v>
      </c>
      <c r="L548" s="61">
        <v>-424.834</v>
      </c>
      <c r="M548" s="61">
        <v>4227.857</v>
      </c>
      <c r="N548" s="61">
        <v>177.57</v>
      </c>
      <c r="O548" s="71">
        <v>22.657</v>
      </c>
      <c r="P548" s="60">
        <v>195.34800000000001</v>
      </c>
      <c r="Q548" s="61">
        <v>204.553</v>
      </c>
      <c r="R548" s="61">
        <v>438.89400000000001</v>
      </c>
      <c r="S548" s="61">
        <v>1033.797</v>
      </c>
      <c r="T548" s="61">
        <v>251.08199999999999</v>
      </c>
      <c r="U548" s="61">
        <v>17.045000000000002</v>
      </c>
      <c r="V548" s="61">
        <v>102.03</v>
      </c>
      <c r="W548" s="61">
        <v>224.74700000000001</v>
      </c>
      <c r="X548" s="61">
        <v>186.55099999999999</v>
      </c>
      <c r="Y548" s="61">
        <v>38.993000000000002</v>
      </c>
      <c r="Z548" s="61">
        <v>198.47399999999999</v>
      </c>
      <c r="AA548" s="61">
        <v>424.01799999999997</v>
      </c>
      <c r="AB548" s="60">
        <v>1018.921</v>
      </c>
      <c r="AC548" s="62">
        <v>294.858</v>
      </c>
      <c r="AD548" s="61">
        <v>12.384</v>
      </c>
      <c r="AE548" s="61">
        <v>1.62</v>
      </c>
      <c r="AF548" s="61">
        <v>403</v>
      </c>
      <c r="AG548" s="61">
        <v>1130</v>
      </c>
      <c r="AH548" s="61">
        <v>158</v>
      </c>
      <c r="AI548" s="61">
        <v>539.85799999999995</v>
      </c>
      <c r="AJ548" s="61">
        <v>22.673999999999999</v>
      </c>
      <c r="AK548" s="62">
        <v>2.9660000000000002</v>
      </c>
      <c r="AL548" s="63">
        <f t="shared" si="47"/>
        <v>22.673999999999999</v>
      </c>
      <c r="AM548" s="64">
        <v>2.9660000000000002</v>
      </c>
      <c r="AN548" s="65" t="s">
        <v>121</v>
      </c>
      <c r="AO548" s="61" t="s">
        <v>121</v>
      </c>
      <c r="AP548" s="61">
        <v>11.298999999999999</v>
      </c>
      <c r="AQ548" s="61">
        <v>0.47499999999999998</v>
      </c>
      <c r="AR548" s="61">
        <v>6.0999999999999999E-2</v>
      </c>
      <c r="AS548" s="61" t="s">
        <v>122</v>
      </c>
      <c r="AT548" s="61">
        <v>47</v>
      </c>
      <c r="AU548" s="61">
        <v>4</v>
      </c>
      <c r="AV548" s="61">
        <v>7.2990000000000004</v>
      </c>
      <c r="AW548" s="61">
        <v>0.307</v>
      </c>
      <c r="AX548" s="65">
        <v>3.9E-2</v>
      </c>
      <c r="AY548" s="66">
        <v>3.2549999999999999</v>
      </c>
      <c r="AZ548" s="61">
        <v>23.007000000000001</v>
      </c>
      <c r="BA548" s="61">
        <v>43.139000000000003</v>
      </c>
      <c r="BB548" s="61">
        <v>69.400000000000006</v>
      </c>
      <c r="BC548" s="61">
        <v>0.192</v>
      </c>
      <c r="BD548" s="61">
        <v>1.619</v>
      </c>
      <c r="BE548" s="61">
        <v>9.69</v>
      </c>
      <c r="BF548" s="61">
        <v>0.125</v>
      </c>
      <c r="BG548" s="61">
        <v>6.9269999999999996</v>
      </c>
      <c r="BH548" s="61">
        <v>3.9209999999999998</v>
      </c>
      <c r="BI548" s="61">
        <v>2.161</v>
      </c>
      <c r="BJ548" s="61">
        <v>13.009</v>
      </c>
      <c r="BK548" s="66">
        <v>24.635999999999999</v>
      </c>
      <c r="BL548" s="67">
        <v>97.765000000000001</v>
      </c>
      <c r="BM548" s="61">
        <v>22.657</v>
      </c>
      <c r="BN548" s="61">
        <v>2.9660000000000002</v>
      </c>
      <c r="BO548" s="61">
        <v>3.9E-2</v>
      </c>
      <c r="BP548" s="61">
        <v>123.42700000000001</v>
      </c>
      <c r="BQ548" s="61">
        <v>250.215</v>
      </c>
      <c r="BR548" s="61">
        <v>11.826000000000001</v>
      </c>
      <c r="BS548" s="61">
        <v>66.846999999999994</v>
      </c>
      <c r="BT548" s="61">
        <v>224.56399999999999</v>
      </c>
      <c r="BU548" s="61">
        <v>18.98</v>
      </c>
      <c r="BV548" s="61">
        <v>22.88</v>
      </c>
      <c r="BW548" s="61">
        <v>41.86</v>
      </c>
      <c r="BX548" s="67">
        <v>595.31200000000001</v>
      </c>
      <c r="BY548" s="68">
        <v>162311</v>
      </c>
      <c r="BZ548" s="68">
        <v>118781</v>
      </c>
      <c r="CA548" s="69">
        <v>2701</v>
      </c>
      <c r="CB548" s="68">
        <v>120549</v>
      </c>
      <c r="CC548" s="68">
        <v>44016</v>
      </c>
      <c r="CD548" s="68">
        <v>151768</v>
      </c>
      <c r="CE548" s="72">
        <v>4863.6000000000004</v>
      </c>
      <c r="CF548" s="72">
        <v>6816.6</v>
      </c>
      <c r="CG548" s="70">
        <f t="shared" si="43"/>
        <v>5063.058</v>
      </c>
      <c r="CH548" s="70">
        <f t="shared" si="44"/>
        <v>113.44199999999999</v>
      </c>
      <c r="CI548" s="70">
        <f t="shared" si="45"/>
        <v>1848.672</v>
      </c>
      <c r="CJ548" s="70">
        <f t="shared" si="46"/>
        <v>6817.0619999999999</v>
      </c>
      <c r="CK548" s="70">
        <f t="shared" si="46"/>
        <v>4988.8019999999997</v>
      </c>
      <c r="CL548" s="70">
        <f t="shared" si="42"/>
        <v>6374.2560000000003</v>
      </c>
      <c r="CM548" s="61"/>
      <c r="CN548" s="61"/>
      <c r="CO548" s="61"/>
      <c r="CP548" s="61"/>
      <c r="CQ548" s="61"/>
      <c r="CR548" s="61"/>
      <c r="CS548" s="61"/>
      <c r="CT548" s="61"/>
      <c r="CU548" s="61"/>
      <c r="CV548" s="61"/>
      <c r="CW548" s="61"/>
      <c r="CX548" s="61"/>
      <c r="CY548" s="61"/>
      <c r="CZ548" s="61"/>
      <c r="DA548" s="61"/>
      <c r="DB548" s="61"/>
      <c r="DC548" s="61"/>
      <c r="DD548" s="61"/>
      <c r="DE548" s="61"/>
      <c r="DF548" s="61"/>
      <c r="DG548" s="61"/>
      <c r="DH548" s="61"/>
      <c r="DI548" s="61"/>
      <c r="DJ548" s="61"/>
      <c r="DK548" s="61"/>
      <c r="DL548" s="61"/>
      <c r="DM548" s="61"/>
      <c r="DN548" s="61"/>
      <c r="DO548" s="61"/>
      <c r="DP548" s="61"/>
      <c r="DQ548" s="61"/>
      <c r="DR548" s="61"/>
      <c r="DS548" s="61"/>
      <c r="DT548" s="61"/>
      <c r="DU548" s="61"/>
      <c r="DV548" s="61"/>
      <c r="DW548" s="61"/>
      <c r="DX548" s="61"/>
      <c r="DY548" s="61"/>
      <c r="DZ548" s="61"/>
      <c r="EA548" s="61"/>
      <c r="EB548" s="61"/>
      <c r="EC548" s="61"/>
      <c r="ED548" s="61"/>
      <c r="EE548" s="61"/>
      <c r="EF548" s="61"/>
      <c r="EG548" s="61"/>
      <c r="EH548" s="61"/>
      <c r="EI548" s="61"/>
      <c r="EJ548" s="61"/>
      <c r="EK548" s="61"/>
      <c r="EL548" s="61"/>
      <c r="EM548" s="61"/>
      <c r="EN548" s="61"/>
      <c r="EO548" s="61"/>
      <c r="EP548" s="61"/>
      <c r="EQ548" s="61"/>
      <c r="ER548" s="61"/>
      <c r="ES548" s="61"/>
      <c r="ET548" s="61"/>
      <c r="EU548" s="61"/>
      <c r="EV548" s="61"/>
      <c r="EW548" s="61"/>
    </row>
    <row r="549" spans="1:153">
      <c r="A549" s="56">
        <v>43282</v>
      </c>
      <c r="B549" s="57">
        <v>2018</v>
      </c>
      <c r="C549" s="71">
        <v>21.515999999999998</v>
      </c>
      <c r="D549" s="61">
        <v>0.29299999999999998</v>
      </c>
      <c r="E549" s="61">
        <v>3960.2660000000001</v>
      </c>
      <c r="F549" s="61">
        <v>166.33099999999999</v>
      </c>
      <c r="G549" s="61">
        <v>21.222999999999999</v>
      </c>
      <c r="H549" s="61">
        <v>157</v>
      </c>
      <c r="I549" s="61">
        <v>259.00200000000001</v>
      </c>
      <c r="J549" s="61">
        <v>-102.002</v>
      </c>
      <c r="K549" s="61">
        <v>3742.491</v>
      </c>
      <c r="L549" s="61">
        <v>-107.416</v>
      </c>
      <c r="M549" s="61">
        <v>3965.68</v>
      </c>
      <c r="N549" s="61">
        <v>166.559</v>
      </c>
      <c r="O549" s="71">
        <v>21.251999999999999</v>
      </c>
      <c r="P549" s="60">
        <v>202.92500000000001</v>
      </c>
      <c r="Q549" s="61">
        <v>213.7</v>
      </c>
      <c r="R549" s="61">
        <v>456.125</v>
      </c>
      <c r="S549" s="61">
        <v>948.97900000000004</v>
      </c>
      <c r="T549" s="61">
        <v>228.35599999999999</v>
      </c>
      <c r="U549" s="61">
        <v>17.853999999999999</v>
      </c>
      <c r="V549" s="61">
        <v>97.013000000000005</v>
      </c>
      <c r="W549" s="61">
        <v>149.631</v>
      </c>
      <c r="X549" s="61">
        <v>196.19</v>
      </c>
      <c r="Y549" s="61">
        <v>39.5</v>
      </c>
      <c r="Z549" s="61">
        <v>204.554</v>
      </c>
      <c r="AA549" s="61">
        <v>440.24299999999999</v>
      </c>
      <c r="AB549" s="60">
        <v>933.09699999999998</v>
      </c>
      <c r="AC549" s="62">
        <v>251.274</v>
      </c>
      <c r="AD549" s="61">
        <v>10.554</v>
      </c>
      <c r="AE549" s="61">
        <v>1.381</v>
      </c>
      <c r="AF549" s="61">
        <v>278</v>
      </c>
      <c r="AG549" s="61">
        <v>1027</v>
      </c>
      <c r="AH549" s="61">
        <v>-103</v>
      </c>
      <c r="AI549" s="61">
        <v>632.274</v>
      </c>
      <c r="AJ549" s="61">
        <v>26.556000000000001</v>
      </c>
      <c r="AK549" s="62">
        <v>3.4740000000000002</v>
      </c>
      <c r="AL549" s="63">
        <f t="shared" si="47"/>
        <v>26.556000000000001</v>
      </c>
      <c r="AM549" s="64">
        <v>3.4740000000000002</v>
      </c>
      <c r="AN549" s="65" t="s">
        <v>121</v>
      </c>
      <c r="AO549" s="61" t="s">
        <v>121</v>
      </c>
      <c r="AP549" s="61">
        <v>3.43</v>
      </c>
      <c r="AQ549" s="61">
        <v>0.14399999999999999</v>
      </c>
      <c r="AR549" s="61">
        <v>1.7999999999999999E-2</v>
      </c>
      <c r="AS549" s="61" t="s">
        <v>122</v>
      </c>
      <c r="AT549" s="61">
        <v>50</v>
      </c>
      <c r="AU549" s="61">
        <v>3</v>
      </c>
      <c r="AV549" s="61">
        <v>0.43</v>
      </c>
      <c r="AW549" s="61">
        <v>1.7999999999999999E-2</v>
      </c>
      <c r="AX549" s="65">
        <v>2E-3</v>
      </c>
      <c r="AY549" s="66">
        <v>3.363</v>
      </c>
      <c r="AZ549" s="61">
        <v>23.614000000000001</v>
      </c>
      <c r="BA549" s="61">
        <v>44.576999999999998</v>
      </c>
      <c r="BB549" s="61">
        <v>71.555000000000007</v>
      </c>
      <c r="BC549" s="61">
        <v>0.17299999999999999</v>
      </c>
      <c r="BD549" s="61">
        <v>1.673</v>
      </c>
      <c r="BE549" s="61">
        <v>9.9580000000000002</v>
      </c>
      <c r="BF549" s="61">
        <v>8.7999999999999995E-2</v>
      </c>
      <c r="BG549" s="61">
        <v>7.1289999999999996</v>
      </c>
      <c r="BH549" s="61">
        <v>3.9729999999999999</v>
      </c>
      <c r="BI549" s="61">
        <v>2.2400000000000002</v>
      </c>
      <c r="BJ549" s="61">
        <v>13.342000000000001</v>
      </c>
      <c r="BK549" s="66">
        <v>25.234000000000002</v>
      </c>
      <c r="BL549" s="67">
        <v>101.33199999999999</v>
      </c>
      <c r="BM549" s="61">
        <v>21.251999999999999</v>
      </c>
      <c r="BN549" s="61">
        <v>3.4740000000000002</v>
      </c>
      <c r="BO549" s="61">
        <v>2E-3</v>
      </c>
      <c r="BP549" s="61">
        <v>126.06</v>
      </c>
      <c r="BQ549" s="61">
        <v>227.477</v>
      </c>
      <c r="BR549" s="61">
        <v>12.461</v>
      </c>
      <c r="BS549" s="61">
        <v>60.878</v>
      </c>
      <c r="BT549" s="61">
        <v>149.495</v>
      </c>
      <c r="BU549" s="61">
        <v>20.821000000000002</v>
      </c>
      <c r="BV549" s="61">
        <v>22.76</v>
      </c>
      <c r="BW549" s="61">
        <v>43.581000000000003</v>
      </c>
      <c r="BX549" s="67">
        <v>493.89100000000002</v>
      </c>
      <c r="BY549" s="68">
        <v>162969</v>
      </c>
      <c r="BZ549" s="68">
        <v>122841</v>
      </c>
      <c r="CA549" s="69">
        <v>4462</v>
      </c>
      <c r="CB549" s="68">
        <v>127215</v>
      </c>
      <c r="CC549" s="68">
        <v>40376</v>
      </c>
      <c r="CD549" s="68">
        <v>153260</v>
      </c>
      <c r="CE549" s="72">
        <v>5038.74</v>
      </c>
      <c r="CF549" s="72">
        <v>6848.5199999999995</v>
      </c>
      <c r="CG549" s="70">
        <f t="shared" si="43"/>
        <v>5343.03</v>
      </c>
      <c r="CH549" s="70">
        <f t="shared" si="44"/>
        <v>187.404</v>
      </c>
      <c r="CI549" s="70">
        <f t="shared" si="45"/>
        <v>1695.7919999999999</v>
      </c>
      <c r="CJ549" s="70">
        <f t="shared" si="46"/>
        <v>6844.6980000000003</v>
      </c>
      <c r="CK549" s="70">
        <f t="shared" si="46"/>
        <v>5159.3220000000001</v>
      </c>
      <c r="CL549" s="70">
        <f t="shared" si="42"/>
        <v>6436.92</v>
      </c>
      <c r="CM549" s="61"/>
      <c r="CN549" s="61"/>
      <c r="CO549" s="61"/>
      <c r="CP549" s="61"/>
      <c r="CQ549" s="61"/>
      <c r="CR549" s="61"/>
      <c r="CS549" s="61"/>
      <c r="CT549" s="61"/>
      <c r="CU549" s="61"/>
      <c r="CV549" s="61"/>
      <c r="CW549" s="61"/>
      <c r="CX549" s="61"/>
      <c r="CY549" s="61"/>
      <c r="CZ549" s="61"/>
      <c r="DA549" s="61"/>
      <c r="DB549" s="61"/>
      <c r="DC549" s="61"/>
      <c r="DD549" s="61"/>
      <c r="DE549" s="61"/>
      <c r="DF549" s="61"/>
      <c r="DG549" s="61"/>
      <c r="DH549" s="61"/>
      <c r="DI549" s="61"/>
      <c r="DJ549" s="61"/>
      <c r="DK549" s="61"/>
      <c r="DL549" s="61"/>
      <c r="DM549" s="61"/>
      <c r="DN549" s="61"/>
      <c r="DO549" s="61"/>
      <c r="DP549" s="61"/>
      <c r="DQ549" s="61"/>
      <c r="DR549" s="61"/>
      <c r="DS549" s="61"/>
      <c r="DT549" s="61"/>
      <c r="DU549" s="61"/>
      <c r="DV549" s="61"/>
      <c r="DW549" s="61"/>
      <c r="DX549" s="61"/>
      <c r="DY549" s="61"/>
      <c r="DZ549" s="61"/>
      <c r="EA549" s="61"/>
      <c r="EB549" s="61"/>
      <c r="EC549" s="61"/>
      <c r="ED549" s="61"/>
      <c r="EE549" s="61"/>
      <c r="EF549" s="61"/>
      <c r="EG549" s="61"/>
      <c r="EH549" s="61"/>
      <c r="EI549" s="61"/>
      <c r="EJ549" s="61"/>
      <c r="EK549" s="61"/>
      <c r="EL549" s="61"/>
      <c r="EM549" s="61"/>
      <c r="EN549" s="61"/>
      <c r="EO549" s="61"/>
      <c r="EP549" s="61"/>
      <c r="EQ549" s="61"/>
      <c r="ER549" s="61"/>
      <c r="ES549" s="61"/>
      <c r="ET549" s="61"/>
      <c r="EU549" s="61"/>
      <c r="EV549" s="61"/>
      <c r="EW549" s="61"/>
    </row>
    <row r="550" spans="1:153">
      <c r="A550" s="56">
        <v>43313</v>
      </c>
      <c r="B550" s="57">
        <v>2018</v>
      </c>
      <c r="C550" s="71">
        <v>22.286000000000001</v>
      </c>
      <c r="D550" s="61">
        <v>0.30399999999999999</v>
      </c>
      <c r="E550" s="61">
        <v>4101.9089999999997</v>
      </c>
      <c r="F550" s="61">
        <v>172.28</v>
      </c>
      <c r="G550" s="61">
        <v>21.981999999999999</v>
      </c>
      <c r="H550" s="61">
        <v>281</v>
      </c>
      <c r="I550" s="61">
        <v>263.27999999999997</v>
      </c>
      <c r="J550" s="61">
        <v>17.72</v>
      </c>
      <c r="K550" s="61">
        <v>3424.886</v>
      </c>
      <c r="L550" s="61">
        <v>-317.60599999999999</v>
      </c>
      <c r="M550" s="61">
        <v>4437.2349999999997</v>
      </c>
      <c r="N550" s="61">
        <v>186.364</v>
      </c>
      <c r="O550" s="71">
        <v>23.779</v>
      </c>
      <c r="P550" s="60">
        <v>202.76300000000001</v>
      </c>
      <c r="Q550" s="61">
        <v>217.345</v>
      </c>
      <c r="R550" s="61">
        <v>459.99599999999998</v>
      </c>
      <c r="S550" s="61">
        <v>953.70799999999997</v>
      </c>
      <c r="T550" s="61">
        <v>200.31</v>
      </c>
      <c r="U550" s="61">
        <v>17.831</v>
      </c>
      <c r="V550" s="61">
        <v>95.009</v>
      </c>
      <c r="W550" s="61">
        <v>180.56299999999999</v>
      </c>
      <c r="X550" s="61">
        <v>194.51599999999999</v>
      </c>
      <c r="Y550" s="61">
        <v>39.887999999999998</v>
      </c>
      <c r="Z550" s="61">
        <v>211.642</v>
      </c>
      <c r="AA550" s="61">
        <v>446.04599999999999</v>
      </c>
      <c r="AB550" s="60">
        <v>939.75800000000004</v>
      </c>
      <c r="AC550" s="62">
        <v>381.53800000000001</v>
      </c>
      <c r="AD550" s="61">
        <v>16.024999999999999</v>
      </c>
      <c r="AE550" s="61">
        <v>2.0960000000000001</v>
      </c>
      <c r="AF550" s="61">
        <v>424</v>
      </c>
      <c r="AG550" s="61">
        <v>1134</v>
      </c>
      <c r="AH550" s="61">
        <v>107</v>
      </c>
      <c r="AI550" s="61">
        <v>698.53800000000001</v>
      </c>
      <c r="AJ550" s="61">
        <v>29.338999999999999</v>
      </c>
      <c r="AK550" s="62">
        <v>3.8380000000000001</v>
      </c>
      <c r="AL550" s="63">
        <f t="shared" si="47"/>
        <v>29.338999999999999</v>
      </c>
      <c r="AM550" s="64">
        <v>3.8380000000000001</v>
      </c>
      <c r="AN550" s="65" t="s">
        <v>121</v>
      </c>
      <c r="AO550" s="61" t="s">
        <v>121</v>
      </c>
      <c r="AP550" s="61">
        <v>44.085999999999999</v>
      </c>
      <c r="AQ550" s="61">
        <v>1.8520000000000001</v>
      </c>
      <c r="AR550" s="61">
        <v>0.23599999999999999</v>
      </c>
      <c r="AS550" s="61" t="s">
        <v>122</v>
      </c>
      <c r="AT550" s="61">
        <v>52</v>
      </c>
      <c r="AU550" s="61">
        <v>2</v>
      </c>
      <c r="AV550" s="61">
        <v>42.085999999999999</v>
      </c>
      <c r="AW550" s="61">
        <v>1.768</v>
      </c>
      <c r="AX550" s="65">
        <v>0.22600000000000001</v>
      </c>
      <c r="AY550" s="66">
        <v>3.363</v>
      </c>
      <c r="AZ550" s="61">
        <v>22.626000000000001</v>
      </c>
      <c r="BA550" s="61">
        <v>44.576999999999998</v>
      </c>
      <c r="BB550" s="61">
        <v>70.566000000000003</v>
      </c>
      <c r="BC550" s="61">
        <v>0.159</v>
      </c>
      <c r="BD550" s="61">
        <v>1.673</v>
      </c>
      <c r="BE550" s="61">
        <v>9.5449999999999999</v>
      </c>
      <c r="BF550" s="61">
        <v>9.9000000000000005E-2</v>
      </c>
      <c r="BG550" s="61">
        <v>7.1740000000000004</v>
      </c>
      <c r="BH550" s="61">
        <v>4.0490000000000004</v>
      </c>
      <c r="BI550" s="61">
        <v>2.3079999999999998</v>
      </c>
      <c r="BJ550" s="61">
        <v>13.532</v>
      </c>
      <c r="BK550" s="66">
        <v>25.007000000000001</v>
      </c>
      <c r="BL550" s="67">
        <v>104.42</v>
      </c>
      <c r="BM550" s="61">
        <v>23.779</v>
      </c>
      <c r="BN550" s="61">
        <v>3.8380000000000001</v>
      </c>
      <c r="BO550" s="61">
        <v>0.22600000000000001</v>
      </c>
      <c r="BP550" s="61">
        <v>132.26300000000001</v>
      </c>
      <c r="BQ550" s="61">
        <v>199.322</v>
      </c>
      <c r="BR550" s="61">
        <v>12.436999999999999</v>
      </c>
      <c r="BS550" s="61">
        <v>60.351999999999997</v>
      </c>
      <c r="BT550" s="61">
        <v>180.41499999999999</v>
      </c>
      <c r="BU550" s="61">
        <v>19.835000000000001</v>
      </c>
      <c r="BV550" s="61">
        <v>22.937999999999999</v>
      </c>
      <c r="BW550" s="61">
        <v>42.771999999999998</v>
      </c>
      <c r="BX550" s="67">
        <v>495.29899999999998</v>
      </c>
      <c r="BY550" s="68">
        <v>166454</v>
      </c>
      <c r="BZ550" s="68">
        <v>130065</v>
      </c>
      <c r="CA550" s="69">
        <v>5457</v>
      </c>
      <c r="CB550" s="68">
        <v>132266</v>
      </c>
      <c r="CC550" s="68">
        <v>39605</v>
      </c>
      <c r="CD550" s="68">
        <v>157008</v>
      </c>
      <c r="CE550" s="72">
        <v>5338.2</v>
      </c>
      <c r="CF550" s="72">
        <v>6991.74</v>
      </c>
      <c r="CG550" s="70">
        <f t="shared" si="43"/>
        <v>5555.1719999999996</v>
      </c>
      <c r="CH550" s="70">
        <f t="shared" si="44"/>
        <v>229.19399999999999</v>
      </c>
      <c r="CI550" s="70">
        <f t="shared" si="45"/>
        <v>1663.41</v>
      </c>
      <c r="CJ550" s="70">
        <f t="shared" si="46"/>
        <v>6991.0680000000002</v>
      </c>
      <c r="CK550" s="70">
        <f t="shared" si="46"/>
        <v>5462.73</v>
      </c>
      <c r="CL550" s="70">
        <f t="shared" si="42"/>
        <v>6594.3360000000002</v>
      </c>
      <c r="CM550" s="61"/>
      <c r="CN550" s="61"/>
      <c r="CO550" s="61"/>
      <c r="CP550" s="61"/>
      <c r="CQ550" s="61"/>
      <c r="CR550" s="61"/>
      <c r="CS550" s="61"/>
      <c r="CT550" s="61"/>
      <c r="CU550" s="61"/>
      <c r="CV550" s="61"/>
      <c r="CW550" s="61"/>
      <c r="CX550" s="61"/>
      <c r="CY550" s="61"/>
      <c r="CZ550" s="61"/>
      <c r="DA550" s="61"/>
      <c r="DB550" s="61"/>
      <c r="DC550" s="61"/>
      <c r="DD550" s="61"/>
      <c r="DE550" s="61"/>
      <c r="DF550" s="61"/>
      <c r="DG550" s="61"/>
      <c r="DH550" s="61"/>
      <c r="DI550" s="61"/>
      <c r="DJ550" s="61"/>
      <c r="DK550" s="61"/>
      <c r="DL550" s="61"/>
      <c r="DM550" s="61"/>
      <c r="DN550" s="61"/>
      <c r="DO550" s="61"/>
      <c r="DP550" s="61"/>
      <c r="DQ550" s="61"/>
      <c r="DR550" s="61"/>
      <c r="DS550" s="61"/>
      <c r="DT550" s="61"/>
      <c r="DU550" s="61"/>
      <c r="DV550" s="61"/>
      <c r="DW550" s="61"/>
      <c r="DX550" s="61"/>
      <c r="DY550" s="61"/>
      <c r="DZ550" s="61"/>
      <c r="EA550" s="61"/>
      <c r="EB550" s="61"/>
      <c r="EC550" s="61"/>
      <c r="ED550" s="61"/>
      <c r="EE550" s="61"/>
      <c r="EF550" s="61"/>
      <c r="EG550" s="61"/>
      <c r="EH550" s="61"/>
      <c r="EI550" s="61"/>
      <c r="EJ550" s="61"/>
      <c r="EK550" s="61"/>
      <c r="EL550" s="61"/>
      <c r="EM550" s="61"/>
      <c r="EN550" s="61"/>
      <c r="EO550" s="61"/>
      <c r="EP550" s="61"/>
      <c r="EQ550" s="61"/>
      <c r="ER550" s="61"/>
      <c r="ES550" s="61"/>
      <c r="ET550" s="61"/>
      <c r="EU550" s="61"/>
      <c r="EV550" s="61"/>
      <c r="EW550" s="61"/>
    </row>
    <row r="551" spans="1:153">
      <c r="A551" s="56">
        <v>43344</v>
      </c>
      <c r="B551" s="57">
        <v>2018</v>
      </c>
      <c r="C551" s="71">
        <v>21.265999999999998</v>
      </c>
      <c r="D551" s="61">
        <v>0.28999999999999998</v>
      </c>
      <c r="E551" s="61">
        <v>3914.201</v>
      </c>
      <c r="F551" s="61">
        <v>164.39599999999999</v>
      </c>
      <c r="G551" s="61">
        <v>20.975999999999999</v>
      </c>
      <c r="H551" s="61">
        <v>277</v>
      </c>
      <c r="I551" s="61">
        <v>190.85</v>
      </c>
      <c r="J551" s="61">
        <v>86.15</v>
      </c>
      <c r="K551" s="61">
        <v>3371.3539999999998</v>
      </c>
      <c r="L551" s="61">
        <v>-53.531999999999996</v>
      </c>
      <c r="M551" s="61">
        <v>4053.8829999999998</v>
      </c>
      <c r="N551" s="61">
        <v>170.26300000000001</v>
      </c>
      <c r="O551" s="71">
        <v>21.725000000000001</v>
      </c>
      <c r="P551" s="60">
        <v>190.28899999999999</v>
      </c>
      <c r="Q551" s="61">
        <v>200.911</v>
      </c>
      <c r="R551" s="61">
        <v>427.721</v>
      </c>
      <c r="S551" s="61">
        <v>872.33699999999999</v>
      </c>
      <c r="T551" s="61">
        <v>174.369</v>
      </c>
      <c r="U551" s="61">
        <v>17.3</v>
      </c>
      <c r="V551" s="61">
        <v>84.454999999999998</v>
      </c>
      <c r="W551" s="61">
        <v>168.49199999999999</v>
      </c>
      <c r="X551" s="61">
        <v>181.76</v>
      </c>
      <c r="Y551" s="61">
        <v>36.521000000000001</v>
      </c>
      <c r="Z551" s="61">
        <v>190.08600000000001</v>
      </c>
      <c r="AA551" s="61">
        <v>408.36700000000002</v>
      </c>
      <c r="AB551" s="60">
        <v>852.98299999999995</v>
      </c>
      <c r="AC551" s="62">
        <v>767.82</v>
      </c>
      <c r="AD551" s="61">
        <v>32.247999999999998</v>
      </c>
      <c r="AE551" s="61">
        <v>4.218</v>
      </c>
      <c r="AF551" s="61">
        <v>324</v>
      </c>
      <c r="AG551" s="61">
        <v>1099</v>
      </c>
      <c r="AH551" s="61">
        <v>-35</v>
      </c>
      <c r="AI551" s="61">
        <v>1126.82</v>
      </c>
      <c r="AJ551" s="61">
        <v>47.326000000000001</v>
      </c>
      <c r="AK551" s="62">
        <v>6.1909999999999998</v>
      </c>
      <c r="AL551" s="63">
        <f t="shared" si="47"/>
        <v>47.326000000000001</v>
      </c>
      <c r="AM551" s="64">
        <v>6.1909999999999998</v>
      </c>
      <c r="AN551" s="65" t="s">
        <v>121</v>
      </c>
      <c r="AO551" s="61" t="s">
        <v>121</v>
      </c>
      <c r="AP551" s="61">
        <v>70.992999999999995</v>
      </c>
      <c r="AQ551" s="61">
        <v>2.9820000000000002</v>
      </c>
      <c r="AR551" s="61">
        <v>0.38</v>
      </c>
      <c r="AS551" s="61" t="s">
        <v>122</v>
      </c>
      <c r="AT551" s="61">
        <v>43</v>
      </c>
      <c r="AU551" s="61">
        <v>-9</v>
      </c>
      <c r="AV551" s="61">
        <v>79.992999999999995</v>
      </c>
      <c r="AW551" s="61">
        <v>3.36</v>
      </c>
      <c r="AX551" s="65">
        <v>0.42899999999999999</v>
      </c>
      <c r="AY551" s="66">
        <v>3.2549999999999999</v>
      </c>
      <c r="AZ551" s="61">
        <v>19.893999999999998</v>
      </c>
      <c r="BA551" s="61">
        <v>43.139000000000003</v>
      </c>
      <c r="BB551" s="61">
        <v>66.287999999999997</v>
      </c>
      <c r="BC551" s="61">
        <v>0.14199999999999999</v>
      </c>
      <c r="BD551" s="61">
        <v>1.619</v>
      </c>
      <c r="BE551" s="61">
        <v>8.5370000000000008</v>
      </c>
      <c r="BF551" s="61">
        <v>0.11</v>
      </c>
      <c r="BG551" s="61">
        <v>6.8609999999999998</v>
      </c>
      <c r="BH551" s="61">
        <v>3.6019999999999999</v>
      </c>
      <c r="BI551" s="61">
        <v>1.986</v>
      </c>
      <c r="BJ551" s="61">
        <v>12.448</v>
      </c>
      <c r="BK551" s="66">
        <v>22.856000000000002</v>
      </c>
      <c r="BL551" s="67">
        <v>89.822999999999993</v>
      </c>
      <c r="BM551" s="61">
        <v>21.725000000000001</v>
      </c>
      <c r="BN551" s="61">
        <v>6.1909999999999998</v>
      </c>
      <c r="BO551" s="61">
        <v>0.42899999999999999</v>
      </c>
      <c r="BP551" s="61">
        <v>118.167</v>
      </c>
      <c r="BQ551" s="61">
        <v>173.405</v>
      </c>
      <c r="BR551" s="61">
        <v>12.081</v>
      </c>
      <c r="BS551" s="61">
        <v>53.777000000000001</v>
      </c>
      <c r="BT551" s="61">
        <v>168.32900000000001</v>
      </c>
      <c r="BU551" s="61">
        <v>16.949000000000002</v>
      </c>
      <c r="BV551" s="61">
        <v>20.516999999999999</v>
      </c>
      <c r="BW551" s="61">
        <v>37.466000000000001</v>
      </c>
      <c r="BX551" s="67">
        <v>445.05900000000003</v>
      </c>
      <c r="BY551" s="68">
        <v>156900</v>
      </c>
      <c r="BZ551" s="68">
        <v>120665</v>
      </c>
      <c r="CA551" s="69">
        <v>5147</v>
      </c>
      <c r="CB551" s="68">
        <v>137249</v>
      </c>
      <c r="CC551" s="68">
        <v>38945</v>
      </c>
      <c r="CD551" s="68">
        <v>146672</v>
      </c>
      <c r="CE551" s="72">
        <v>4876.2</v>
      </c>
      <c r="CF551" s="72">
        <v>6589.8000000000011</v>
      </c>
      <c r="CG551" s="70">
        <f t="shared" si="43"/>
        <v>5764.4579999999996</v>
      </c>
      <c r="CH551" s="70">
        <f t="shared" si="44"/>
        <v>216.17400000000001</v>
      </c>
      <c r="CI551" s="70">
        <f t="shared" si="45"/>
        <v>1635.69</v>
      </c>
      <c r="CJ551" s="70">
        <f t="shared" si="46"/>
        <v>6589.8</v>
      </c>
      <c r="CK551" s="70">
        <f t="shared" si="46"/>
        <v>5067.93</v>
      </c>
      <c r="CL551" s="70">
        <f t="shared" si="42"/>
        <v>6160.2240000000002</v>
      </c>
      <c r="CM551" s="61"/>
      <c r="CN551" s="61"/>
      <c r="CO551" s="61"/>
      <c r="CP551" s="61"/>
      <c r="CQ551" s="61"/>
      <c r="CR551" s="61"/>
      <c r="CS551" s="61"/>
      <c r="CT551" s="61"/>
      <c r="CU551" s="61"/>
      <c r="CV551" s="61"/>
      <c r="CW551" s="61"/>
      <c r="CX551" s="61"/>
      <c r="CY551" s="61"/>
      <c r="CZ551" s="61"/>
      <c r="DA551" s="61"/>
      <c r="DB551" s="61"/>
      <c r="DC551" s="61"/>
      <c r="DD551" s="61"/>
      <c r="DE551" s="61"/>
      <c r="DF551" s="61"/>
      <c r="DG551" s="61"/>
      <c r="DH551" s="61"/>
      <c r="DI551" s="61"/>
      <c r="DJ551" s="61"/>
      <c r="DK551" s="61"/>
      <c r="DL551" s="61"/>
      <c r="DM551" s="61"/>
      <c r="DN551" s="61"/>
      <c r="DO551" s="61"/>
      <c r="DP551" s="61"/>
      <c r="DQ551" s="61"/>
      <c r="DR551" s="61"/>
      <c r="DS551" s="61"/>
      <c r="DT551" s="61"/>
      <c r="DU551" s="61"/>
      <c r="DV551" s="61"/>
      <c r="DW551" s="61"/>
      <c r="DX551" s="61"/>
      <c r="DY551" s="61"/>
      <c r="DZ551" s="61"/>
      <c r="EA551" s="61"/>
      <c r="EB551" s="61"/>
      <c r="EC551" s="61"/>
      <c r="ED551" s="61"/>
      <c r="EE551" s="61"/>
      <c r="EF551" s="61"/>
      <c r="EG551" s="61"/>
      <c r="EH551" s="61"/>
      <c r="EI551" s="61"/>
      <c r="EJ551" s="61"/>
      <c r="EK551" s="61"/>
      <c r="EL551" s="61"/>
      <c r="EM551" s="61"/>
      <c r="EN551" s="61"/>
      <c r="EO551" s="61"/>
      <c r="EP551" s="61"/>
      <c r="EQ551" s="61"/>
      <c r="ER551" s="61"/>
      <c r="ES551" s="61"/>
      <c r="ET551" s="61"/>
      <c r="EU551" s="61"/>
      <c r="EV551" s="61"/>
      <c r="EW551" s="61"/>
    </row>
    <row r="552" spans="1:153">
      <c r="A552" s="56">
        <v>43374</v>
      </c>
      <c r="B552" s="57">
        <v>2018</v>
      </c>
      <c r="C552" s="71">
        <v>22.114000000000001</v>
      </c>
      <c r="D552" s="61">
        <v>0.30099999999999999</v>
      </c>
      <c r="E552" s="61">
        <v>4070.2739999999999</v>
      </c>
      <c r="F552" s="61">
        <v>170.952</v>
      </c>
      <c r="G552" s="61">
        <v>21.812999999999999</v>
      </c>
      <c r="H552" s="61">
        <v>467</v>
      </c>
      <c r="I552" s="61">
        <v>203.63800000000001</v>
      </c>
      <c r="J552" s="61">
        <v>263.36200000000002</v>
      </c>
      <c r="K552" s="61">
        <v>3647.0349999999999</v>
      </c>
      <c r="L552" s="61">
        <v>275.68200000000002</v>
      </c>
      <c r="M552" s="61">
        <v>4057.9540000000002</v>
      </c>
      <c r="N552" s="61">
        <v>170.434</v>
      </c>
      <c r="O552" s="71">
        <v>21.747</v>
      </c>
      <c r="P552" s="60">
        <v>196.09700000000001</v>
      </c>
      <c r="Q552" s="61">
        <v>212.511</v>
      </c>
      <c r="R552" s="61">
        <v>449.55399999999997</v>
      </c>
      <c r="S552" s="61">
        <v>909.44500000000005</v>
      </c>
      <c r="T552" s="61">
        <v>177.84899999999999</v>
      </c>
      <c r="U552" s="61">
        <v>16.975999999999999</v>
      </c>
      <c r="V552" s="61">
        <v>72.244</v>
      </c>
      <c r="W552" s="61">
        <v>192.822</v>
      </c>
      <c r="X552" s="61">
        <v>186.7</v>
      </c>
      <c r="Y552" s="61">
        <v>40.945</v>
      </c>
      <c r="Z552" s="61">
        <v>203.303</v>
      </c>
      <c r="AA552" s="61">
        <v>430.94900000000001</v>
      </c>
      <c r="AB552" s="60">
        <v>890.84</v>
      </c>
      <c r="AC552" s="62">
        <v>928.69899999999996</v>
      </c>
      <c r="AD552" s="61">
        <v>39.005000000000003</v>
      </c>
      <c r="AE552" s="61">
        <v>5.1020000000000003</v>
      </c>
      <c r="AF552" s="61">
        <v>341</v>
      </c>
      <c r="AG552" s="61">
        <v>1258</v>
      </c>
      <c r="AH552" s="61">
        <v>159</v>
      </c>
      <c r="AI552" s="61">
        <v>1110.6990000000001</v>
      </c>
      <c r="AJ552" s="61">
        <v>46.649000000000001</v>
      </c>
      <c r="AK552" s="62">
        <v>6.1020000000000003</v>
      </c>
      <c r="AL552" s="63">
        <f t="shared" si="47"/>
        <v>46.649000000000001</v>
      </c>
      <c r="AM552" s="64">
        <v>6.1020000000000003</v>
      </c>
      <c r="AN552" s="65" t="s">
        <v>121</v>
      </c>
      <c r="AO552" s="61" t="s">
        <v>121</v>
      </c>
      <c r="AP552" s="61">
        <v>60.572000000000003</v>
      </c>
      <c r="AQ552" s="61">
        <v>2.544</v>
      </c>
      <c r="AR552" s="61">
        <v>0.32500000000000001</v>
      </c>
      <c r="AS552" s="61" t="s">
        <v>122</v>
      </c>
      <c r="AT552" s="61">
        <v>47</v>
      </c>
      <c r="AU552" s="61">
        <v>4</v>
      </c>
      <c r="AV552" s="61">
        <v>56.572000000000003</v>
      </c>
      <c r="AW552" s="61">
        <v>2.3759999999999999</v>
      </c>
      <c r="AX552" s="65">
        <v>0.30299999999999999</v>
      </c>
      <c r="AY552" s="66">
        <v>3.363</v>
      </c>
      <c r="AZ552" s="61">
        <v>17.873999999999999</v>
      </c>
      <c r="BA552" s="61">
        <v>44.576999999999998</v>
      </c>
      <c r="BB552" s="61">
        <v>65.813999999999993</v>
      </c>
      <c r="BC552" s="61">
        <v>0.129</v>
      </c>
      <c r="BD552" s="61">
        <v>1.673</v>
      </c>
      <c r="BE552" s="61">
        <v>7.5129999999999999</v>
      </c>
      <c r="BF552" s="61">
        <v>0.13700000000000001</v>
      </c>
      <c r="BG552" s="61">
        <v>7.0439999999999996</v>
      </c>
      <c r="BH552" s="61">
        <v>3.8679999999999999</v>
      </c>
      <c r="BI552" s="61">
        <v>2.1890000000000001</v>
      </c>
      <c r="BJ552" s="61">
        <v>13.1</v>
      </c>
      <c r="BK552" s="66">
        <v>22.553000000000001</v>
      </c>
      <c r="BL552" s="67">
        <v>99.003</v>
      </c>
      <c r="BM552" s="61">
        <v>21.747</v>
      </c>
      <c r="BN552" s="61">
        <v>6.1020000000000003</v>
      </c>
      <c r="BO552" s="61">
        <v>0.30299999999999999</v>
      </c>
      <c r="BP552" s="61">
        <v>127.155</v>
      </c>
      <c r="BQ552" s="61">
        <v>176.74199999999999</v>
      </c>
      <c r="BR552" s="61">
        <v>11.583</v>
      </c>
      <c r="BS552" s="61">
        <v>44.819000000000003</v>
      </c>
      <c r="BT552" s="61">
        <v>192.601</v>
      </c>
      <c r="BU552" s="61">
        <v>16.629000000000001</v>
      </c>
      <c r="BV552" s="61">
        <v>22.579000000000001</v>
      </c>
      <c r="BW552" s="61">
        <v>39.207999999999998</v>
      </c>
      <c r="BX552" s="67">
        <v>464.95299999999997</v>
      </c>
      <c r="BY552" s="68">
        <v>156097</v>
      </c>
      <c r="BZ552" s="68">
        <v>134782</v>
      </c>
      <c r="CA552" s="69">
        <v>5001</v>
      </c>
      <c r="CB552" s="68">
        <v>124773</v>
      </c>
      <c r="CC552" s="68">
        <v>41365</v>
      </c>
      <c r="CD552" s="68">
        <v>145390</v>
      </c>
      <c r="CE552" s="72">
        <v>5312.1600000000008</v>
      </c>
      <c r="CF552" s="72">
        <v>6562.08</v>
      </c>
      <c r="CG552" s="70">
        <f t="shared" si="43"/>
        <v>5240.4660000000003</v>
      </c>
      <c r="CH552" s="70">
        <f t="shared" si="44"/>
        <v>210.042</v>
      </c>
      <c r="CI552" s="70">
        <f t="shared" si="45"/>
        <v>1737.33</v>
      </c>
      <c r="CJ552" s="70">
        <f t="shared" si="46"/>
        <v>6556.0739999999996</v>
      </c>
      <c r="CK552" s="70">
        <f t="shared" si="46"/>
        <v>5660.8440000000001</v>
      </c>
      <c r="CL552" s="70">
        <f t="shared" si="42"/>
        <v>6106.38</v>
      </c>
      <c r="CM552" s="61"/>
      <c r="CN552" s="61"/>
      <c r="CO552" s="61"/>
      <c r="CP552" s="61"/>
      <c r="CQ552" s="61"/>
      <c r="CR552" s="61"/>
      <c r="CS552" s="61"/>
      <c r="CT552" s="61"/>
      <c r="CU552" s="61"/>
      <c r="CV552" s="61"/>
      <c r="CW552" s="61"/>
      <c r="CX552" s="61"/>
      <c r="CY552" s="61"/>
      <c r="CZ552" s="61"/>
      <c r="DA552" s="61"/>
      <c r="DB552" s="61"/>
      <c r="DC552" s="61"/>
      <c r="DD552" s="61"/>
      <c r="DE552" s="61"/>
      <c r="DF552" s="61"/>
      <c r="DG552" s="61"/>
      <c r="DH552" s="61"/>
      <c r="DI552" s="61"/>
      <c r="DJ552" s="61"/>
      <c r="DK552" s="61"/>
      <c r="DL552" s="61"/>
      <c r="DM552" s="61"/>
      <c r="DN552" s="61"/>
      <c r="DO552" s="61"/>
      <c r="DP552" s="61"/>
      <c r="DQ552" s="61"/>
      <c r="DR552" s="61"/>
      <c r="DS552" s="61"/>
      <c r="DT552" s="61"/>
      <c r="DU552" s="61"/>
      <c r="DV552" s="61"/>
      <c r="DW552" s="61"/>
      <c r="DX552" s="61"/>
      <c r="DY552" s="61"/>
      <c r="DZ552" s="61"/>
      <c r="EA552" s="61"/>
      <c r="EB552" s="61"/>
      <c r="EC552" s="61"/>
      <c r="ED552" s="61"/>
      <c r="EE552" s="61"/>
      <c r="EF552" s="61"/>
      <c r="EG552" s="61"/>
      <c r="EH552" s="61"/>
      <c r="EI552" s="61"/>
      <c r="EJ552" s="61"/>
      <c r="EK552" s="61"/>
      <c r="EL552" s="61"/>
      <c r="EM552" s="61"/>
      <c r="EN552" s="61"/>
      <c r="EO552" s="61"/>
      <c r="EP552" s="61"/>
      <c r="EQ552" s="61"/>
      <c r="ER552" s="61"/>
      <c r="ES552" s="61"/>
      <c r="ET552" s="61"/>
      <c r="EU552" s="61"/>
      <c r="EV552" s="61"/>
      <c r="EW552" s="61"/>
    </row>
    <row r="553" spans="1:153">
      <c r="A553" s="56">
        <v>43405</v>
      </c>
      <c r="B553" s="57">
        <v>2018</v>
      </c>
      <c r="C553" s="71">
        <v>20.731999999999999</v>
      </c>
      <c r="D553" s="61">
        <v>0.28199999999999997</v>
      </c>
      <c r="E553" s="61">
        <v>3816.0239999999999</v>
      </c>
      <c r="F553" s="61">
        <v>160.273</v>
      </c>
      <c r="G553" s="61">
        <v>20.45</v>
      </c>
      <c r="H553" s="61">
        <v>473</v>
      </c>
      <c r="I553" s="61">
        <v>142.524</v>
      </c>
      <c r="J553" s="61">
        <v>330.476</v>
      </c>
      <c r="K553" s="61">
        <v>4039.3249999999998</v>
      </c>
      <c r="L553" s="61">
        <v>392.28899999999999</v>
      </c>
      <c r="M553" s="61">
        <v>3754.2109999999998</v>
      </c>
      <c r="N553" s="61">
        <v>157.67699999999999</v>
      </c>
      <c r="O553" s="71">
        <v>20.119</v>
      </c>
      <c r="P553" s="60">
        <v>193.44300000000001</v>
      </c>
      <c r="Q553" s="61">
        <v>206.40299999999999</v>
      </c>
      <c r="R553" s="61">
        <v>440.78500000000003</v>
      </c>
      <c r="S553" s="61">
        <v>913.35699999999997</v>
      </c>
      <c r="T553" s="61">
        <v>199.36199999999999</v>
      </c>
      <c r="U553" s="61">
        <v>17.327000000000002</v>
      </c>
      <c r="V553" s="61">
        <v>55.582999999999998</v>
      </c>
      <c r="W553" s="61">
        <v>200.29900000000001</v>
      </c>
      <c r="X553" s="61">
        <v>184.714</v>
      </c>
      <c r="Y553" s="61">
        <v>40.939</v>
      </c>
      <c r="Z553" s="61">
        <v>195.97800000000001</v>
      </c>
      <c r="AA553" s="61">
        <v>421.63200000000001</v>
      </c>
      <c r="AB553" s="60">
        <v>894.20299999999997</v>
      </c>
      <c r="AC553" s="62">
        <v>960.12900000000002</v>
      </c>
      <c r="AD553" s="61">
        <v>40.325000000000003</v>
      </c>
      <c r="AE553" s="61">
        <v>5.2750000000000004</v>
      </c>
      <c r="AF553" s="61">
        <v>344</v>
      </c>
      <c r="AG553" s="61">
        <v>1435</v>
      </c>
      <c r="AH553" s="61">
        <v>177</v>
      </c>
      <c r="AI553" s="61">
        <v>1127.1289999999999</v>
      </c>
      <c r="AJ553" s="61">
        <v>47.338999999999999</v>
      </c>
      <c r="AK553" s="62">
        <v>6.1920000000000002</v>
      </c>
      <c r="AL553" s="63">
        <f t="shared" si="47"/>
        <v>47.338999999999999</v>
      </c>
      <c r="AM553" s="64">
        <v>6.1920000000000002</v>
      </c>
      <c r="AN553" s="65" t="s">
        <v>121</v>
      </c>
      <c r="AO553" s="61" t="s">
        <v>121</v>
      </c>
      <c r="AP553" s="61">
        <v>64.751999999999995</v>
      </c>
      <c r="AQ553" s="61">
        <v>2.72</v>
      </c>
      <c r="AR553" s="61">
        <v>0.34699999999999998</v>
      </c>
      <c r="AS553" s="61" t="s">
        <v>122</v>
      </c>
      <c r="AT553" s="61">
        <v>53</v>
      </c>
      <c r="AU553" s="61">
        <v>6</v>
      </c>
      <c r="AV553" s="61">
        <v>58.752000000000002</v>
      </c>
      <c r="AW553" s="61">
        <v>2.468</v>
      </c>
      <c r="AX553" s="65">
        <v>0.315</v>
      </c>
      <c r="AY553" s="66">
        <v>3.2549999999999999</v>
      </c>
      <c r="AZ553" s="61">
        <v>14.278</v>
      </c>
      <c r="BA553" s="61">
        <v>43.139000000000003</v>
      </c>
      <c r="BB553" s="61">
        <v>60.671999999999997</v>
      </c>
      <c r="BC553" s="61">
        <v>0.14499999999999999</v>
      </c>
      <c r="BD553" s="61">
        <v>1.619</v>
      </c>
      <c r="BE553" s="61">
        <v>5.9349999999999996</v>
      </c>
      <c r="BF553" s="61">
        <v>0.14699999999999999</v>
      </c>
      <c r="BG553" s="61">
        <v>6.835</v>
      </c>
      <c r="BH553" s="61">
        <v>3.8759999999999999</v>
      </c>
      <c r="BI553" s="61">
        <v>2.1059999999999999</v>
      </c>
      <c r="BJ553" s="61">
        <v>12.818</v>
      </c>
      <c r="BK553" s="66">
        <v>20.664999999999999</v>
      </c>
      <c r="BL553" s="67">
        <v>95.283000000000001</v>
      </c>
      <c r="BM553" s="61">
        <v>20.119</v>
      </c>
      <c r="BN553" s="61">
        <v>6.1920000000000002</v>
      </c>
      <c r="BO553" s="61">
        <v>0.315</v>
      </c>
      <c r="BP553" s="61">
        <v>121.90900000000001</v>
      </c>
      <c r="BQ553" s="61">
        <v>198.161</v>
      </c>
      <c r="BR553" s="61">
        <v>12.108000000000001</v>
      </c>
      <c r="BS553" s="61">
        <v>33.762999999999998</v>
      </c>
      <c r="BT553" s="61">
        <v>200.07400000000001</v>
      </c>
      <c r="BU553" s="61">
        <v>17.001000000000001</v>
      </c>
      <c r="BV553" s="61">
        <v>22.757999999999999</v>
      </c>
      <c r="BW553" s="61">
        <v>39.759</v>
      </c>
      <c r="BX553" s="67">
        <v>483.86599999999999</v>
      </c>
      <c r="BY553" s="68">
        <v>160503</v>
      </c>
      <c r="BZ553" s="68">
        <v>126115</v>
      </c>
      <c r="CA553" s="69">
        <v>6799</v>
      </c>
      <c r="CB553" s="68">
        <v>126543</v>
      </c>
      <c r="CC553" s="68">
        <v>41751</v>
      </c>
      <c r="CD553" s="68">
        <v>149526</v>
      </c>
      <c r="CE553" s="72">
        <v>4737.5999999999995</v>
      </c>
      <c r="CF553" s="72">
        <v>6741</v>
      </c>
      <c r="CG553" s="70">
        <f t="shared" si="43"/>
        <v>5314.8059999999996</v>
      </c>
      <c r="CH553" s="70">
        <f t="shared" si="44"/>
        <v>285.55799999999999</v>
      </c>
      <c r="CI553" s="70">
        <f t="shared" si="45"/>
        <v>1753.5419999999999</v>
      </c>
      <c r="CJ553" s="70">
        <f t="shared" si="46"/>
        <v>6741.1260000000002</v>
      </c>
      <c r="CK553" s="70">
        <f t="shared" si="46"/>
        <v>5296.83</v>
      </c>
      <c r="CL553" s="70">
        <f t="shared" si="42"/>
        <v>6280.0919999999996</v>
      </c>
      <c r="CM553" s="61"/>
      <c r="CN553" s="61"/>
      <c r="CO553" s="61"/>
      <c r="CP553" s="61"/>
      <c r="CQ553" s="61"/>
      <c r="CR553" s="61"/>
      <c r="CS553" s="61"/>
      <c r="CT553" s="61"/>
      <c r="CU553" s="61"/>
      <c r="CV553" s="61"/>
      <c r="CW553" s="61"/>
      <c r="CX553" s="61"/>
      <c r="CY553" s="61"/>
      <c r="CZ553" s="61"/>
      <c r="DA553" s="61"/>
      <c r="DB553" s="61"/>
      <c r="DC553" s="61"/>
      <c r="DD553" s="61"/>
      <c r="DE553" s="61"/>
      <c r="DF553" s="61"/>
      <c r="DG553" s="61"/>
      <c r="DH553" s="61"/>
      <c r="DI553" s="61"/>
      <c r="DJ553" s="61"/>
      <c r="DK553" s="61"/>
      <c r="DL553" s="61"/>
      <c r="DM553" s="61"/>
      <c r="DN553" s="61"/>
      <c r="DO553" s="61"/>
      <c r="DP553" s="61"/>
      <c r="DQ553" s="61"/>
      <c r="DR553" s="61"/>
      <c r="DS553" s="61"/>
      <c r="DT553" s="61"/>
      <c r="DU553" s="61"/>
      <c r="DV553" s="61"/>
      <c r="DW553" s="61"/>
      <c r="DX553" s="61"/>
      <c r="DY553" s="61"/>
      <c r="DZ553" s="61"/>
      <c r="EA553" s="61"/>
      <c r="EB553" s="61"/>
      <c r="EC553" s="61"/>
      <c r="ED553" s="61"/>
      <c r="EE553" s="61"/>
      <c r="EF553" s="61"/>
      <c r="EG553" s="61"/>
      <c r="EH553" s="61"/>
      <c r="EI553" s="61"/>
      <c r="EJ553" s="61"/>
      <c r="EK553" s="61"/>
      <c r="EL553" s="61"/>
      <c r="EM553" s="61"/>
      <c r="EN553" s="61"/>
      <c r="EO553" s="61"/>
      <c r="EP553" s="61"/>
      <c r="EQ553" s="61"/>
      <c r="ER553" s="61"/>
      <c r="ES553" s="61"/>
      <c r="ET553" s="61"/>
      <c r="EU553" s="61"/>
      <c r="EV553" s="61"/>
      <c r="EW553" s="61"/>
    </row>
    <row r="554" spans="1:153">
      <c r="A554" s="56">
        <v>43435</v>
      </c>
      <c r="B554" s="57">
        <v>2018</v>
      </c>
      <c r="C554" s="71">
        <v>21.704000000000001</v>
      </c>
      <c r="D554" s="61">
        <v>0.29599999999999999</v>
      </c>
      <c r="E554" s="61">
        <v>3994.87</v>
      </c>
      <c r="F554" s="61">
        <v>167.785</v>
      </c>
      <c r="G554" s="61">
        <v>21.408999999999999</v>
      </c>
      <c r="H554" s="61">
        <v>536</v>
      </c>
      <c r="I554" s="61">
        <v>76.930999999999997</v>
      </c>
      <c r="J554" s="61">
        <v>459.06900000000002</v>
      </c>
      <c r="K554" s="61">
        <v>4662.2169999999996</v>
      </c>
      <c r="L554" s="61">
        <v>622.89200000000005</v>
      </c>
      <c r="M554" s="61">
        <v>3831.047</v>
      </c>
      <c r="N554" s="61">
        <v>160.904</v>
      </c>
      <c r="O554" s="71">
        <v>20.530999999999999</v>
      </c>
      <c r="P554" s="60">
        <v>204.86500000000001</v>
      </c>
      <c r="Q554" s="61">
        <v>209.304</v>
      </c>
      <c r="R554" s="61">
        <v>456.59300000000002</v>
      </c>
      <c r="S554" s="61">
        <v>952.03899999999999</v>
      </c>
      <c r="T554" s="61">
        <v>207.40899999999999</v>
      </c>
      <c r="U554" s="61">
        <v>18.55</v>
      </c>
      <c r="V554" s="61">
        <v>48.348999999999997</v>
      </c>
      <c r="W554" s="61">
        <v>221.13900000000001</v>
      </c>
      <c r="X554" s="61">
        <v>195.68899999999999</v>
      </c>
      <c r="Y554" s="61">
        <v>42.423000000000002</v>
      </c>
      <c r="Z554" s="61">
        <v>197.917</v>
      </c>
      <c r="AA554" s="61">
        <v>436.03</v>
      </c>
      <c r="AB554" s="60">
        <v>931.476</v>
      </c>
      <c r="AC554" s="62">
        <v>1126.915</v>
      </c>
      <c r="AD554" s="61">
        <v>47.33</v>
      </c>
      <c r="AE554" s="61">
        <v>6.1909999999999998</v>
      </c>
      <c r="AF554" s="61">
        <v>106</v>
      </c>
      <c r="AG554" s="61">
        <v>1727</v>
      </c>
      <c r="AH554" s="61">
        <v>292</v>
      </c>
      <c r="AI554" s="61">
        <v>940.91499999999996</v>
      </c>
      <c r="AJ554" s="61">
        <v>39.518000000000001</v>
      </c>
      <c r="AK554" s="62">
        <v>5.1689999999999996</v>
      </c>
      <c r="AL554" s="63">
        <f t="shared" si="47"/>
        <v>39.518000000000001</v>
      </c>
      <c r="AM554" s="64">
        <v>5.1689999999999996</v>
      </c>
      <c r="AN554" s="65" t="s">
        <v>121</v>
      </c>
      <c r="AO554" s="61" t="s">
        <v>121</v>
      </c>
      <c r="AP554" s="61">
        <v>81.742999999999995</v>
      </c>
      <c r="AQ554" s="61">
        <v>3.4329999999999998</v>
      </c>
      <c r="AR554" s="61">
        <v>0.438</v>
      </c>
      <c r="AS554" s="61" t="s">
        <v>122</v>
      </c>
      <c r="AT554" s="61">
        <v>54</v>
      </c>
      <c r="AU554" s="61">
        <v>1</v>
      </c>
      <c r="AV554" s="61">
        <v>80.742999999999995</v>
      </c>
      <c r="AW554" s="61">
        <v>3.391</v>
      </c>
      <c r="AX554" s="65">
        <v>0.433</v>
      </c>
      <c r="AY554" s="66">
        <v>3.363</v>
      </c>
      <c r="AZ554" s="61">
        <v>13.271000000000001</v>
      </c>
      <c r="BA554" s="61">
        <v>44.576999999999998</v>
      </c>
      <c r="BB554" s="61">
        <v>61.210999999999999</v>
      </c>
      <c r="BC554" s="61">
        <v>0.151</v>
      </c>
      <c r="BD554" s="61">
        <v>1.9770000000000001</v>
      </c>
      <c r="BE554" s="61">
        <v>5.5819999999999999</v>
      </c>
      <c r="BF554" s="61">
        <v>0.14000000000000001</v>
      </c>
      <c r="BG554" s="61">
        <v>7.2569999999999997</v>
      </c>
      <c r="BH554" s="61">
        <v>4.0140000000000002</v>
      </c>
      <c r="BI554" s="61">
        <v>2.15</v>
      </c>
      <c r="BJ554" s="61">
        <v>13.420999999999999</v>
      </c>
      <c r="BK554" s="66">
        <v>21.271999999999998</v>
      </c>
      <c r="BL554" s="67">
        <v>97.266999999999996</v>
      </c>
      <c r="BM554" s="61">
        <v>20.530999999999999</v>
      </c>
      <c r="BN554" s="61">
        <v>5.1689999999999996</v>
      </c>
      <c r="BO554" s="61">
        <v>0.433</v>
      </c>
      <c r="BP554" s="61">
        <v>123.4</v>
      </c>
      <c r="BQ554" s="61">
        <v>206.078</v>
      </c>
      <c r="BR554" s="61">
        <v>12.852</v>
      </c>
      <c r="BS554" s="61">
        <v>28.045000000000002</v>
      </c>
      <c r="BT554" s="61">
        <v>220.91300000000001</v>
      </c>
      <c r="BU554" s="61">
        <v>17.681000000000001</v>
      </c>
      <c r="BV554" s="61">
        <v>23.401</v>
      </c>
      <c r="BW554" s="61">
        <v>41.082999999999998</v>
      </c>
      <c r="BX554" s="67">
        <v>508.971</v>
      </c>
      <c r="BY554" s="68">
        <v>172845</v>
      </c>
      <c r="BZ554" s="68">
        <v>124602</v>
      </c>
      <c r="CA554" s="69">
        <v>5875</v>
      </c>
      <c r="CB554" s="68">
        <v>140162</v>
      </c>
      <c r="CC554" s="68">
        <v>42948</v>
      </c>
      <c r="CD554" s="68">
        <v>160086</v>
      </c>
      <c r="CE554" s="72">
        <v>4543.9800000000005</v>
      </c>
      <c r="CF554" s="72">
        <v>7265.1600000000008</v>
      </c>
      <c r="CG554" s="70">
        <f t="shared" si="43"/>
        <v>5886.8040000000001</v>
      </c>
      <c r="CH554" s="70">
        <f t="shared" si="44"/>
        <v>246.75</v>
      </c>
      <c r="CI554" s="70">
        <f t="shared" si="45"/>
        <v>1803.816</v>
      </c>
      <c r="CJ554" s="70">
        <f t="shared" si="46"/>
        <v>7259.49</v>
      </c>
      <c r="CK554" s="70">
        <f t="shared" si="46"/>
        <v>5233.2839999999997</v>
      </c>
      <c r="CL554" s="70">
        <f t="shared" si="42"/>
        <v>6723.6120000000001</v>
      </c>
      <c r="CM554" s="61"/>
      <c r="CN554" s="61"/>
      <c r="CO554" s="61"/>
      <c r="CP554" s="61"/>
      <c r="CQ554" s="61"/>
      <c r="CR554" s="61"/>
      <c r="CS554" s="61"/>
      <c r="CT554" s="61"/>
      <c r="CU554" s="61"/>
      <c r="CV554" s="61"/>
      <c r="CW554" s="61"/>
      <c r="CX554" s="61"/>
      <c r="CY554" s="61"/>
      <c r="CZ554" s="61"/>
      <c r="DA554" s="61"/>
      <c r="DB554" s="61"/>
      <c r="DC554" s="61"/>
      <c r="DD554" s="61"/>
      <c r="DE554" s="61"/>
      <c r="DF554" s="61"/>
      <c r="DG554" s="61"/>
      <c r="DH554" s="61"/>
      <c r="DI554" s="61"/>
      <c r="DJ554" s="61"/>
      <c r="DK554" s="61"/>
      <c r="DL554" s="61"/>
      <c r="DM554" s="61"/>
      <c r="DN554" s="61"/>
      <c r="DO554" s="61"/>
      <c r="DP554" s="61"/>
      <c r="DQ554" s="61"/>
      <c r="DR554" s="61"/>
      <c r="DS554" s="61"/>
      <c r="DT554" s="61"/>
      <c r="DU554" s="61"/>
      <c r="DV554" s="61"/>
      <c r="DW554" s="61"/>
      <c r="DX554" s="61"/>
      <c r="DY554" s="61"/>
      <c r="DZ554" s="61"/>
      <c r="EA554" s="61"/>
      <c r="EB554" s="61"/>
      <c r="EC554" s="61"/>
      <c r="ED554" s="61"/>
      <c r="EE554" s="61"/>
      <c r="EF554" s="61"/>
      <c r="EG554" s="61"/>
      <c r="EH554" s="61"/>
      <c r="EI554" s="61"/>
      <c r="EJ554" s="61"/>
      <c r="EK554" s="61"/>
      <c r="EL554" s="61"/>
      <c r="EM554" s="61"/>
      <c r="EN554" s="61"/>
      <c r="EO554" s="61"/>
      <c r="EP554" s="61"/>
      <c r="EQ554" s="61"/>
      <c r="ER554" s="61"/>
      <c r="ES554" s="61"/>
      <c r="ET554" s="61"/>
      <c r="EU554" s="61"/>
      <c r="EV554" s="61"/>
      <c r="EW554" s="61"/>
    </row>
    <row r="555" spans="1:153">
      <c r="A555" s="56">
        <v>43466</v>
      </c>
      <c r="B555" s="57">
        <v>2019</v>
      </c>
      <c r="C555" s="71">
        <v>18.617000000000001</v>
      </c>
      <c r="D555" s="61">
        <v>0.254</v>
      </c>
      <c r="E555" s="61">
        <v>3426.6030000000001</v>
      </c>
      <c r="F555" s="61">
        <v>143.917</v>
      </c>
      <c r="G555" s="61">
        <v>18.363</v>
      </c>
      <c r="H555" s="61">
        <v>308</v>
      </c>
      <c r="I555" s="61">
        <v>85.331000000000003</v>
      </c>
      <c r="J555" s="61">
        <v>222.66900000000001</v>
      </c>
      <c r="K555" s="61">
        <v>5354.3530000000001</v>
      </c>
      <c r="L555" s="61">
        <v>692.13599999999997</v>
      </c>
      <c r="M555" s="61">
        <v>2957.136</v>
      </c>
      <c r="N555" s="61">
        <v>124.2</v>
      </c>
      <c r="O555" s="71">
        <v>15.847</v>
      </c>
      <c r="P555" s="60">
        <v>202.62799999999999</v>
      </c>
      <c r="Q555" s="61">
        <v>203.505</v>
      </c>
      <c r="R555" s="61">
        <v>445.61799999999999</v>
      </c>
      <c r="S555" s="61">
        <v>952.65200000000004</v>
      </c>
      <c r="T555" s="61">
        <v>220.67599999999999</v>
      </c>
      <c r="U555" s="61">
        <v>17.762</v>
      </c>
      <c r="V555" s="61">
        <v>52.337000000000003</v>
      </c>
      <c r="W555" s="61">
        <v>216.25899999999999</v>
      </c>
      <c r="X555" s="61">
        <v>196.58500000000001</v>
      </c>
      <c r="Y555" s="61">
        <v>39.484999999999999</v>
      </c>
      <c r="Z555" s="61">
        <v>185.476</v>
      </c>
      <c r="AA555" s="61">
        <v>421.54700000000003</v>
      </c>
      <c r="AB555" s="60">
        <v>928.58</v>
      </c>
      <c r="AC555" s="62">
        <v>868.73900000000003</v>
      </c>
      <c r="AD555" s="61">
        <v>36.487000000000002</v>
      </c>
      <c r="AE555" s="61">
        <v>4.7729999999999997</v>
      </c>
      <c r="AF555" s="61">
        <v>543</v>
      </c>
      <c r="AG555" s="61">
        <v>1965</v>
      </c>
      <c r="AH555" s="61">
        <v>238</v>
      </c>
      <c r="AI555" s="61">
        <v>1173.739</v>
      </c>
      <c r="AJ555" s="61">
        <v>49.296999999999997</v>
      </c>
      <c r="AK555" s="62">
        <v>6.4489999999999998</v>
      </c>
      <c r="AL555" s="63">
        <f t="shared" si="47"/>
        <v>49.296999999999997</v>
      </c>
      <c r="AM555" s="64">
        <v>6.4489999999999998</v>
      </c>
      <c r="AN555" s="65" t="s">
        <v>121</v>
      </c>
      <c r="AO555" s="61" t="s">
        <v>121</v>
      </c>
      <c r="AP555" s="61">
        <v>59.387</v>
      </c>
      <c r="AQ555" s="61">
        <v>2.4940000000000002</v>
      </c>
      <c r="AR555" s="61">
        <v>0.318</v>
      </c>
      <c r="AS555" s="61" t="s">
        <v>122</v>
      </c>
      <c r="AT555" s="61">
        <v>56</v>
      </c>
      <c r="AU555" s="61">
        <v>2</v>
      </c>
      <c r="AV555" s="61">
        <v>57.387</v>
      </c>
      <c r="AW555" s="61">
        <v>2.41</v>
      </c>
      <c r="AX555" s="65">
        <v>0.308</v>
      </c>
      <c r="AY555" s="66">
        <v>3.363</v>
      </c>
      <c r="AZ555" s="61">
        <v>13.387</v>
      </c>
      <c r="BA555" s="61">
        <v>46.331000000000003</v>
      </c>
      <c r="BB555" s="61">
        <v>63.081000000000003</v>
      </c>
      <c r="BC555" s="61">
        <v>0.14499999999999999</v>
      </c>
      <c r="BD555" s="61">
        <v>2.0470000000000002</v>
      </c>
      <c r="BE555" s="61">
        <v>5.8650000000000002</v>
      </c>
      <c r="BF555" s="61">
        <v>0.156</v>
      </c>
      <c r="BG555" s="61">
        <v>7.2839999999999998</v>
      </c>
      <c r="BH555" s="61">
        <v>3.7250000000000001</v>
      </c>
      <c r="BI555" s="61">
        <v>1.9930000000000001</v>
      </c>
      <c r="BJ555" s="61">
        <v>13.002000000000001</v>
      </c>
      <c r="BK555" s="66">
        <v>21.215</v>
      </c>
      <c r="BL555" s="67">
        <v>89.286000000000001</v>
      </c>
      <c r="BM555" s="61">
        <v>15.847</v>
      </c>
      <c r="BN555" s="61">
        <v>6.4489999999999998</v>
      </c>
      <c r="BO555" s="61">
        <v>0.308</v>
      </c>
      <c r="BP555" s="61">
        <v>111.889</v>
      </c>
      <c r="BQ555" s="61">
        <v>219.43</v>
      </c>
      <c r="BR555" s="61">
        <v>11.994999999999999</v>
      </c>
      <c r="BS555" s="61">
        <v>31.556999999999999</v>
      </c>
      <c r="BT555" s="61">
        <v>216.006</v>
      </c>
      <c r="BU555" s="61">
        <v>19.475999999999999</v>
      </c>
      <c r="BV555" s="61">
        <v>21.712</v>
      </c>
      <c r="BW555" s="61">
        <v>41.188000000000002</v>
      </c>
      <c r="BX555" s="67">
        <v>520.17499999999995</v>
      </c>
      <c r="BY555" s="68">
        <v>162735</v>
      </c>
      <c r="BZ555" s="68">
        <v>134151</v>
      </c>
      <c r="CA555" s="69">
        <v>9503</v>
      </c>
      <c r="CB555" s="68">
        <v>140129</v>
      </c>
      <c r="CC555" s="68">
        <v>39667</v>
      </c>
      <c r="CD555" s="68">
        <v>149490</v>
      </c>
      <c r="CE555" s="72">
        <v>4817.4000000000005</v>
      </c>
      <c r="CF555" s="72">
        <v>6835.5</v>
      </c>
      <c r="CG555" s="70">
        <f t="shared" si="43"/>
        <v>5885.4179999999997</v>
      </c>
      <c r="CH555" s="70">
        <f t="shared" si="44"/>
        <v>399.12599999999998</v>
      </c>
      <c r="CI555" s="70">
        <f t="shared" si="45"/>
        <v>1666.0139999999999</v>
      </c>
      <c r="CJ555" s="70">
        <f t="shared" si="46"/>
        <v>6834.87</v>
      </c>
      <c r="CK555" s="70">
        <f t="shared" si="46"/>
        <v>5634.3419999999996</v>
      </c>
      <c r="CL555" s="70">
        <f t="shared" si="42"/>
        <v>6278.58</v>
      </c>
      <c r="CM555" s="61"/>
      <c r="CN555" s="61"/>
      <c r="CO555" s="61"/>
      <c r="CP555" s="61"/>
      <c r="CQ555" s="61"/>
      <c r="CR555" s="61"/>
      <c r="CS555" s="61"/>
      <c r="CT555" s="61"/>
      <c r="CU555" s="61"/>
      <c r="CV555" s="61"/>
      <c r="CW555" s="61"/>
      <c r="CX555" s="61"/>
      <c r="CY555" s="61"/>
      <c r="CZ555" s="61"/>
      <c r="DA555" s="61"/>
      <c r="DB555" s="61"/>
      <c r="DC555" s="61"/>
      <c r="DD555" s="61"/>
      <c r="DE555" s="61"/>
      <c r="DF555" s="61"/>
      <c r="DG555" s="61"/>
      <c r="DH555" s="61"/>
      <c r="DI555" s="61"/>
      <c r="DJ555" s="61"/>
      <c r="DK555" s="61"/>
      <c r="DL555" s="61"/>
      <c r="DM555" s="61"/>
      <c r="DN555" s="61"/>
      <c r="DO555" s="61"/>
      <c r="DP555" s="61"/>
      <c r="DQ555" s="61"/>
      <c r="DR555" s="61"/>
      <c r="DS555" s="61"/>
      <c r="DT555" s="61"/>
      <c r="DU555" s="61"/>
      <c r="DV555" s="61"/>
      <c r="DW555" s="61"/>
      <c r="DX555" s="61"/>
      <c r="DY555" s="61"/>
      <c r="DZ555" s="61"/>
      <c r="EA555" s="61"/>
      <c r="EB555" s="61"/>
      <c r="EC555" s="61"/>
      <c r="ED555" s="61"/>
      <c r="EE555" s="61"/>
      <c r="EF555" s="61"/>
      <c r="EG555" s="61"/>
      <c r="EH555" s="61"/>
      <c r="EI555" s="61"/>
      <c r="EJ555" s="61"/>
      <c r="EK555" s="61"/>
      <c r="EL555" s="61"/>
      <c r="EM555" s="61"/>
      <c r="EN555" s="61"/>
      <c r="EO555" s="61"/>
      <c r="EP555" s="61"/>
      <c r="EQ555" s="61"/>
      <c r="ER555" s="61"/>
      <c r="ES555" s="61"/>
      <c r="ET555" s="61"/>
      <c r="EU555" s="61"/>
      <c r="EV555" s="61"/>
      <c r="EW555" s="61"/>
    </row>
    <row r="556" spans="1:153">
      <c r="A556" s="56">
        <v>43497</v>
      </c>
      <c r="B556" s="57">
        <v>2019</v>
      </c>
      <c r="C556" s="71">
        <v>16.885000000000002</v>
      </c>
      <c r="D556" s="61">
        <v>0.23</v>
      </c>
      <c r="E556" s="61">
        <v>3107.8429999999998</v>
      </c>
      <c r="F556" s="61">
        <v>130.529</v>
      </c>
      <c r="G556" s="61">
        <v>16.655000000000001</v>
      </c>
      <c r="H556" s="61">
        <v>233</v>
      </c>
      <c r="I556" s="61">
        <v>91.441000000000003</v>
      </c>
      <c r="J556" s="61">
        <v>141.559</v>
      </c>
      <c r="K556" s="61">
        <v>5502.4790000000003</v>
      </c>
      <c r="L556" s="61">
        <v>148.126</v>
      </c>
      <c r="M556" s="61">
        <v>3101.2759999999998</v>
      </c>
      <c r="N556" s="61">
        <v>130.25399999999999</v>
      </c>
      <c r="O556" s="71">
        <v>16.62</v>
      </c>
      <c r="P556" s="60">
        <v>184.56399999999999</v>
      </c>
      <c r="Q556" s="61">
        <v>185.19900000000001</v>
      </c>
      <c r="R556" s="61">
        <v>405.31400000000002</v>
      </c>
      <c r="S556" s="61">
        <v>882.90800000000002</v>
      </c>
      <c r="T556" s="61">
        <v>203.614</v>
      </c>
      <c r="U556" s="61">
        <v>16.373999999999999</v>
      </c>
      <c r="V556" s="61">
        <v>56.286000000000001</v>
      </c>
      <c r="W556" s="61">
        <v>201.32</v>
      </c>
      <c r="X556" s="61">
        <v>176.16800000000001</v>
      </c>
      <c r="Y556" s="61">
        <v>35.551000000000002</v>
      </c>
      <c r="Z556" s="61">
        <v>180.279</v>
      </c>
      <c r="AA556" s="61">
        <v>391.99799999999999</v>
      </c>
      <c r="AB556" s="60">
        <v>869.59100000000001</v>
      </c>
      <c r="AC556" s="62">
        <v>956.51700000000005</v>
      </c>
      <c r="AD556" s="61">
        <v>40.173999999999999</v>
      </c>
      <c r="AE556" s="61">
        <v>5.2549999999999999</v>
      </c>
      <c r="AF556" s="61">
        <v>304</v>
      </c>
      <c r="AG556" s="61">
        <v>2097</v>
      </c>
      <c r="AH556" s="61">
        <v>132</v>
      </c>
      <c r="AI556" s="61">
        <v>1128.5170000000001</v>
      </c>
      <c r="AJ556" s="61">
        <v>47.398000000000003</v>
      </c>
      <c r="AK556" s="62">
        <v>6.2</v>
      </c>
      <c r="AL556" s="63">
        <f t="shared" si="47"/>
        <v>47.398000000000003</v>
      </c>
      <c r="AM556" s="64">
        <v>6.2</v>
      </c>
      <c r="AN556" s="65" t="s">
        <v>121</v>
      </c>
      <c r="AO556" s="61" t="s">
        <v>121</v>
      </c>
      <c r="AP556" s="61">
        <v>66.084999999999994</v>
      </c>
      <c r="AQ556" s="61">
        <v>2.7759999999999998</v>
      </c>
      <c r="AR556" s="61">
        <v>0.35399999999999998</v>
      </c>
      <c r="AS556" s="61" t="s">
        <v>122</v>
      </c>
      <c r="AT556" s="61">
        <v>58</v>
      </c>
      <c r="AU556" s="61">
        <v>2</v>
      </c>
      <c r="AV556" s="61">
        <v>64.084999999999994</v>
      </c>
      <c r="AW556" s="61">
        <v>2.6920000000000002</v>
      </c>
      <c r="AX556" s="65">
        <v>0.34300000000000003</v>
      </c>
      <c r="AY556" s="66">
        <v>3.0379999999999998</v>
      </c>
      <c r="AZ556" s="61">
        <v>14.553000000000001</v>
      </c>
      <c r="BA556" s="61">
        <v>41.847000000000001</v>
      </c>
      <c r="BB556" s="61">
        <v>59.438000000000002</v>
      </c>
      <c r="BC556" s="61">
        <v>0.13200000000000001</v>
      </c>
      <c r="BD556" s="61">
        <v>1.873</v>
      </c>
      <c r="BE556" s="61">
        <v>6.3150000000000004</v>
      </c>
      <c r="BF556" s="61">
        <v>0.13800000000000001</v>
      </c>
      <c r="BG556" s="61">
        <v>6.5759999999999996</v>
      </c>
      <c r="BH556" s="61">
        <v>3.25</v>
      </c>
      <c r="BI556" s="61">
        <v>2.0129999999999999</v>
      </c>
      <c r="BJ556" s="61">
        <v>11.837999999999999</v>
      </c>
      <c r="BK556" s="66">
        <v>20.295999999999999</v>
      </c>
      <c r="BL556" s="67">
        <v>90.162999999999997</v>
      </c>
      <c r="BM556" s="61">
        <v>16.62</v>
      </c>
      <c r="BN556" s="61">
        <v>6.2</v>
      </c>
      <c r="BO556" s="61">
        <v>0.34300000000000003</v>
      </c>
      <c r="BP556" s="61">
        <v>113.32599999999999</v>
      </c>
      <c r="BQ556" s="61">
        <v>202.648</v>
      </c>
      <c r="BR556" s="61">
        <v>11.141</v>
      </c>
      <c r="BS556" s="61">
        <v>33.795000000000002</v>
      </c>
      <c r="BT556" s="61">
        <v>201.102</v>
      </c>
      <c r="BU556" s="61">
        <v>16.079000000000001</v>
      </c>
      <c r="BV556" s="61">
        <v>19.469000000000001</v>
      </c>
      <c r="BW556" s="61">
        <v>35.546999999999997</v>
      </c>
      <c r="BX556" s="67">
        <v>484.233</v>
      </c>
      <c r="BY556" s="68">
        <v>137331</v>
      </c>
      <c r="BZ556" s="68">
        <v>120605</v>
      </c>
      <c r="CA556" s="69">
        <v>10097</v>
      </c>
      <c r="CB556" s="68">
        <v>136323</v>
      </c>
      <c r="CC556" s="68">
        <v>32484</v>
      </c>
      <c r="CD556" s="68">
        <v>126431</v>
      </c>
      <c r="CE556" s="72">
        <v>4398.2400000000007</v>
      </c>
      <c r="CF556" s="72">
        <v>5762.4000000000005</v>
      </c>
      <c r="CG556" s="70">
        <f t="shared" si="43"/>
        <v>5725.5659999999998</v>
      </c>
      <c r="CH556" s="70">
        <f t="shared" si="44"/>
        <v>424.07400000000001</v>
      </c>
      <c r="CI556" s="70">
        <f t="shared" si="45"/>
        <v>1364.328</v>
      </c>
      <c r="CJ556" s="70">
        <f t="shared" si="46"/>
        <v>5767.902</v>
      </c>
      <c r="CK556" s="70">
        <f t="shared" si="46"/>
        <v>5065.41</v>
      </c>
      <c r="CL556" s="70">
        <f t="shared" si="42"/>
        <v>5310.1019999999999</v>
      </c>
      <c r="CM556" s="61"/>
      <c r="CN556" s="61"/>
      <c r="CO556" s="61"/>
      <c r="CP556" s="61"/>
      <c r="CQ556" s="61"/>
      <c r="CR556" s="61"/>
      <c r="CS556" s="61"/>
      <c r="CT556" s="61"/>
      <c r="CU556" s="61"/>
      <c r="CV556" s="61"/>
      <c r="CW556" s="61"/>
      <c r="CX556" s="61"/>
      <c r="CY556" s="61"/>
      <c r="CZ556" s="61"/>
      <c r="DA556" s="61"/>
      <c r="DB556" s="61"/>
      <c r="DC556" s="61"/>
      <c r="DD556" s="61"/>
      <c r="DE556" s="61"/>
      <c r="DF556" s="61"/>
      <c r="DG556" s="61"/>
      <c r="DH556" s="61"/>
      <c r="DI556" s="61"/>
      <c r="DJ556" s="61"/>
      <c r="DK556" s="61"/>
      <c r="DL556" s="61"/>
      <c r="DM556" s="61"/>
      <c r="DN556" s="61"/>
      <c r="DO556" s="61"/>
      <c r="DP556" s="61"/>
      <c r="DQ556" s="61"/>
      <c r="DR556" s="61"/>
      <c r="DS556" s="61"/>
      <c r="DT556" s="61"/>
      <c r="DU556" s="61"/>
      <c r="DV556" s="61"/>
      <c r="DW556" s="61"/>
      <c r="DX556" s="61"/>
      <c r="DY556" s="61"/>
      <c r="DZ556" s="61"/>
      <c r="EA556" s="61"/>
      <c r="EB556" s="61"/>
      <c r="EC556" s="61"/>
      <c r="ED556" s="61"/>
      <c r="EE556" s="61"/>
      <c r="EF556" s="61"/>
      <c r="EG556" s="61"/>
      <c r="EH556" s="61"/>
      <c r="EI556" s="61"/>
      <c r="EJ556" s="61"/>
      <c r="EK556" s="61"/>
      <c r="EL556" s="61"/>
      <c r="EM556" s="61"/>
      <c r="EN556" s="61"/>
      <c r="EO556" s="61"/>
      <c r="EP556" s="61"/>
      <c r="EQ556" s="61"/>
      <c r="ER556" s="61"/>
      <c r="ES556" s="61"/>
      <c r="ET556" s="61"/>
      <c r="EU556" s="61"/>
      <c r="EV556" s="61"/>
      <c r="EW556" s="61"/>
    </row>
    <row r="557" spans="1:153">
      <c r="A557" s="56">
        <v>43525</v>
      </c>
      <c r="B557" s="57">
        <v>2019</v>
      </c>
      <c r="C557" s="71">
        <v>18.216999999999999</v>
      </c>
      <c r="D557" s="61">
        <v>0.248</v>
      </c>
      <c r="E557" s="61">
        <v>3352.9659999999999</v>
      </c>
      <c r="F557" s="61">
        <v>140.82499999999999</v>
      </c>
      <c r="G557" s="61">
        <v>17.969000000000001</v>
      </c>
      <c r="H557" s="61">
        <v>543</v>
      </c>
      <c r="I557" s="61">
        <v>226.03700000000001</v>
      </c>
      <c r="J557" s="61">
        <v>316.96300000000002</v>
      </c>
      <c r="K557" s="61">
        <v>5389.02</v>
      </c>
      <c r="L557" s="61">
        <v>-113.458</v>
      </c>
      <c r="M557" s="61">
        <v>3783.3870000000002</v>
      </c>
      <c r="N557" s="61">
        <v>158.90199999999999</v>
      </c>
      <c r="O557" s="71">
        <v>20.274999999999999</v>
      </c>
      <c r="P557" s="60">
        <v>196.655</v>
      </c>
      <c r="Q557" s="61">
        <v>199.101</v>
      </c>
      <c r="R557" s="61">
        <v>434.18599999999998</v>
      </c>
      <c r="S557" s="61">
        <v>999.78099999999995</v>
      </c>
      <c r="T557" s="61">
        <v>234.346</v>
      </c>
      <c r="U557" s="61">
        <v>18.052</v>
      </c>
      <c r="V557" s="61">
        <v>83.846999999999994</v>
      </c>
      <c r="W557" s="61">
        <v>229.351</v>
      </c>
      <c r="X557" s="61">
        <v>189.541</v>
      </c>
      <c r="Y557" s="61">
        <v>38.429000000000002</v>
      </c>
      <c r="Z557" s="61">
        <v>195.32400000000001</v>
      </c>
      <c r="AA557" s="61">
        <v>423.29399999999998</v>
      </c>
      <c r="AB557" s="60">
        <v>988.89</v>
      </c>
      <c r="AC557" s="62">
        <v>850.95899999999995</v>
      </c>
      <c r="AD557" s="61">
        <v>35.74</v>
      </c>
      <c r="AE557" s="61">
        <v>4.6749999999999998</v>
      </c>
      <c r="AF557" s="61">
        <v>459</v>
      </c>
      <c r="AG557" s="61">
        <v>2049</v>
      </c>
      <c r="AH557" s="61">
        <v>-48</v>
      </c>
      <c r="AI557" s="61">
        <v>1357.9590000000001</v>
      </c>
      <c r="AJ557" s="61">
        <v>57.033999999999999</v>
      </c>
      <c r="AK557" s="62">
        <v>7.4610000000000003</v>
      </c>
      <c r="AL557" s="63">
        <f t="shared" si="47"/>
        <v>57.033999999999999</v>
      </c>
      <c r="AM557" s="64">
        <v>7.4610000000000003</v>
      </c>
      <c r="AN557" s="65" t="s">
        <v>121</v>
      </c>
      <c r="AO557" s="61" t="s">
        <v>121</v>
      </c>
      <c r="AP557" s="61">
        <v>80.430999999999997</v>
      </c>
      <c r="AQ557" s="61">
        <v>3.3780000000000001</v>
      </c>
      <c r="AR557" s="61">
        <v>0.43099999999999999</v>
      </c>
      <c r="AS557" s="61" t="s">
        <v>122</v>
      </c>
      <c r="AT557" s="61">
        <v>61</v>
      </c>
      <c r="AU557" s="61">
        <v>3</v>
      </c>
      <c r="AV557" s="61">
        <v>77.430999999999997</v>
      </c>
      <c r="AW557" s="61">
        <v>3.2519999999999998</v>
      </c>
      <c r="AX557" s="65">
        <v>0.41499999999999998</v>
      </c>
      <c r="AY557" s="66">
        <v>3.363</v>
      </c>
      <c r="AZ557" s="61">
        <v>20.791</v>
      </c>
      <c r="BA557" s="61">
        <v>46.331000000000003</v>
      </c>
      <c r="BB557" s="61">
        <v>70.484999999999999</v>
      </c>
      <c r="BC557" s="61">
        <v>0.16600000000000001</v>
      </c>
      <c r="BD557" s="61">
        <v>2.0659999999999998</v>
      </c>
      <c r="BE557" s="61">
        <v>8.75</v>
      </c>
      <c r="BF557" s="61">
        <v>0.153</v>
      </c>
      <c r="BG557" s="61">
        <v>7.1959999999999997</v>
      </c>
      <c r="BH557" s="61">
        <v>3.4649999999999999</v>
      </c>
      <c r="BI557" s="61">
        <v>2.12</v>
      </c>
      <c r="BJ557" s="61">
        <v>12.781000000000001</v>
      </c>
      <c r="BK557" s="66">
        <v>23.914999999999999</v>
      </c>
      <c r="BL557" s="67">
        <v>94.936999999999998</v>
      </c>
      <c r="BM557" s="61">
        <v>20.274999999999999</v>
      </c>
      <c r="BN557" s="61">
        <v>7.4610000000000003</v>
      </c>
      <c r="BO557" s="61">
        <v>0.41499999999999998</v>
      </c>
      <c r="BP557" s="61">
        <v>123.08799999999999</v>
      </c>
      <c r="BQ557" s="61">
        <v>233.22200000000001</v>
      </c>
      <c r="BR557" s="61">
        <v>12.266</v>
      </c>
      <c r="BS557" s="61">
        <v>51.981000000000002</v>
      </c>
      <c r="BT557" s="61">
        <v>229.113</v>
      </c>
      <c r="BU557" s="61">
        <v>16.137</v>
      </c>
      <c r="BV557" s="61">
        <v>21.216999999999999</v>
      </c>
      <c r="BW557" s="61">
        <v>37.353999999999999</v>
      </c>
      <c r="BX557" s="67">
        <v>563.93600000000004</v>
      </c>
      <c r="BY557" s="68">
        <v>154021</v>
      </c>
      <c r="BZ557" s="68">
        <v>129708</v>
      </c>
      <c r="CA557" s="69">
        <v>5567</v>
      </c>
      <c r="CB557" s="68">
        <v>132172</v>
      </c>
      <c r="CC557" s="68">
        <v>36354</v>
      </c>
      <c r="CD557" s="68">
        <v>141745</v>
      </c>
      <c r="CE557" s="72">
        <v>4908.54</v>
      </c>
      <c r="CF557" s="72">
        <v>6470.94</v>
      </c>
      <c r="CG557" s="70">
        <f t="shared" si="43"/>
        <v>5551.2240000000002</v>
      </c>
      <c r="CH557" s="70">
        <f t="shared" si="44"/>
        <v>233.81399999999999</v>
      </c>
      <c r="CI557" s="70">
        <f t="shared" si="45"/>
        <v>1526.8679999999999</v>
      </c>
      <c r="CJ557" s="70">
        <f t="shared" si="46"/>
        <v>6468.8819999999996</v>
      </c>
      <c r="CK557" s="70">
        <f t="shared" si="46"/>
        <v>5447.7359999999999</v>
      </c>
      <c r="CL557" s="70">
        <f t="shared" si="42"/>
        <v>5953.29</v>
      </c>
      <c r="CM557" s="61"/>
      <c r="CN557" s="61"/>
      <c r="CO557" s="61"/>
      <c r="CP557" s="61"/>
      <c r="CQ557" s="61"/>
      <c r="CR557" s="61"/>
      <c r="CS557" s="61"/>
      <c r="CT557" s="61"/>
      <c r="CU557" s="61"/>
      <c r="CV557" s="61"/>
      <c r="CW557" s="61"/>
      <c r="CX557" s="61"/>
      <c r="CY557" s="61"/>
      <c r="CZ557" s="61"/>
      <c r="DA557" s="61"/>
      <c r="DB557" s="61"/>
      <c r="DC557" s="61"/>
      <c r="DD557" s="61"/>
      <c r="DE557" s="61"/>
      <c r="DF557" s="61"/>
      <c r="DG557" s="61"/>
      <c r="DH557" s="61"/>
      <c r="DI557" s="61"/>
      <c r="DJ557" s="61"/>
      <c r="DK557" s="61"/>
      <c r="DL557" s="61"/>
      <c r="DM557" s="61"/>
      <c r="DN557" s="61"/>
      <c r="DO557" s="61"/>
      <c r="DP557" s="61"/>
      <c r="DQ557" s="61"/>
      <c r="DR557" s="61"/>
      <c r="DS557" s="61"/>
      <c r="DT557" s="61"/>
      <c r="DU557" s="61"/>
      <c r="DV557" s="61"/>
      <c r="DW557" s="61"/>
      <c r="DX557" s="61"/>
      <c r="DY557" s="61"/>
      <c r="DZ557" s="61"/>
      <c r="EA557" s="61"/>
      <c r="EB557" s="61"/>
      <c r="EC557" s="61"/>
      <c r="ED557" s="61"/>
      <c r="EE557" s="61"/>
      <c r="EF557" s="61"/>
      <c r="EG557" s="61"/>
      <c r="EH557" s="61"/>
      <c r="EI557" s="61"/>
      <c r="EJ557" s="61"/>
      <c r="EK557" s="61"/>
      <c r="EL557" s="61"/>
      <c r="EM557" s="61"/>
      <c r="EN557" s="61"/>
      <c r="EO557" s="61"/>
      <c r="EP557" s="61"/>
      <c r="EQ557" s="61"/>
      <c r="ER557" s="61"/>
      <c r="ES557" s="61"/>
      <c r="ET557" s="61"/>
      <c r="EU557" s="61"/>
      <c r="EV557" s="61"/>
      <c r="EW557" s="61"/>
    </row>
    <row r="558" spans="1:153">
      <c r="A558" s="56">
        <v>43556</v>
      </c>
      <c r="B558" s="57">
        <v>2019</v>
      </c>
      <c r="C558" s="71">
        <v>19.681999999999999</v>
      </c>
      <c r="D558" s="61">
        <v>0.26800000000000002</v>
      </c>
      <c r="E558" s="61">
        <v>3622.5880000000002</v>
      </c>
      <c r="F558" s="61">
        <v>152.149</v>
      </c>
      <c r="G558" s="61">
        <v>19.413</v>
      </c>
      <c r="H558" s="61">
        <v>410</v>
      </c>
      <c r="I558" s="61">
        <v>369.99099999999999</v>
      </c>
      <c r="J558" s="61">
        <v>40.009</v>
      </c>
      <c r="K558" s="61">
        <v>5330.2979999999998</v>
      </c>
      <c r="L558" s="61">
        <v>-58.722000000000001</v>
      </c>
      <c r="M558" s="61">
        <v>3721.319</v>
      </c>
      <c r="N558" s="61">
        <v>156.29499999999999</v>
      </c>
      <c r="O558" s="71">
        <v>19.943000000000001</v>
      </c>
      <c r="P558" s="60">
        <v>186.072</v>
      </c>
      <c r="Q558" s="61">
        <v>201.785</v>
      </c>
      <c r="R558" s="61">
        <v>423.416</v>
      </c>
      <c r="S558" s="61">
        <v>1039.6849999999999</v>
      </c>
      <c r="T558" s="61">
        <v>247.572</v>
      </c>
      <c r="U558" s="61">
        <v>16.379000000000001</v>
      </c>
      <c r="V558" s="61">
        <v>95.001000000000005</v>
      </c>
      <c r="W558" s="61">
        <v>257.31700000000001</v>
      </c>
      <c r="X558" s="61">
        <v>177.95099999999999</v>
      </c>
      <c r="Y558" s="61">
        <v>35.558999999999997</v>
      </c>
      <c r="Z558" s="61">
        <v>194.08699999999999</v>
      </c>
      <c r="AA558" s="61">
        <v>407.59699999999998</v>
      </c>
      <c r="AB558" s="60">
        <v>1023.866</v>
      </c>
      <c r="AC558" s="62">
        <v>918.03399999999999</v>
      </c>
      <c r="AD558" s="61">
        <v>38.557000000000002</v>
      </c>
      <c r="AE558" s="61">
        <v>5.0439999999999996</v>
      </c>
      <c r="AF558" s="61">
        <v>407</v>
      </c>
      <c r="AG558" s="61">
        <v>1984</v>
      </c>
      <c r="AH558" s="61">
        <v>-65</v>
      </c>
      <c r="AI558" s="61">
        <v>1390.0340000000001</v>
      </c>
      <c r="AJ558" s="61">
        <v>58.381</v>
      </c>
      <c r="AK558" s="62">
        <v>7.6369999999999996</v>
      </c>
      <c r="AL558" s="63">
        <f t="shared" si="47"/>
        <v>58.381</v>
      </c>
      <c r="AM558" s="64">
        <v>7.6369999999999996</v>
      </c>
      <c r="AN558" s="65" t="s">
        <v>121</v>
      </c>
      <c r="AO558" s="61" t="s">
        <v>121</v>
      </c>
      <c r="AP558" s="61">
        <v>66.224000000000004</v>
      </c>
      <c r="AQ558" s="61">
        <v>2.7810000000000001</v>
      </c>
      <c r="AR558" s="61">
        <v>0.35499999999999998</v>
      </c>
      <c r="AS558" s="61" t="s">
        <v>122</v>
      </c>
      <c r="AT558" s="61">
        <v>44</v>
      </c>
      <c r="AU558" s="61">
        <v>-17</v>
      </c>
      <c r="AV558" s="61">
        <v>83.224000000000004</v>
      </c>
      <c r="AW558" s="61">
        <v>3.4950000000000001</v>
      </c>
      <c r="AX558" s="65">
        <v>0.44600000000000001</v>
      </c>
      <c r="AY558" s="66">
        <v>3.2549999999999999</v>
      </c>
      <c r="AZ558" s="61">
        <v>23.254999999999999</v>
      </c>
      <c r="BA558" s="61">
        <v>44.835999999999999</v>
      </c>
      <c r="BB558" s="61">
        <v>71.346000000000004</v>
      </c>
      <c r="BC558" s="61">
        <v>0.17</v>
      </c>
      <c r="BD558" s="61">
        <v>1.859</v>
      </c>
      <c r="BE558" s="61">
        <v>9.6679999999999993</v>
      </c>
      <c r="BF558" s="61">
        <v>0.154</v>
      </c>
      <c r="BG558" s="61">
        <v>6.84</v>
      </c>
      <c r="BH558" s="61">
        <v>3.0139999999999998</v>
      </c>
      <c r="BI558" s="61">
        <v>2.0870000000000002</v>
      </c>
      <c r="BJ558" s="61">
        <v>11.941000000000001</v>
      </c>
      <c r="BK558" s="66">
        <v>23.792000000000002</v>
      </c>
      <c r="BL558" s="67">
        <v>93.5</v>
      </c>
      <c r="BM558" s="61">
        <v>19.943000000000001</v>
      </c>
      <c r="BN558" s="61">
        <v>7.6369999999999996</v>
      </c>
      <c r="BO558" s="61">
        <v>0.44600000000000001</v>
      </c>
      <c r="BP558" s="61">
        <v>121.526</v>
      </c>
      <c r="BQ558" s="61">
        <v>246.458</v>
      </c>
      <c r="BR558" s="61">
        <v>10.92</v>
      </c>
      <c r="BS558" s="61">
        <v>59.536000000000001</v>
      </c>
      <c r="BT558" s="61">
        <v>257.072</v>
      </c>
      <c r="BU558" s="61">
        <v>13.692</v>
      </c>
      <c r="BV558" s="61">
        <v>19.917999999999999</v>
      </c>
      <c r="BW558" s="61">
        <v>33.61</v>
      </c>
      <c r="BX558" s="67">
        <v>607.59500000000003</v>
      </c>
      <c r="BY558" s="68">
        <v>151776</v>
      </c>
      <c r="BZ558" s="68">
        <v>123588</v>
      </c>
      <c r="CA558" s="69">
        <v>3644</v>
      </c>
      <c r="CB558" s="68">
        <v>128274</v>
      </c>
      <c r="CC558" s="68">
        <v>37838</v>
      </c>
      <c r="CD558" s="68">
        <v>140565</v>
      </c>
      <c r="CE558" s="72">
        <v>4913.9999999999991</v>
      </c>
      <c r="CF558" s="72">
        <v>6375.5999999999995</v>
      </c>
      <c r="CG558" s="70">
        <f t="shared" si="43"/>
        <v>5387.5079999999998</v>
      </c>
      <c r="CH558" s="70">
        <f t="shared" si="44"/>
        <v>153.048</v>
      </c>
      <c r="CI558" s="70">
        <f t="shared" si="45"/>
        <v>1589.1959999999999</v>
      </c>
      <c r="CJ558" s="70">
        <f t="shared" si="46"/>
        <v>6374.5919999999996</v>
      </c>
      <c r="CK558" s="70">
        <f t="shared" si="46"/>
        <v>5190.6959999999999</v>
      </c>
      <c r="CL558" s="70">
        <f t="shared" si="42"/>
        <v>5903.73</v>
      </c>
      <c r="CM558" s="61"/>
      <c r="CN558" s="61"/>
      <c r="CO558" s="61"/>
      <c r="CP558" s="61"/>
      <c r="CQ558" s="61"/>
      <c r="CR558" s="61"/>
      <c r="CS558" s="61"/>
      <c r="CT558" s="61"/>
      <c r="CU558" s="61"/>
      <c r="CV558" s="61"/>
      <c r="CW558" s="61"/>
      <c r="CX558" s="61"/>
      <c r="CY558" s="61"/>
      <c r="CZ558" s="61"/>
      <c r="DA558" s="61"/>
      <c r="DB558" s="61"/>
      <c r="DC558" s="61"/>
      <c r="DD558" s="61"/>
      <c r="DE558" s="61"/>
      <c r="DF558" s="61"/>
      <c r="DG558" s="61"/>
      <c r="DH558" s="61"/>
      <c r="DI558" s="61"/>
      <c r="DJ558" s="61"/>
      <c r="DK558" s="61"/>
      <c r="DL558" s="61"/>
      <c r="DM558" s="61"/>
      <c r="DN558" s="61"/>
      <c r="DO558" s="61"/>
      <c r="DP558" s="61"/>
      <c r="DQ558" s="61"/>
      <c r="DR558" s="61"/>
      <c r="DS558" s="61"/>
      <c r="DT558" s="61"/>
      <c r="DU558" s="61"/>
      <c r="DV558" s="61"/>
      <c r="DW558" s="61"/>
      <c r="DX558" s="61"/>
      <c r="DY558" s="61"/>
      <c r="DZ558" s="61"/>
      <c r="EA558" s="61"/>
      <c r="EB558" s="61"/>
      <c r="EC558" s="61"/>
      <c r="ED558" s="61"/>
      <c r="EE558" s="61"/>
      <c r="EF558" s="61"/>
      <c r="EG558" s="61"/>
      <c r="EH558" s="61"/>
      <c r="EI558" s="61"/>
      <c r="EJ558" s="61"/>
      <c r="EK558" s="61"/>
      <c r="EL558" s="61"/>
      <c r="EM558" s="61"/>
      <c r="EN558" s="61"/>
      <c r="EO558" s="61"/>
      <c r="EP558" s="61"/>
      <c r="EQ558" s="61"/>
      <c r="ER558" s="61"/>
      <c r="ES558" s="61"/>
      <c r="ET558" s="61"/>
      <c r="EU558" s="61"/>
      <c r="EV558" s="61"/>
      <c r="EW558" s="61"/>
    </row>
    <row r="559" spans="1:153">
      <c r="A559" s="56">
        <v>43586</v>
      </c>
      <c r="B559" s="57">
        <v>2019</v>
      </c>
      <c r="C559" s="71">
        <v>19.997</v>
      </c>
      <c r="D559" s="61">
        <v>0.27200000000000002</v>
      </c>
      <c r="E559" s="61">
        <v>3680.7220000000002</v>
      </c>
      <c r="F559" s="61">
        <v>154.59</v>
      </c>
      <c r="G559" s="61">
        <v>19.725000000000001</v>
      </c>
      <c r="H559" s="61">
        <v>281</v>
      </c>
      <c r="I559" s="61">
        <v>440.28800000000001</v>
      </c>
      <c r="J559" s="61">
        <v>-159.28800000000001</v>
      </c>
      <c r="K559" s="61">
        <v>4814.9769999999999</v>
      </c>
      <c r="L559" s="61">
        <v>-515.32100000000003</v>
      </c>
      <c r="M559" s="61">
        <v>4036.7550000000001</v>
      </c>
      <c r="N559" s="61">
        <v>169.54400000000001</v>
      </c>
      <c r="O559" s="71">
        <v>21.632999999999999</v>
      </c>
      <c r="P559" s="60">
        <v>193.495</v>
      </c>
      <c r="Q559" s="61">
        <v>210.96299999999999</v>
      </c>
      <c r="R559" s="61">
        <v>440.47</v>
      </c>
      <c r="S559" s="61">
        <v>1073.7380000000001</v>
      </c>
      <c r="T559" s="61">
        <v>284.608</v>
      </c>
      <c r="U559" s="61">
        <v>17.334</v>
      </c>
      <c r="V559" s="61">
        <v>101.91500000000001</v>
      </c>
      <c r="W559" s="61">
        <v>229.411</v>
      </c>
      <c r="X559" s="61">
        <v>185.52799999999999</v>
      </c>
      <c r="Y559" s="61">
        <v>36.011000000000003</v>
      </c>
      <c r="Z559" s="61">
        <v>210.63300000000001</v>
      </c>
      <c r="AA559" s="61">
        <v>432.17099999999999</v>
      </c>
      <c r="AB559" s="60">
        <v>1065.44</v>
      </c>
      <c r="AC559" s="62">
        <v>961.49699999999996</v>
      </c>
      <c r="AD559" s="61">
        <v>40.383000000000003</v>
      </c>
      <c r="AE559" s="61">
        <v>5.282</v>
      </c>
      <c r="AF559" s="61">
        <v>646</v>
      </c>
      <c r="AG559" s="61">
        <v>1853</v>
      </c>
      <c r="AH559" s="61">
        <v>-131</v>
      </c>
      <c r="AI559" s="61">
        <v>1738.4970000000001</v>
      </c>
      <c r="AJ559" s="61">
        <v>73.016999999999996</v>
      </c>
      <c r="AK559" s="62">
        <v>9.5510000000000002</v>
      </c>
      <c r="AL559" s="63">
        <f t="shared" si="47"/>
        <v>73.016999999999996</v>
      </c>
      <c r="AM559" s="64">
        <v>9.5510000000000002</v>
      </c>
      <c r="AN559" s="65" t="s">
        <v>121</v>
      </c>
      <c r="AO559" s="61" t="s">
        <v>121</v>
      </c>
      <c r="AP559" s="61">
        <v>80.688999999999993</v>
      </c>
      <c r="AQ559" s="61">
        <v>3.3889999999999998</v>
      </c>
      <c r="AR559" s="61">
        <v>0.432</v>
      </c>
      <c r="AS559" s="61" t="s">
        <v>122</v>
      </c>
      <c r="AT559" s="61">
        <v>43</v>
      </c>
      <c r="AU559" s="61">
        <v>-1</v>
      </c>
      <c r="AV559" s="61">
        <v>81.688999999999993</v>
      </c>
      <c r="AW559" s="61">
        <v>3.431</v>
      </c>
      <c r="AX559" s="65">
        <v>0.438</v>
      </c>
      <c r="AY559" s="66">
        <v>3.363</v>
      </c>
      <c r="AZ559" s="61">
        <v>25.553000000000001</v>
      </c>
      <c r="BA559" s="61">
        <v>46.331000000000003</v>
      </c>
      <c r="BB559" s="61">
        <v>75.247</v>
      </c>
      <c r="BC559" s="61">
        <v>0.193</v>
      </c>
      <c r="BD559" s="61">
        <v>2.0059999999999998</v>
      </c>
      <c r="BE559" s="61">
        <v>10.398</v>
      </c>
      <c r="BF559" s="61">
        <v>0.128</v>
      </c>
      <c r="BG559" s="61">
        <v>7.0620000000000003</v>
      </c>
      <c r="BH559" s="61">
        <v>2.9329999999999998</v>
      </c>
      <c r="BI559" s="61">
        <v>2.294</v>
      </c>
      <c r="BJ559" s="61">
        <v>12.29</v>
      </c>
      <c r="BK559" s="66">
        <v>25.013999999999999</v>
      </c>
      <c r="BL559" s="67">
        <v>102.76600000000001</v>
      </c>
      <c r="BM559" s="61">
        <v>21.632999999999999</v>
      </c>
      <c r="BN559" s="61">
        <v>9.5510000000000002</v>
      </c>
      <c r="BO559" s="61">
        <v>0.438</v>
      </c>
      <c r="BP559" s="61">
        <v>134.38800000000001</v>
      </c>
      <c r="BQ559" s="61">
        <v>283.49099999999999</v>
      </c>
      <c r="BR559" s="61">
        <v>11.608000000000001</v>
      </c>
      <c r="BS559" s="61">
        <v>63.142000000000003</v>
      </c>
      <c r="BT559" s="61">
        <v>229.209</v>
      </c>
      <c r="BU559" s="61">
        <v>16.091000000000001</v>
      </c>
      <c r="BV559" s="61">
        <v>20.539000000000001</v>
      </c>
      <c r="BW559" s="61">
        <v>36.628999999999998</v>
      </c>
      <c r="BX559" s="67">
        <v>624.07899999999995</v>
      </c>
      <c r="BY559" s="68">
        <v>161563</v>
      </c>
      <c r="BZ559" s="68">
        <v>127399</v>
      </c>
      <c r="CA559" s="69">
        <v>4966</v>
      </c>
      <c r="CB559" s="68">
        <v>129865</v>
      </c>
      <c r="CC559" s="68">
        <v>39907</v>
      </c>
      <c r="CD559" s="68">
        <v>150351</v>
      </c>
      <c r="CE559" s="72">
        <v>5142.9000000000005</v>
      </c>
      <c r="CF559" s="72">
        <v>6783.42</v>
      </c>
      <c r="CG559" s="70">
        <f t="shared" si="43"/>
        <v>5454.33</v>
      </c>
      <c r="CH559" s="70">
        <f t="shared" si="44"/>
        <v>208.572</v>
      </c>
      <c r="CI559" s="70">
        <f t="shared" si="45"/>
        <v>1676.0940000000001</v>
      </c>
      <c r="CJ559" s="70">
        <f t="shared" si="46"/>
        <v>6785.6459999999997</v>
      </c>
      <c r="CK559" s="70">
        <f t="shared" si="46"/>
        <v>5350.7579999999998</v>
      </c>
      <c r="CL559" s="70">
        <f t="shared" si="42"/>
        <v>6314.7420000000002</v>
      </c>
      <c r="CM559" s="61"/>
      <c r="CN559" s="61"/>
      <c r="CO559" s="61"/>
      <c r="CP559" s="61"/>
      <c r="CQ559" s="61"/>
      <c r="CR559" s="61"/>
      <c r="CS559" s="61"/>
      <c r="CT559" s="61"/>
      <c r="CU559" s="61"/>
      <c r="CV559" s="61"/>
      <c r="CW559" s="61"/>
      <c r="CX559" s="61"/>
      <c r="CY559" s="61"/>
      <c r="CZ559" s="61"/>
      <c r="DA559" s="61"/>
      <c r="DB559" s="61"/>
      <c r="DC559" s="61"/>
      <c r="DD559" s="61"/>
      <c r="DE559" s="61"/>
      <c r="DF559" s="61"/>
      <c r="DG559" s="61"/>
      <c r="DH559" s="61"/>
      <c r="DI559" s="61"/>
      <c r="DJ559" s="61"/>
      <c r="DK559" s="61"/>
      <c r="DL559" s="61"/>
      <c r="DM559" s="61"/>
      <c r="DN559" s="61"/>
      <c r="DO559" s="61"/>
      <c r="DP559" s="61"/>
      <c r="DQ559" s="61"/>
      <c r="DR559" s="61"/>
      <c r="DS559" s="61"/>
      <c r="DT559" s="61"/>
      <c r="DU559" s="61"/>
      <c r="DV559" s="61"/>
      <c r="DW559" s="61"/>
      <c r="DX559" s="61"/>
      <c r="DY559" s="61"/>
      <c r="DZ559" s="61"/>
      <c r="EA559" s="61"/>
      <c r="EB559" s="61"/>
      <c r="EC559" s="61"/>
      <c r="ED559" s="61"/>
      <c r="EE559" s="61"/>
      <c r="EF559" s="61"/>
      <c r="EG559" s="61"/>
      <c r="EH559" s="61"/>
      <c r="EI559" s="61"/>
      <c r="EJ559" s="61"/>
      <c r="EK559" s="61"/>
      <c r="EL559" s="61"/>
      <c r="EM559" s="61"/>
      <c r="EN559" s="61"/>
      <c r="EO559" s="61"/>
      <c r="EP559" s="61"/>
      <c r="EQ559" s="61"/>
      <c r="ER559" s="61"/>
      <c r="ES559" s="61"/>
      <c r="ET559" s="61"/>
      <c r="EU559" s="61"/>
      <c r="EV559" s="61"/>
      <c r="EW559" s="61"/>
    </row>
    <row r="560" spans="1:153">
      <c r="A560" s="56">
        <v>43617</v>
      </c>
      <c r="B560" s="57">
        <v>2019</v>
      </c>
      <c r="C560" s="71">
        <v>18.311</v>
      </c>
      <c r="D560" s="61">
        <v>0.249</v>
      </c>
      <c r="E560" s="61">
        <v>3370.3209999999999</v>
      </c>
      <c r="F560" s="61">
        <v>141.553</v>
      </c>
      <c r="G560" s="61">
        <v>18.062000000000001</v>
      </c>
      <c r="H560" s="61">
        <v>310</v>
      </c>
      <c r="I560" s="61">
        <v>300.16699999999997</v>
      </c>
      <c r="J560" s="61">
        <v>9.8330000000000002</v>
      </c>
      <c r="K560" s="61">
        <v>4408.4989999999998</v>
      </c>
      <c r="L560" s="61">
        <v>-406.47899999999998</v>
      </c>
      <c r="M560" s="61">
        <v>3786.6329999999998</v>
      </c>
      <c r="N560" s="61">
        <v>159.03899999999999</v>
      </c>
      <c r="O560" s="71">
        <v>20.292999999999999</v>
      </c>
      <c r="P560" s="60">
        <v>191.76599999999999</v>
      </c>
      <c r="Q560" s="61">
        <v>205.536</v>
      </c>
      <c r="R560" s="61">
        <v>433.49200000000002</v>
      </c>
      <c r="S560" s="61">
        <v>1009.853</v>
      </c>
      <c r="T560" s="61">
        <v>249.864</v>
      </c>
      <c r="U560" s="61">
        <v>17.039000000000001</v>
      </c>
      <c r="V560" s="61">
        <v>109.711</v>
      </c>
      <c r="W560" s="61">
        <v>199.74700000000001</v>
      </c>
      <c r="X560" s="61">
        <v>182.423</v>
      </c>
      <c r="Y560" s="61">
        <v>36.19</v>
      </c>
      <c r="Z560" s="61">
        <v>202.714</v>
      </c>
      <c r="AA560" s="61">
        <v>421.32799999999997</v>
      </c>
      <c r="AB560" s="60">
        <v>997.68899999999996</v>
      </c>
      <c r="AC560" s="62">
        <v>946.68200000000002</v>
      </c>
      <c r="AD560" s="61">
        <v>39.761000000000003</v>
      </c>
      <c r="AE560" s="61">
        <v>5.2009999999999996</v>
      </c>
      <c r="AF560" s="61">
        <v>600</v>
      </c>
      <c r="AG560" s="61">
        <v>2055</v>
      </c>
      <c r="AH560" s="61">
        <v>202</v>
      </c>
      <c r="AI560" s="61">
        <v>1344.682</v>
      </c>
      <c r="AJ560" s="61">
        <v>56.476999999999997</v>
      </c>
      <c r="AK560" s="62">
        <v>7.3879999999999999</v>
      </c>
      <c r="AL560" s="63">
        <f t="shared" si="47"/>
        <v>56.476999999999997</v>
      </c>
      <c r="AM560" s="64">
        <v>7.3879999999999999</v>
      </c>
      <c r="AN560" s="65" t="s">
        <v>121</v>
      </c>
      <c r="AO560" s="61" t="s">
        <v>121</v>
      </c>
      <c r="AP560" s="61">
        <v>48.170999999999999</v>
      </c>
      <c r="AQ560" s="61">
        <v>2.0230000000000001</v>
      </c>
      <c r="AR560" s="61">
        <v>0.25800000000000001</v>
      </c>
      <c r="AS560" s="61" t="s">
        <v>122</v>
      </c>
      <c r="AT560" s="61">
        <v>42</v>
      </c>
      <c r="AU560" s="61">
        <v>-1</v>
      </c>
      <c r="AV560" s="61">
        <v>49.170999999999999</v>
      </c>
      <c r="AW560" s="61">
        <v>2.0649999999999999</v>
      </c>
      <c r="AX560" s="65">
        <v>0.26400000000000001</v>
      </c>
      <c r="AY560" s="66">
        <v>3.2549999999999999</v>
      </c>
      <c r="AZ560" s="61">
        <v>26.062999999999999</v>
      </c>
      <c r="BA560" s="61">
        <v>44.835999999999999</v>
      </c>
      <c r="BB560" s="61">
        <v>74.153999999999996</v>
      </c>
      <c r="BC560" s="61">
        <v>0.161</v>
      </c>
      <c r="BD560" s="61">
        <v>1.921</v>
      </c>
      <c r="BE560" s="61">
        <v>10.513999999999999</v>
      </c>
      <c r="BF560" s="61">
        <v>0.109</v>
      </c>
      <c r="BG560" s="61">
        <v>6.8449999999999998</v>
      </c>
      <c r="BH560" s="61">
        <v>3.2890000000000001</v>
      </c>
      <c r="BI560" s="61">
        <v>2.2330000000000001</v>
      </c>
      <c r="BJ560" s="61">
        <v>12.366</v>
      </c>
      <c r="BK560" s="66">
        <v>25.071000000000002</v>
      </c>
      <c r="BL560" s="67">
        <v>100.01</v>
      </c>
      <c r="BM560" s="61">
        <v>20.292999999999999</v>
      </c>
      <c r="BN560" s="61">
        <v>7.3879999999999999</v>
      </c>
      <c r="BO560" s="61">
        <v>0.26400000000000001</v>
      </c>
      <c r="BP560" s="61">
        <v>127.95399999999999</v>
      </c>
      <c r="BQ560" s="61">
        <v>248.85900000000001</v>
      </c>
      <c r="BR560" s="61">
        <v>11.518000000000001</v>
      </c>
      <c r="BS560" s="61">
        <v>70.284999999999997</v>
      </c>
      <c r="BT560" s="61">
        <v>199.57</v>
      </c>
      <c r="BU560" s="61">
        <v>16.260000000000002</v>
      </c>
      <c r="BV560" s="61">
        <v>20.434000000000001</v>
      </c>
      <c r="BW560" s="61">
        <v>36.694000000000003</v>
      </c>
      <c r="BX560" s="67">
        <v>566.92700000000002</v>
      </c>
      <c r="BY560" s="68">
        <v>160521</v>
      </c>
      <c r="BZ560" s="68">
        <v>119796</v>
      </c>
      <c r="CA560" s="69">
        <v>3775</v>
      </c>
      <c r="CB560" s="68">
        <v>131094</v>
      </c>
      <c r="CC560" s="68">
        <v>45476</v>
      </c>
      <c r="CD560" s="68">
        <v>149603</v>
      </c>
      <c r="CE560" s="72">
        <v>4901.3999999999996</v>
      </c>
      <c r="CF560" s="72">
        <v>6741</v>
      </c>
      <c r="CG560" s="70">
        <f t="shared" si="43"/>
        <v>5505.9480000000003</v>
      </c>
      <c r="CH560" s="70">
        <f t="shared" si="44"/>
        <v>158.55000000000001</v>
      </c>
      <c r="CI560" s="70">
        <f t="shared" si="45"/>
        <v>1909.992</v>
      </c>
      <c r="CJ560" s="70">
        <f t="shared" si="46"/>
        <v>6741.8819999999996</v>
      </c>
      <c r="CK560" s="70">
        <f t="shared" si="46"/>
        <v>5031.4319999999998</v>
      </c>
      <c r="CL560" s="70">
        <f t="shared" si="42"/>
        <v>6283.326</v>
      </c>
      <c r="CM560" s="61"/>
      <c r="CN560" s="61"/>
      <c r="CO560" s="61"/>
      <c r="CP560" s="61"/>
      <c r="CQ560" s="61"/>
      <c r="CR560" s="61"/>
      <c r="CS560" s="61"/>
      <c r="CT560" s="61"/>
      <c r="CU560" s="61"/>
      <c r="CV560" s="61"/>
      <c r="CW560" s="61"/>
      <c r="CX560" s="61"/>
      <c r="CY560" s="61"/>
      <c r="CZ560" s="61"/>
      <c r="DA560" s="61"/>
      <c r="DB560" s="61"/>
      <c r="DC560" s="61"/>
      <c r="DD560" s="61"/>
      <c r="DE560" s="61"/>
      <c r="DF560" s="61"/>
      <c r="DG560" s="61"/>
      <c r="DH560" s="61"/>
      <c r="DI560" s="61"/>
      <c r="DJ560" s="61"/>
      <c r="DK560" s="61"/>
      <c r="DL560" s="61"/>
      <c r="DM560" s="61"/>
      <c r="DN560" s="61"/>
      <c r="DO560" s="61"/>
      <c r="DP560" s="61"/>
      <c r="DQ560" s="61"/>
      <c r="DR560" s="61"/>
      <c r="DS560" s="61"/>
      <c r="DT560" s="61"/>
      <c r="DU560" s="61"/>
      <c r="DV560" s="61"/>
      <c r="DW560" s="61"/>
      <c r="DX560" s="61"/>
      <c r="DY560" s="61"/>
      <c r="DZ560" s="61"/>
      <c r="EA560" s="61"/>
      <c r="EB560" s="61"/>
      <c r="EC560" s="61"/>
      <c r="ED560" s="61"/>
      <c r="EE560" s="61"/>
      <c r="EF560" s="61"/>
      <c r="EG560" s="61"/>
      <c r="EH560" s="61"/>
      <c r="EI560" s="61"/>
      <c r="EJ560" s="61"/>
      <c r="EK560" s="61"/>
      <c r="EL560" s="61"/>
      <c r="EM560" s="61"/>
      <c r="EN560" s="61"/>
      <c r="EO560" s="61"/>
      <c r="EP560" s="61"/>
      <c r="EQ560" s="61"/>
      <c r="ER560" s="61"/>
      <c r="ES560" s="61"/>
      <c r="ET560" s="61"/>
      <c r="EU560" s="61"/>
      <c r="EV560" s="61"/>
      <c r="EW560" s="61"/>
    </row>
    <row r="561" spans="1:153">
      <c r="A561" s="56">
        <v>43647</v>
      </c>
      <c r="B561" s="57">
        <v>2019</v>
      </c>
      <c r="C561" s="71">
        <v>20.516999999999999</v>
      </c>
      <c r="D561" s="61">
        <v>0.27900000000000003</v>
      </c>
      <c r="E561" s="61">
        <v>3776.4389999999999</v>
      </c>
      <c r="F561" s="61">
        <v>158.61000000000001</v>
      </c>
      <c r="G561" s="61">
        <v>20.238</v>
      </c>
      <c r="H561" s="61">
        <v>333</v>
      </c>
      <c r="I561" s="61">
        <v>391.762</v>
      </c>
      <c r="J561" s="61">
        <v>-58.762</v>
      </c>
      <c r="K561" s="61">
        <v>4087.6129999999998</v>
      </c>
      <c r="L561" s="61">
        <v>-320.88499999999999</v>
      </c>
      <c r="M561" s="61">
        <v>4038.5619999999999</v>
      </c>
      <c r="N561" s="61">
        <v>169.62</v>
      </c>
      <c r="O561" s="71">
        <v>21.643000000000001</v>
      </c>
      <c r="P561" s="60">
        <v>200.886</v>
      </c>
      <c r="Q561" s="61">
        <v>212.33099999999999</v>
      </c>
      <c r="R561" s="61">
        <v>449.75400000000002</v>
      </c>
      <c r="S561" s="61">
        <v>998.255</v>
      </c>
      <c r="T561" s="61">
        <v>221.36600000000001</v>
      </c>
      <c r="U561" s="61">
        <v>17.632000000000001</v>
      </c>
      <c r="V561" s="61">
        <v>112.828</v>
      </c>
      <c r="W561" s="61">
        <v>196.67400000000001</v>
      </c>
      <c r="X561" s="61">
        <v>192.53</v>
      </c>
      <c r="Y561" s="61">
        <v>36.536999999999999</v>
      </c>
      <c r="Z561" s="61">
        <v>207.63499999999999</v>
      </c>
      <c r="AA561" s="61">
        <v>436.702</v>
      </c>
      <c r="AB561" s="60">
        <v>985.20299999999997</v>
      </c>
      <c r="AC561" s="62">
        <v>1101.9590000000001</v>
      </c>
      <c r="AD561" s="61">
        <v>46.281999999999996</v>
      </c>
      <c r="AE561" s="61">
        <v>6.0540000000000003</v>
      </c>
      <c r="AF561" s="61">
        <v>546</v>
      </c>
      <c r="AG561" s="61">
        <v>2048</v>
      </c>
      <c r="AH561" s="61">
        <v>-7</v>
      </c>
      <c r="AI561" s="61">
        <v>1654.9590000000001</v>
      </c>
      <c r="AJ561" s="61">
        <v>69.507999999999996</v>
      </c>
      <c r="AK561" s="62">
        <v>9.0920000000000005</v>
      </c>
      <c r="AL561" s="63">
        <f t="shared" si="47"/>
        <v>69.507999999999996</v>
      </c>
      <c r="AM561" s="64">
        <v>9.0920000000000005</v>
      </c>
      <c r="AN561" s="65" t="s">
        <v>121</v>
      </c>
      <c r="AO561" s="61" t="s">
        <v>121</v>
      </c>
      <c r="AP561" s="61">
        <v>58.176000000000002</v>
      </c>
      <c r="AQ561" s="61">
        <v>2.4430000000000001</v>
      </c>
      <c r="AR561" s="61">
        <v>0.312</v>
      </c>
      <c r="AS561" s="61" t="s">
        <v>122</v>
      </c>
      <c r="AT561" s="61">
        <v>44</v>
      </c>
      <c r="AU561" s="61">
        <v>2</v>
      </c>
      <c r="AV561" s="61">
        <v>56.176000000000002</v>
      </c>
      <c r="AW561" s="61">
        <v>2.359</v>
      </c>
      <c r="AX561" s="65">
        <v>0.30099999999999999</v>
      </c>
      <c r="AY561" s="66">
        <v>3.363</v>
      </c>
      <c r="AZ561" s="61">
        <v>27.178000000000001</v>
      </c>
      <c r="BA561" s="61">
        <v>46.331000000000003</v>
      </c>
      <c r="BB561" s="61">
        <v>76.872</v>
      </c>
      <c r="BC561" s="61">
        <v>0.14299999999999999</v>
      </c>
      <c r="BD561" s="61">
        <v>1.97</v>
      </c>
      <c r="BE561" s="61">
        <v>11.042</v>
      </c>
      <c r="BF561" s="61">
        <v>9.6000000000000002E-2</v>
      </c>
      <c r="BG561" s="61">
        <v>7.1929999999999996</v>
      </c>
      <c r="BH561" s="61">
        <v>3.1890000000000001</v>
      </c>
      <c r="BI561" s="61">
        <v>2.2410000000000001</v>
      </c>
      <c r="BJ561" s="61">
        <v>12.622999999999999</v>
      </c>
      <c r="BK561" s="66">
        <v>25.873999999999999</v>
      </c>
      <c r="BL561" s="67">
        <v>100.363</v>
      </c>
      <c r="BM561" s="61">
        <v>21.643000000000001</v>
      </c>
      <c r="BN561" s="61">
        <v>9.0920000000000005</v>
      </c>
      <c r="BO561" s="61">
        <v>0.30099999999999999</v>
      </c>
      <c r="BP561" s="61">
        <v>131.399</v>
      </c>
      <c r="BQ561" s="61">
        <v>220.58799999999999</v>
      </c>
      <c r="BR561" s="61">
        <v>11.942</v>
      </c>
      <c r="BS561" s="61">
        <v>71.665000000000006</v>
      </c>
      <c r="BT561" s="61">
        <v>196.529</v>
      </c>
      <c r="BU561" s="61">
        <v>18.751000000000001</v>
      </c>
      <c r="BV561" s="61">
        <v>21.015000000000001</v>
      </c>
      <c r="BW561" s="61">
        <v>39.765999999999998</v>
      </c>
      <c r="BX561" s="67">
        <v>540.49</v>
      </c>
      <c r="BY561" s="68">
        <v>162620</v>
      </c>
      <c r="BZ561" s="68">
        <v>121247</v>
      </c>
      <c r="CA561" s="69">
        <v>5390</v>
      </c>
      <c r="CB561" s="68">
        <v>137674</v>
      </c>
      <c r="CC561" s="68">
        <v>42592</v>
      </c>
      <c r="CD561" s="68">
        <v>153166</v>
      </c>
      <c r="CE561" s="72">
        <v>4973.6400000000003</v>
      </c>
      <c r="CF561" s="72">
        <v>6835.5</v>
      </c>
      <c r="CG561" s="70">
        <f t="shared" si="43"/>
        <v>5782.308</v>
      </c>
      <c r="CH561" s="70">
        <f t="shared" si="44"/>
        <v>226.38</v>
      </c>
      <c r="CI561" s="70">
        <f t="shared" si="45"/>
        <v>1788.864</v>
      </c>
      <c r="CJ561" s="70">
        <f t="shared" si="46"/>
        <v>6830.04</v>
      </c>
      <c r="CK561" s="70">
        <f t="shared" si="46"/>
        <v>5092.3739999999998</v>
      </c>
      <c r="CL561" s="70">
        <f t="shared" si="42"/>
        <v>6432.9719999999998</v>
      </c>
      <c r="CM561" s="61"/>
      <c r="CN561" s="61"/>
      <c r="CO561" s="61"/>
      <c r="CP561" s="61"/>
      <c r="CQ561" s="61"/>
      <c r="CR561" s="61"/>
      <c r="CS561" s="61"/>
      <c r="CT561" s="61"/>
      <c r="CU561" s="61"/>
      <c r="CV561" s="61"/>
      <c r="CW561" s="61"/>
      <c r="CX561" s="61"/>
      <c r="CY561" s="61"/>
      <c r="CZ561" s="61"/>
      <c r="DA561" s="61"/>
      <c r="DB561" s="61"/>
      <c r="DC561" s="61"/>
      <c r="DD561" s="61"/>
      <c r="DE561" s="61"/>
      <c r="DF561" s="61"/>
      <c r="DG561" s="61"/>
      <c r="DH561" s="61"/>
      <c r="DI561" s="61"/>
      <c r="DJ561" s="61"/>
      <c r="DK561" s="61"/>
      <c r="DL561" s="61"/>
      <c r="DM561" s="61"/>
      <c r="DN561" s="61"/>
      <c r="DO561" s="61"/>
      <c r="DP561" s="61"/>
      <c r="DQ561" s="61"/>
      <c r="DR561" s="61"/>
      <c r="DS561" s="61"/>
      <c r="DT561" s="61"/>
      <c r="DU561" s="61"/>
      <c r="DV561" s="61"/>
      <c r="DW561" s="61"/>
      <c r="DX561" s="61"/>
      <c r="DY561" s="61"/>
      <c r="DZ561" s="61"/>
      <c r="EA561" s="61"/>
      <c r="EB561" s="61"/>
      <c r="EC561" s="61"/>
      <c r="ED561" s="61"/>
      <c r="EE561" s="61"/>
      <c r="EF561" s="61"/>
      <c r="EG561" s="61"/>
      <c r="EH561" s="61"/>
      <c r="EI561" s="61"/>
      <c r="EJ561" s="61"/>
      <c r="EK561" s="61"/>
      <c r="EL561" s="61"/>
      <c r="EM561" s="61"/>
      <c r="EN561" s="61"/>
      <c r="EO561" s="61"/>
      <c r="EP561" s="61"/>
      <c r="EQ561" s="61"/>
      <c r="ER561" s="61"/>
      <c r="ES561" s="61"/>
      <c r="ET561" s="61"/>
      <c r="EU561" s="61"/>
      <c r="EV561" s="61"/>
      <c r="EW561" s="61"/>
    </row>
    <row r="562" spans="1:153">
      <c r="A562" s="56">
        <v>43678</v>
      </c>
      <c r="B562" s="57">
        <v>2019</v>
      </c>
      <c r="C562" s="71">
        <v>20.167000000000002</v>
      </c>
      <c r="D562" s="61">
        <v>0.27500000000000002</v>
      </c>
      <c r="E562" s="61">
        <v>3711.8690000000001</v>
      </c>
      <c r="F562" s="61">
        <v>155.898</v>
      </c>
      <c r="G562" s="61">
        <v>19.891999999999999</v>
      </c>
      <c r="H562" s="61">
        <v>216</v>
      </c>
      <c r="I562" s="61">
        <v>291.05900000000003</v>
      </c>
      <c r="J562" s="61">
        <v>-75.058999999999997</v>
      </c>
      <c r="K562" s="61">
        <v>3859.616</v>
      </c>
      <c r="L562" s="61">
        <v>-227.99700000000001</v>
      </c>
      <c r="M562" s="61">
        <v>3864.8069999999998</v>
      </c>
      <c r="N562" s="61">
        <v>162.322</v>
      </c>
      <c r="O562" s="71">
        <v>20.712</v>
      </c>
      <c r="P562" s="60">
        <v>203.934</v>
      </c>
      <c r="Q562" s="61">
        <v>206.15100000000001</v>
      </c>
      <c r="R562" s="61">
        <v>447.08600000000001</v>
      </c>
      <c r="S562" s="61">
        <v>952.53700000000003</v>
      </c>
      <c r="T562" s="61">
        <v>200.928</v>
      </c>
      <c r="U562" s="61">
        <v>17.791</v>
      </c>
      <c r="V562" s="61">
        <v>108.94799999999999</v>
      </c>
      <c r="W562" s="61">
        <v>177.78399999999999</v>
      </c>
      <c r="X562" s="61">
        <v>193.483</v>
      </c>
      <c r="Y562" s="61">
        <v>37.000999999999998</v>
      </c>
      <c r="Z562" s="61">
        <v>203.42599999999999</v>
      </c>
      <c r="AA562" s="61">
        <v>433.91</v>
      </c>
      <c r="AB562" s="60">
        <v>939.36099999999999</v>
      </c>
      <c r="AC562" s="62">
        <v>718.57500000000005</v>
      </c>
      <c r="AD562" s="61">
        <v>30.18</v>
      </c>
      <c r="AE562" s="61">
        <v>3.948</v>
      </c>
      <c r="AF562" s="61">
        <v>433</v>
      </c>
      <c r="AG562" s="61">
        <v>1707</v>
      </c>
      <c r="AH562" s="61">
        <v>-341</v>
      </c>
      <c r="AI562" s="61">
        <v>1492.575</v>
      </c>
      <c r="AJ562" s="61">
        <v>62.688000000000002</v>
      </c>
      <c r="AK562" s="62">
        <v>8.1999999999999993</v>
      </c>
      <c r="AL562" s="63">
        <f t="shared" si="47"/>
        <v>62.688000000000002</v>
      </c>
      <c r="AM562" s="64">
        <v>8.1999999999999993</v>
      </c>
      <c r="AN562" s="65" t="s">
        <v>121</v>
      </c>
      <c r="AO562" s="61" t="s">
        <v>121</v>
      </c>
      <c r="AP562" s="61">
        <v>34.363</v>
      </c>
      <c r="AQ562" s="61">
        <v>1.4430000000000001</v>
      </c>
      <c r="AR562" s="61">
        <v>0.184</v>
      </c>
      <c r="AS562" s="61" t="s">
        <v>122</v>
      </c>
      <c r="AT562" s="61">
        <v>49</v>
      </c>
      <c r="AU562" s="61">
        <v>5</v>
      </c>
      <c r="AV562" s="61">
        <v>29.363</v>
      </c>
      <c r="AW562" s="61">
        <v>1.2330000000000001</v>
      </c>
      <c r="AX562" s="65">
        <v>0.157</v>
      </c>
      <c r="AY562" s="66">
        <v>3.363</v>
      </c>
      <c r="AZ562" s="61">
        <v>26.157</v>
      </c>
      <c r="BA562" s="61">
        <v>46.331000000000003</v>
      </c>
      <c r="BB562" s="61">
        <v>75.850999999999999</v>
      </c>
      <c r="BC562" s="61">
        <v>0.13400000000000001</v>
      </c>
      <c r="BD562" s="61">
        <v>1.9470000000000001</v>
      </c>
      <c r="BE562" s="61">
        <v>10.505000000000001</v>
      </c>
      <c r="BF562" s="61">
        <v>8.4000000000000005E-2</v>
      </c>
      <c r="BG562" s="61">
        <v>7.149</v>
      </c>
      <c r="BH562" s="61">
        <v>3.347</v>
      </c>
      <c r="BI562" s="61">
        <v>2.2229999999999999</v>
      </c>
      <c r="BJ562" s="61">
        <v>12.718999999999999</v>
      </c>
      <c r="BK562" s="66">
        <v>25.388000000000002</v>
      </c>
      <c r="BL562" s="67">
        <v>99.555000000000007</v>
      </c>
      <c r="BM562" s="61">
        <v>20.712</v>
      </c>
      <c r="BN562" s="61">
        <v>8.1999999999999993</v>
      </c>
      <c r="BO562" s="61">
        <v>0.157</v>
      </c>
      <c r="BP562" s="61">
        <v>128.624</v>
      </c>
      <c r="BQ562" s="61">
        <v>200.26599999999999</v>
      </c>
      <c r="BR562" s="61">
        <v>12.124000000000001</v>
      </c>
      <c r="BS562" s="61">
        <v>69.436999999999998</v>
      </c>
      <c r="BT562" s="61">
        <v>177.655</v>
      </c>
      <c r="BU562" s="61">
        <v>19.268000000000001</v>
      </c>
      <c r="BV562" s="61">
        <v>21.21</v>
      </c>
      <c r="BW562" s="61">
        <v>40.478000000000002</v>
      </c>
      <c r="BX562" s="67">
        <v>499.96</v>
      </c>
      <c r="BY562" s="68">
        <v>163261</v>
      </c>
      <c r="BZ562" s="68">
        <v>124914</v>
      </c>
      <c r="CA562" s="69">
        <v>4767</v>
      </c>
      <c r="CB562" s="68">
        <v>135636</v>
      </c>
      <c r="CC562" s="68">
        <v>47430</v>
      </c>
      <c r="CD562" s="68">
        <v>152288</v>
      </c>
      <c r="CE562" s="72">
        <v>5116.8599999999997</v>
      </c>
      <c r="CF562" s="72">
        <v>6861.5399999999991</v>
      </c>
      <c r="CG562" s="70">
        <f t="shared" si="43"/>
        <v>5696.7120000000004</v>
      </c>
      <c r="CH562" s="70">
        <f t="shared" si="44"/>
        <v>200.214</v>
      </c>
      <c r="CI562" s="70">
        <f t="shared" si="45"/>
        <v>1992.06</v>
      </c>
      <c r="CJ562" s="70">
        <f t="shared" si="46"/>
        <v>6856.9620000000004</v>
      </c>
      <c r="CK562" s="70">
        <f t="shared" si="46"/>
        <v>5246.3879999999999</v>
      </c>
      <c r="CL562" s="70">
        <f t="shared" si="42"/>
        <v>6396.0959999999995</v>
      </c>
      <c r="CM562" s="61"/>
      <c r="CN562" s="61"/>
      <c r="CO562" s="61"/>
      <c r="CP562" s="61"/>
      <c r="CQ562" s="61"/>
      <c r="CR562" s="61"/>
      <c r="CS562" s="61"/>
      <c r="CT562" s="61"/>
      <c r="CU562" s="61"/>
      <c r="CV562" s="61"/>
      <c r="CW562" s="61"/>
      <c r="CX562" s="61"/>
      <c r="CY562" s="61"/>
      <c r="CZ562" s="61"/>
      <c r="DA562" s="61"/>
      <c r="DB562" s="61"/>
      <c r="DC562" s="61"/>
      <c r="DD562" s="61"/>
      <c r="DE562" s="61"/>
      <c r="DF562" s="61"/>
      <c r="DG562" s="61"/>
      <c r="DH562" s="61"/>
      <c r="DI562" s="61"/>
      <c r="DJ562" s="61"/>
      <c r="DK562" s="61"/>
      <c r="DL562" s="61"/>
      <c r="DM562" s="61"/>
      <c r="DN562" s="61"/>
      <c r="DO562" s="61"/>
      <c r="DP562" s="61"/>
      <c r="DQ562" s="61"/>
      <c r="DR562" s="61"/>
      <c r="DS562" s="61"/>
      <c r="DT562" s="61"/>
      <c r="DU562" s="61"/>
      <c r="DV562" s="61"/>
      <c r="DW562" s="61"/>
      <c r="DX562" s="61"/>
      <c r="DY562" s="61"/>
      <c r="DZ562" s="61"/>
      <c r="EA562" s="61"/>
      <c r="EB562" s="61"/>
      <c r="EC562" s="61"/>
      <c r="ED562" s="61"/>
      <c r="EE562" s="61"/>
      <c r="EF562" s="61"/>
      <c r="EG562" s="61"/>
      <c r="EH562" s="61"/>
      <c r="EI562" s="61"/>
      <c r="EJ562" s="61"/>
      <c r="EK562" s="61"/>
      <c r="EL562" s="61"/>
      <c r="EM562" s="61"/>
      <c r="EN562" s="61"/>
      <c r="EO562" s="61"/>
      <c r="EP562" s="61"/>
      <c r="EQ562" s="61"/>
      <c r="ER562" s="61"/>
      <c r="ES562" s="61"/>
      <c r="ET562" s="61"/>
      <c r="EU562" s="61"/>
      <c r="EV562" s="61"/>
      <c r="EW562" s="61"/>
    </row>
    <row r="563" spans="1:153">
      <c r="A563" s="56">
        <v>43709</v>
      </c>
      <c r="B563" s="57">
        <v>2019</v>
      </c>
      <c r="C563" s="71">
        <v>18.349</v>
      </c>
      <c r="D563" s="61">
        <v>0.25</v>
      </c>
      <c r="E563" s="61">
        <v>3377.2930000000001</v>
      </c>
      <c r="F563" s="61">
        <v>141.846</v>
      </c>
      <c r="G563" s="61">
        <v>18.099</v>
      </c>
      <c r="H563" s="61">
        <v>280</v>
      </c>
      <c r="I563" s="61">
        <v>237.60499999999999</v>
      </c>
      <c r="J563" s="61">
        <v>42.395000000000003</v>
      </c>
      <c r="K563" s="61">
        <v>3705.7779999999998</v>
      </c>
      <c r="L563" s="61">
        <v>-153.83799999999999</v>
      </c>
      <c r="M563" s="61">
        <v>3573.5259999999998</v>
      </c>
      <c r="N563" s="61">
        <v>150.08799999999999</v>
      </c>
      <c r="O563" s="71">
        <v>19.151</v>
      </c>
      <c r="P563" s="60">
        <v>191.75399999999999</v>
      </c>
      <c r="Q563" s="61">
        <v>190.553</v>
      </c>
      <c r="R563" s="61">
        <v>416.911</v>
      </c>
      <c r="S563" s="61">
        <v>912.45500000000004</v>
      </c>
      <c r="T563" s="61">
        <v>164.86099999999999</v>
      </c>
      <c r="U563" s="61">
        <v>17.39</v>
      </c>
      <c r="V563" s="61">
        <v>95.149000000000001</v>
      </c>
      <c r="W563" s="61">
        <v>218.14500000000001</v>
      </c>
      <c r="X563" s="61">
        <v>182.03299999999999</v>
      </c>
      <c r="Y563" s="61">
        <v>34.603999999999999</v>
      </c>
      <c r="Z563" s="61">
        <v>188.93199999999999</v>
      </c>
      <c r="AA563" s="61">
        <v>405.56900000000002</v>
      </c>
      <c r="AB563" s="60">
        <v>901.11400000000003</v>
      </c>
      <c r="AC563" s="62">
        <v>968.86599999999999</v>
      </c>
      <c r="AD563" s="61">
        <v>40.692</v>
      </c>
      <c r="AE563" s="61">
        <v>5.3230000000000004</v>
      </c>
      <c r="AF563" s="61">
        <v>325</v>
      </c>
      <c r="AG563" s="61">
        <v>1554</v>
      </c>
      <c r="AH563" s="61">
        <v>-153</v>
      </c>
      <c r="AI563" s="61">
        <v>1446.866</v>
      </c>
      <c r="AJ563" s="61">
        <v>60.768000000000001</v>
      </c>
      <c r="AK563" s="62">
        <v>7.9489999999999998</v>
      </c>
      <c r="AL563" s="63">
        <f t="shared" si="47"/>
        <v>60.768000000000001</v>
      </c>
      <c r="AM563" s="64">
        <v>7.9489999999999998</v>
      </c>
      <c r="AN563" s="65" t="s">
        <v>121</v>
      </c>
      <c r="AO563" s="61" t="s">
        <v>121</v>
      </c>
      <c r="AP563" s="61">
        <v>69.403999999999996</v>
      </c>
      <c r="AQ563" s="61">
        <v>2.915</v>
      </c>
      <c r="AR563" s="61">
        <v>0.372</v>
      </c>
      <c r="AS563" s="61" t="s">
        <v>122</v>
      </c>
      <c r="AT563" s="61">
        <v>49</v>
      </c>
      <c r="AU563" s="61">
        <v>0</v>
      </c>
      <c r="AV563" s="61">
        <v>69.403999999999996</v>
      </c>
      <c r="AW563" s="61">
        <v>2.915</v>
      </c>
      <c r="AX563" s="65">
        <v>0.372</v>
      </c>
      <c r="AY563" s="66">
        <v>3.2549999999999999</v>
      </c>
      <c r="AZ563" s="61">
        <v>23.132999999999999</v>
      </c>
      <c r="BA563" s="61">
        <v>44.835999999999999</v>
      </c>
      <c r="BB563" s="61">
        <v>71.224999999999994</v>
      </c>
      <c r="BC563" s="61">
        <v>0.106</v>
      </c>
      <c r="BD563" s="61">
        <v>1.8819999999999999</v>
      </c>
      <c r="BE563" s="61">
        <v>9.3390000000000004</v>
      </c>
      <c r="BF563" s="61">
        <v>0.123</v>
      </c>
      <c r="BG563" s="61">
        <v>6.9180000000000001</v>
      </c>
      <c r="BH563" s="61">
        <v>3.2069999999999999</v>
      </c>
      <c r="BI563" s="61">
        <v>2.0739999999999998</v>
      </c>
      <c r="BJ563" s="61">
        <v>12.199</v>
      </c>
      <c r="BK563" s="66">
        <v>23.649000000000001</v>
      </c>
      <c r="BL563" s="67">
        <v>92.905000000000001</v>
      </c>
      <c r="BM563" s="61">
        <v>19.151</v>
      </c>
      <c r="BN563" s="61">
        <v>7.9489999999999998</v>
      </c>
      <c r="BO563" s="61">
        <v>0.372</v>
      </c>
      <c r="BP563" s="61">
        <v>120.376</v>
      </c>
      <c r="BQ563" s="61">
        <v>164.28800000000001</v>
      </c>
      <c r="BR563" s="61">
        <v>11.907999999999999</v>
      </c>
      <c r="BS563" s="61">
        <v>60.100999999999999</v>
      </c>
      <c r="BT563" s="61">
        <v>217.97399999999999</v>
      </c>
      <c r="BU563" s="61">
        <v>16.856999999999999</v>
      </c>
      <c r="BV563" s="61">
        <v>19.658000000000001</v>
      </c>
      <c r="BW563" s="61">
        <v>36.515000000000001</v>
      </c>
      <c r="BX563" s="67">
        <v>490.786</v>
      </c>
      <c r="BY563" s="68">
        <v>151050</v>
      </c>
      <c r="BZ563" s="68">
        <v>117617</v>
      </c>
      <c r="CA563" s="69">
        <v>3536</v>
      </c>
      <c r="CB563" s="68">
        <v>131838</v>
      </c>
      <c r="CC563" s="68">
        <v>42811</v>
      </c>
      <c r="CD563" s="68">
        <v>141165</v>
      </c>
      <c r="CE563" s="72">
        <v>4737.5999999999995</v>
      </c>
      <c r="CF563" s="72">
        <v>6350.4000000000005</v>
      </c>
      <c r="CG563" s="70">
        <f t="shared" si="43"/>
        <v>5537.1959999999999</v>
      </c>
      <c r="CH563" s="70">
        <f t="shared" si="44"/>
        <v>148.512</v>
      </c>
      <c r="CI563" s="70">
        <f t="shared" si="45"/>
        <v>1798.0619999999999</v>
      </c>
      <c r="CJ563" s="70">
        <f t="shared" si="46"/>
        <v>6344.1</v>
      </c>
      <c r="CK563" s="70">
        <f t="shared" si="46"/>
        <v>4939.9139999999998</v>
      </c>
      <c r="CL563" s="70">
        <f t="shared" si="42"/>
        <v>5928.93</v>
      </c>
      <c r="CM563" s="61"/>
      <c r="CN563" s="61"/>
      <c r="CO563" s="61"/>
      <c r="CP563" s="61"/>
      <c r="CQ563" s="61"/>
      <c r="CR563" s="61"/>
      <c r="CS563" s="61"/>
      <c r="CT563" s="61"/>
      <c r="CU563" s="61"/>
      <c r="CV563" s="61"/>
      <c r="CW563" s="61"/>
      <c r="CX563" s="61"/>
      <c r="CY563" s="61"/>
      <c r="CZ563" s="61"/>
      <c r="DA563" s="61"/>
      <c r="DB563" s="61"/>
      <c r="DC563" s="61"/>
      <c r="DD563" s="61"/>
      <c r="DE563" s="61"/>
      <c r="DF563" s="61"/>
      <c r="DG563" s="61"/>
      <c r="DH563" s="61"/>
      <c r="DI563" s="61"/>
      <c r="DJ563" s="61"/>
      <c r="DK563" s="61"/>
      <c r="DL563" s="61"/>
      <c r="DM563" s="61"/>
      <c r="DN563" s="61"/>
      <c r="DO563" s="61"/>
      <c r="DP563" s="61"/>
      <c r="DQ563" s="61"/>
      <c r="DR563" s="61"/>
      <c r="DS563" s="61"/>
      <c r="DT563" s="61"/>
      <c r="DU563" s="61"/>
      <c r="DV563" s="61"/>
      <c r="DW563" s="61"/>
      <c r="DX563" s="61"/>
      <c r="DY563" s="61"/>
      <c r="DZ563" s="61"/>
      <c r="EA563" s="61"/>
      <c r="EB563" s="61"/>
      <c r="EC563" s="61"/>
      <c r="ED563" s="61"/>
      <c r="EE563" s="61"/>
      <c r="EF563" s="61"/>
      <c r="EG563" s="61"/>
      <c r="EH563" s="61"/>
      <c r="EI563" s="61"/>
      <c r="EJ563" s="61"/>
      <c r="EK563" s="61"/>
      <c r="EL563" s="61"/>
      <c r="EM563" s="61"/>
      <c r="EN563" s="61"/>
      <c r="EO563" s="61"/>
      <c r="EP563" s="61"/>
      <c r="EQ563" s="61"/>
      <c r="ER563" s="61"/>
      <c r="ES563" s="61"/>
      <c r="ET563" s="61"/>
      <c r="EU563" s="61"/>
      <c r="EV563" s="61"/>
      <c r="EW563" s="61"/>
    </row>
    <row r="564" spans="1:153">
      <c r="A564" s="56">
        <v>43739</v>
      </c>
      <c r="B564" s="57">
        <v>2019</v>
      </c>
      <c r="C564" s="71">
        <v>18.667999999999999</v>
      </c>
      <c r="D564" s="61">
        <v>0.254</v>
      </c>
      <c r="E564" s="61">
        <v>3436.0430000000001</v>
      </c>
      <c r="F564" s="61">
        <v>144.31399999999999</v>
      </c>
      <c r="G564" s="61">
        <v>18.414000000000001</v>
      </c>
      <c r="H564" s="61">
        <v>314</v>
      </c>
      <c r="I564" s="61">
        <v>157.905</v>
      </c>
      <c r="J564" s="61">
        <v>156.095</v>
      </c>
      <c r="K564" s="61">
        <v>3737.7429999999999</v>
      </c>
      <c r="L564" s="61">
        <v>31.963999999999999</v>
      </c>
      <c r="M564" s="61">
        <v>3560.174</v>
      </c>
      <c r="N564" s="61">
        <v>149.52699999999999</v>
      </c>
      <c r="O564" s="71">
        <v>19.079000000000001</v>
      </c>
      <c r="P564" s="60">
        <v>193.71</v>
      </c>
      <c r="Q564" s="61">
        <v>201.55099999999999</v>
      </c>
      <c r="R564" s="61">
        <v>432.54</v>
      </c>
      <c r="S564" s="61">
        <v>941.52300000000002</v>
      </c>
      <c r="T564" s="61">
        <v>162.90299999999999</v>
      </c>
      <c r="U564" s="61">
        <v>15.547000000000001</v>
      </c>
      <c r="V564" s="61">
        <v>84.700999999999993</v>
      </c>
      <c r="W564" s="61">
        <v>245.83099999999999</v>
      </c>
      <c r="X564" s="61">
        <v>184.96799999999999</v>
      </c>
      <c r="Y564" s="61">
        <v>37.279000000000003</v>
      </c>
      <c r="Z564" s="61">
        <v>201.94</v>
      </c>
      <c r="AA564" s="61">
        <v>424.18700000000001</v>
      </c>
      <c r="AB564" s="60">
        <v>933.17</v>
      </c>
      <c r="AC564" s="62">
        <v>1156.4100000000001</v>
      </c>
      <c r="AD564" s="61">
        <v>48.569000000000003</v>
      </c>
      <c r="AE564" s="61">
        <v>6.3529999999999998</v>
      </c>
      <c r="AF564" s="61">
        <v>696</v>
      </c>
      <c r="AG564" s="61">
        <v>1821</v>
      </c>
      <c r="AH564" s="61">
        <v>267</v>
      </c>
      <c r="AI564" s="61">
        <v>1585.41</v>
      </c>
      <c r="AJ564" s="61">
        <v>66.587000000000003</v>
      </c>
      <c r="AK564" s="62">
        <v>8.7100000000000009</v>
      </c>
      <c r="AL564" s="63">
        <f t="shared" si="47"/>
        <v>66.587000000000003</v>
      </c>
      <c r="AM564" s="64">
        <v>8.7100000000000009</v>
      </c>
      <c r="AN564" s="65" t="s">
        <v>121</v>
      </c>
      <c r="AO564" s="61" t="s">
        <v>121</v>
      </c>
      <c r="AP564" s="61">
        <v>55.930999999999997</v>
      </c>
      <c r="AQ564" s="61">
        <v>2.3490000000000002</v>
      </c>
      <c r="AR564" s="61">
        <v>0.3</v>
      </c>
      <c r="AS564" s="61" t="s">
        <v>122</v>
      </c>
      <c r="AT564" s="61">
        <v>40</v>
      </c>
      <c r="AU564" s="61">
        <v>-9</v>
      </c>
      <c r="AV564" s="61">
        <v>64.930999999999997</v>
      </c>
      <c r="AW564" s="61">
        <v>2.7269999999999999</v>
      </c>
      <c r="AX564" s="65">
        <v>0.34799999999999998</v>
      </c>
      <c r="AY564" s="66">
        <v>3.363</v>
      </c>
      <c r="AZ564" s="61">
        <v>20.373000000000001</v>
      </c>
      <c r="BA564" s="61">
        <v>46.331000000000003</v>
      </c>
      <c r="BB564" s="61">
        <v>70.066999999999993</v>
      </c>
      <c r="BC564" s="61">
        <v>9.6000000000000002E-2</v>
      </c>
      <c r="BD564" s="61">
        <v>2.0129999999999999</v>
      </c>
      <c r="BE564" s="61">
        <v>8.25</v>
      </c>
      <c r="BF564" s="61">
        <v>0.153</v>
      </c>
      <c r="BG564" s="61">
        <v>7.1520000000000001</v>
      </c>
      <c r="BH564" s="61">
        <v>3.1789999999999998</v>
      </c>
      <c r="BI564" s="61">
        <v>2.258</v>
      </c>
      <c r="BJ564" s="61">
        <v>12.59</v>
      </c>
      <c r="BK564" s="66">
        <v>23.100999999999999</v>
      </c>
      <c r="BL564" s="67">
        <v>101.146</v>
      </c>
      <c r="BM564" s="61">
        <v>19.079000000000001</v>
      </c>
      <c r="BN564" s="61">
        <v>8.7100000000000009</v>
      </c>
      <c r="BO564" s="61">
        <v>0.34799999999999998</v>
      </c>
      <c r="BP564" s="61">
        <v>129.28299999999999</v>
      </c>
      <c r="BQ564" s="61">
        <v>162.24700000000001</v>
      </c>
      <c r="BR564" s="61">
        <v>9.8149999999999995</v>
      </c>
      <c r="BS564" s="61">
        <v>53.752000000000002</v>
      </c>
      <c r="BT564" s="61">
        <v>245.59899999999999</v>
      </c>
      <c r="BU564" s="61">
        <v>14.635</v>
      </c>
      <c r="BV564" s="61">
        <v>20.567</v>
      </c>
      <c r="BW564" s="61">
        <v>35.201999999999998</v>
      </c>
      <c r="BX564" s="67">
        <v>506.61399999999998</v>
      </c>
      <c r="BY564" s="68">
        <v>148612</v>
      </c>
      <c r="BZ564" s="68">
        <v>130951</v>
      </c>
      <c r="CA564" s="69">
        <v>5756</v>
      </c>
      <c r="CB564" s="68">
        <v>120073</v>
      </c>
      <c r="CC564" s="68">
        <v>37352</v>
      </c>
      <c r="CD564" s="68">
        <v>137247</v>
      </c>
      <c r="CE564" s="72">
        <v>5181.96</v>
      </c>
      <c r="CF564" s="72">
        <v>6236.58</v>
      </c>
      <c r="CG564" s="70">
        <f t="shared" si="43"/>
        <v>5043.0659999999998</v>
      </c>
      <c r="CH564" s="70">
        <f t="shared" si="44"/>
        <v>241.75200000000001</v>
      </c>
      <c r="CI564" s="70">
        <f t="shared" si="45"/>
        <v>1568.7840000000001</v>
      </c>
      <c r="CJ564" s="70">
        <f t="shared" si="46"/>
        <v>6241.7039999999997</v>
      </c>
      <c r="CK564" s="70">
        <f t="shared" si="46"/>
        <v>5499.942</v>
      </c>
      <c r="CL564" s="70">
        <f t="shared" si="42"/>
        <v>5764.3739999999998</v>
      </c>
      <c r="CM564" s="61"/>
      <c r="CN564" s="61"/>
      <c r="CO564" s="61"/>
      <c r="CP564" s="61"/>
      <c r="CQ564" s="61"/>
      <c r="CR564" s="61"/>
      <c r="CS564" s="61"/>
      <c r="CT564" s="61"/>
      <c r="CU564" s="61"/>
      <c r="CV564" s="61"/>
      <c r="CW564" s="61"/>
      <c r="CX564" s="61"/>
      <c r="CY564" s="61"/>
      <c r="CZ564" s="61"/>
      <c r="DA564" s="61"/>
      <c r="DB564" s="61"/>
      <c r="DC564" s="61"/>
      <c r="DD564" s="61"/>
      <c r="DE564" s="61"/>
      <c r="DF564" s="61"/>
      <c r="DG564" s="61"/>
      <c r="DH564" s="61"/>
      <c r="DI564" s="61"/>
      <c r="DJ564" s="61"/>
      <c r="DK564" s="61"/>
      <c r="DL564" s="61"/>
      <c r="DM564" s="61"/>
      <c r="DN564" s="61"/>
      <c r="DO564" s="61"/>
      <c r="DP564" s="61"/>
      <c r="DQ564" s="61"/>
      <c r="DR564" s="61"/>
      <c r="DS564" s="61"/>
      <c r="DT564" s="61"/>
      <c r="DU564" s="61"/>
      <c r="DV564" s="61"/>
      <c r="DW564" s="61"/>
      <c r="DX564" s="61"/>
      <c r="DY564" s="61"/>
      <c r="DZ564" s="61"/>
      <c r="EA564" s="61"/>
      <c r="EB564" s="61"/>
      <c r="EC564" s="61"/>
      <c r="ED564" s="61"/>
      <c r="EE564" s="61"/>
      <c r="EF564" s="61"/>
      <c r="EG564" s="61"/>
      <c r="EH564" s="61"/>
      <c r="EI564" s="61"/>
      <c r="EJ564" s="61"/>
      <c r="EK564" s="61"/>
      <c r="EL564" s="61"/>
      <c r="EM564" s="61"/>
      <c r="EN564" s="61"/>
      <c r="EO564" s="61"/>
      <c r="EP564" s="61"/>
      <c r="EQ564" s="61"/>
      <c r="ER564" s="61"/>
      <c r="ES564" s="61"/>
      <c r="ET564" s="61"/>
      <c r="EU564" s="61"/>
      <c r="EV564" s="61"/>
      <c r="EW564" s="61"/>
    </row>
    <row r="565" spans="1:153">
      <c r="A565" s="56">
        <v>43770</v>
      </c>
      <c r="B565" s="57">
        <v>2019</v>
      </c>
      <c r="C565" s="71">
        <v>16.483000000000001</v>
      </c>
      <c r="D565" s="61">
        <v>0.22500000000000001</v>
      </c>
      <c r="E565" s="61">
        <v>3033.8980000000001</v>
      </c>
      <c r="F565" s="61">
        <v>127.42400000000001</v>
      </c>
      <c r="G565" s="61">
        <v>16.259</v>
      </c>
      <c r="H565" s="61">
        <v>417</v>
      </c>
      <c r="I565" s="61">
        <v>55.902999999999999</v>
      </c>
      <c r="J565" s="61">
        <v>361.09699999999998</v>
      </c>
      <c r="K565" s="61">
        <v>3886.7339999999999</v>
      </c>
      <c r="L565" s="61">
        <v>148.99</v>
      </c>
      <c r="M565" s="61">
        <v>3246.0050000000001</v>
      </c>
      <c r="N565" s="61">
        <v>136.33199999999999</v>
      </c>
      <c r="O565" s="71">
        <v>17.395</v>
      </c>
      <c r="P565" s="60">
        <v>193.41800000000001</v>
      </c>
      <c r="Q565" s="61">
        <v>200.85400000000001</v>
      </c>
      <c r="R565" s="61">
        <v>431.23500000000001</v>
      </c>
      <c r="S565" s="61">
        <v>912.04</v>
      </c>
      <c r="T565" s="61">
        <v>179.916</v>
      </c>
      <c r="U565" s="61">
        <v>13.972</v>
      </c>
      <c r="V565" s="61">
        <v>62.802</v>
      </c>
      <c r="W565" s="61">
        <v>224.11600000000001</v>
      </c>
      <c r="X565" s="61">
        <v>184.035</v>
      </c>
      <c r="Y565" s="61">
        <v>36.963000000000001</v>
      </c>
      <c r="Z565" s="61">
        <v>198.4</v>
      </c>
      <c r="AA565" s="61">
        <v>419.399</v>
      </c>
      <c r="AB565" s="60">
        <v>900.20399999999995</v>
      </c>
      <c r="AC565" s="62">
        <v>1009.271</v>
      </c>
      <c r="AD565" s="61">
        <v>42.389000000000003</v>
      </c>
      <c r="AE565" s="61">
        <v>5.5449999999999999</v>
      </c>
      <c r="AF565" s="61">
        <v>499</v>
      </c>
      <c r="AG565" s="61">
        <v>1771</v>
      </c>
      <c r="AH565" s="61">
        <v>-50</v>
      </c>
      <c r="AI565" s="61">
        <v>1558.271</v>
      </c>
      <c r="AJ565" s="61">
        <v>65.447000000000003</v>
      </c>
      <c r="AK565" s="62">
        <v>8.5609999999999999</v>
      </c>
      <c r="AL565" s="63">
        <f t="shared" si="47"/>
        <v>65.447000000000003</v>
      </c>
      <c r="AM565" s="64">
        <v>8.5609999999999999</v>
      </c>
      <c r="AN565" s="65" t="s">
        <v>121</v>
      </c>
      <c r="AO565" s="61" t="s">
        <v>121</v>
      </c>
      <c r="AP565" s="61">
        <v>68.31</v>
      </c>
      <c r="AQ565" s="61">
        <v>2.8690000000000002</v>
      </c>
      <c r="AR565" s="61">
        <v>0.36599999999999999</v>
      </c>
      <c r="AS565" s="61" t="s">
        <v>122</v>
      </c>
      <c r="AT565" s="61">
        <v>45</v>
      </c>
      <c r="AU565" s="61">
        <v>5</v>
      </c>
      <c r="AV565" s="61">
        <v>63.31</v>
      </c>
      <c r="AW565" s="61">
        <v>2.6589999999999998</v>
      </c>
      <c r="AX565" s="65">
        <v>0.33900000000000002</v>
      </c>
      <c r="AY565" s="66">
        <v>3.2549999999999999</v>
      </c>
      <c r="AZ565" s="61">
        <v>16.123000000000001</v>
      </c>
      <c r="BA565" s="61">
        <v>44.835999999999999</v>
      </c>
      <c r="BB565" s="61">
        <v>64.213999999999999</v>
      </c>
      <c r="BC565" s="61">
        <v>0.109</v>
      </c>
      <c r="BD565" s="61">
        <v>1.994</v>
      </c>
      <c r="BE565" s="61">
        <v>6.3970000000000002</v>
      </c>
      <c r="BF565" s="61">
        <v>0.14699999999999999</v>
      </c>
      <c r="BG565" s="61">
        <v>6.9489999999999998</v>
      </c>
      <c r="BH565" s="61">
        <v>3.1150000000000002</v>
      </c>
      <c r="BI565" s="61">
        <v>2.2040000000000002</v>
      </c>
      <c r="BJ565" s="61">
        <v>12.268000000000001</v>
      </c>
      <c r="BK565" s="66">
        <v>20.914999999999999</v>
      </c>
      <c r="BL565" s="67">
        <v>98.703999999999994</v>
      </c>
      <c r="BM565" s="61">
        <v>17.395</v>
      </c>
      <c r="BN565" s="61">
        <v>8.5609999999999999</v>
      </c>
      <c r="BO565" s="61">
        <v>0.33900000000000002</v>
      </c>
      <c r="BP565" s="61">
        <v>125</v>
      </c>
      <c r="BQ565" s="61">
        <v>179.214</v>
      </c>
      <c r="BR565" s="61">
        <v>8.3770000000000007</v>
      </c>
      <c r="BS565" s="61">
        <v>38.47</v>
      </c>
      <c r="BT565" s="61">
        <v>223.89599999999999</v>
      </c>
      <c r="BU565" s="61">
        <v>15.714</v>
      </c>
      <c r="BV565" s="61">
        <v>20.364999999999998</v>
      </c>
      <c r="BW565" s="61">
        <v>36.079000000000001</v>
      </c>
      <c r="BX565" s="67">
        <v>486.036</v>
      </c>
      <c r="BY565" s="68">
        <v>156933</v>
      </c>
      <c r="BZ565" s="68">
        <v>126044</v>
      </c>
      <c r="CA565" s="69">
        <v>7753</v>
      </c>
      <c r="CB565" s="68">
        <v>126221</v>
      </c>
      <c r="CC565" s="68">
        <v>34428</v>
      </c>
      <c r="CD565" s="68">
        <v>144643</v>
      </c>
      <c r="CE565" s="72">
        <v>4788</v>
      </c>
      <c r="CF565" s="72">
        <v>6589.8000000000011</v>
      </c>
      <c r="CG565" s="70">
        <f t="shared" si="43"/>
        <v>5301.2820000000002</v>
      </c>
      <c r="CH565" s="70">
        <f t="shared" si="44"/>
        <v>325.62599999999998</v>
      </c>
      <c r="CI565" s="70">
        <f t="shared" si="45"/>
        <v>1445.9760000000001</v>
      </c>
      <c r="CJ565" s="70">
        <f t="shared" si="46"/>
        <v>6591.1859999999997</v>
      </c>
      <c r="CK565" s="70">
        <f t="shared" si="46"/>
        <v>5293.848</v>
      </c>
      <c r="CL565" s="70">
        <f t="shared" si="42"/>
        <v>6075.0060000000003</v>
      </c>
      <c r="CM565" s="61"/>
      <c r="CN565" s="61"/>
      <c r="CO565" s="61"/>
      <c r="CP565" s="61"/>
      <c r="CQ565" s="61"/>
      <c r="CR565" s="61"/>
      <c r="CS565" s="61"/>
      <c r="CT565" s="61"/>
      <c r="CU565" s="61"/>
      <c r="CV565" s="61"/>
      <c r="CW565" s="61"/>
      <c r="CX565" s="61"/>
      <c r="CY565" s="61"/>
      <c r="CZ565" s="61"/>
      <c r="DA565" s="61"/>
      <c r="DB565" s="61"/>
      <c r="DC565" s="61"/>
      <c r="DD565" s="61"/>
      <c r="DE565" s="61"/>
      <c r="DF565" s="61"/>
      <c r="DG565" s="61"/>
      <c r="DH565" s="61"/>
      <c r="DI565" s="61"/>
      <c r="DJ565" s="61"/>
      <c r="DK565" s="61"/>
      <c r="DL565" s="61"/>
      <c r="DM565" s="61"/>
      <c r="DN565" s="61"/>
      <c r="DO565" s="61"/>
      <c r="DP565" s="61"/>
      <c r="DQ565" s="61"/>
      <c r="DR565" s="61"/>
      <c r="DS565" s="61"/>
      <c r="DT565" s="61"/>
      <c r="DU565" s="61"/>
      <c r="DV565" s="61"/>
      <c r="DW565" s="61"/>
      <c r="DX565" s="61"/>
      <c r="DY565" s="61"/>
      <c r="DZ565" s="61"/>
      <c r="EA565" s="61"/>
      <c r="EB565" s="61"/>
      <c r="EC565" s="61"/>
      <c r="ED565" s="61"/>
      <c r="EE565" s="61"/>
      <c r="EF565" s="61"/>
      <c r="EG565" s="61"/>
      <c r="EH565" s="61"/>
      <c r="EI565" s="61"/>
      <c r="EJ565" s="61"/>
      <c r="EK565" s="61"/>
      <c r="EL565" s="61"/>
      <c r="EM565" s="61"/>
      <c r="EN565" s="61"/>
      <c r="EO565" s="61"/>
      <c r="EP565" s="61"/>
      <c r="EQ565" s="61"/>
      <c r="ER565" s="61"/>
      <c r="ES565" s="61"/>
      <c r="ET565" s="61"/>
      <c r="EU565" s="61"/>
      <c r="EV565" s="61"/>
      <c r="EW565" s="61"/>
    </row>
    <row r="566" spans="1:153">
      <c r="A566" s="56">
        <v>43800</v>
      </c>
      <c r="B566" s="57">
        <v>2019</v>
      </c>
      <c r="C566" s="71">
        <v>17.184999999999999</v>
      </c>
      <c r="D566" s="61">
        <v>0.23400000000000001</v>
      </c>
      <c r="E566" s="61">
        <v>3163.0949999999998</v>
      </c>
      <c r="F566" s="61">
        <v>132.85</v>
      </c>
      <c r="G566" s="61">
        <v>16.951000000000001</v>
      </c>
      <c r="H566" s="61">
        <v>433</v>
      </c>
      <c r="I566" s="61">
        <v>82.867999999999995</v>
      </c>
      <c r="J566" s="61">
        <v>350.13200000000001</v>
      </c>
      <c r="K566" s="61">
        <v>3906.6210000000001</v>
      </c>
      <c r="L566" s="61">
        <v>19.888000000000002</v>
      </c>
      <c r="M566" s="61">
        <v>3493.3389999999999</v>
      </c>
      <c r="N566" s="61">
        <v>146.72</v>
      </c>
      <c r="O566" s="71">
        <v>18.721</v>
      </c>
      <c r="P566" s="60">
        <v>202.07599999999999</v>
      </c>
      <c r="Q566" s="61">
        <v>214.06800000000001</v>
      </c>
      <c r="R566" s="61">
        <v>454.98</v>
      </c>
      <c r="S566" s="61">
        <v>951.88800000000003</v>
      </c>
      <c r="T566" s="61">
        <v>191.13399999999999</v>
      </c>
      <c r="U566" s="61">
        <v>15.92</v>
      </c>
      <c r="V566" s="61">
        <v>52.75</v>
      </c>
      <c r="W566" s="61">
        <v>237.10400000000001</v>
      </c>
      <c r="X566" s="61">
        <v>192.06899999999999</v>
      </c>
      <c r="Y566" s="61">
        <v>38.835999999999999</v>
      </c>
      <c r="Z566" s="61">
        <v>207.40299999999999</v>
      </c>
      <c r="AA566" s="61">
        <v>438.30799999999999</v>
      </c>
      <c r="AB566" s="60">
        <v>935.21600000000001</v>
      </c>
      <c r="AC566" s="62">
        <v>1257.0509999999999</v>
      </c>
      <c r="AD566" s="61">
        <v>52.795999999999999</v>
      </c>
      <c r="AE566" s="61">
        <v>6.9059999999999997</v>
      </c>
      <c r="AF566" s="61">
        <v>685</v>
      </c>
      <c r="AG566" s="61">
        <v>1491</v>
      </c>
      <c r="AH566" s="61">
        <v>-280</v>
      </c>
      <c r="AI566" s="61">
        <v>2222.0509999999999</v>
      </c>
      <c r="AJ566" s="61">
        <v>93.325999999999993</v>
      </c>
      <c r="AK566" s="62">
        <v>12.208</v>
      </c>
      <c r="AL566" s="63">
        <f t="shared" si="47"/>
        <v>93.325999999999993</v>
      </c>
      <c r="AM566" s="64">
        <v>12.208</v>
      </c>
      <c r="AN566" s="65" t="s">
        <v>121</v>
      </c>
      <c r="AO566" s="61" t="s">
        <v>121</v>
      </c>
      <c r="AP566" s="61">
        <v>103.982</v>
      </c>
      <c r="AQ566" s="61">
        <v>4.367</v>
      </c>
      <c r="AR566" s="61">
        <v>0.55700000000000005</v>
      </c>
      <c r="AS566" s="61" t="s">
        <v>122</v>
      </c>
      <c r="AT566" s="61">
        <v>50</v>
      </c>
      <c r="AU566" s="61">
        <v>5</v>
      </c>
      <c r="AV566" s="61">
        <v>98.981999999999999</v>
      </c>
      <c r="AW566" s="61">
        <v>4.157</v>
      </c>
      <c r="AX566" s="65">
        <v>0.53</v>
      </c>
      <c r="AY566" s="66">
        <v>3.363</v>
      </c>
      <c r="AZ566" s="61">
        <v>14.574999999999999</v>
      </c>
      <c r="BA566" s="61">
        <v>46.331000000000003</v>
      </c>
      <c r="BB566" s="61">
        <v>64.27</v>
      </c>
      <c r="BC566" s="61">
        <v>0.121</v>
      </c>
      <c r="BD566" s="61">
        <v>2.0529999999999999</v>
      </c>
      <c r="BE566" s="61">
        <v>6.0839999999999996</v>
      </c>
      <c r="BF566" s="61">
        <v>0.152</v>
      </c>
      <c r="BG566" s="61">
        <v>7.1349999999999998</v>
      </c>
      <c r="BH566" s="61">
        <v>3.3279999999999998</v>
      </c>
      <c r="BI566" s="61">
        <v>2.194</v>
      </c>
      <c r="BJ566" s="61">
        <v>12.657</v>
      </c>
      <c r="BK566" s="66">
        <v>21.067</v>
      </c>
      <c r="BL566" s="67">
        <v>98.289000000000001</v>
      </c>
      <c r="BM566" s="61">
        <v>18.721</v>
      </c>
      <c r="BN566" s="61">
        <v>12.208</v>
      </c>
      <c r="BO566" s="61">
        <v>0.53</v>
      </c>
      <c r="BP566" s="61">
        <v>129.74799999999999</v>
      </c>
      <c r="BQ566" s="61">
        <v>190.20500000000001</v>
      </c>
      <c r="BR566" s="61">
        <v>10.147</v>
      </c>
      <c r="BS566" s="61">
        <v>30.465</v>
      </c>
      <c r="BT566" s="61">
        <v>236.85599999999999</v>
      </c>
      <c r="BU566" s="61">
        <v>17.565000000000001</v>
      </c>
      <c r="BV566" s="61">
        <v>21.51</v>
      </c>
      <c r="BW566" s="61">
        <v>39.075000000000003</v>
      </c>
      <c r="BX566" s="67">
        <v>506.74700000000001</v>
      </c>
      <c r="BY566" s="68">
        <v>164592</v>
      </c>
      <c r="BZ566" s="68">
        <v>121740</v>
      </c>
      <c r="CA566" s="69">
        <v>9132</v>
      </c>
      <c r="CB566" s="68">
        <v>140083</v>
      </c>
      <c r="CC566" s="68">
        <v>40316</v>
      </c>
      <c r="CD566" s="68">
        <v>152318</v>
      </c>
      <c r="CE566" s="72">
        <v>4439.82</v>
      </c>
      <c r="CF566" s="72">
        <v>6913.619999999999</v>
      </c>
      <c r="CG566" s="70">
        <f t="shared" si="43"/>
        <v>5883.4859999999999</v>
      </c>
      <c r="CH566" s="70">
        <f t="shared" si="44"/>
        <v>383.54399999999998</v>
      </c>
      <c r="CI566" s="70">
        <f t="shared" si="45"/>
        <v>1693.2719999999999</v>
      </c>
      <c r="CJ566" s="70">
        <f t="shared" si="46"/>
        <v>6912.8639999999996</v>
      </c>
      <c r="CK566" s="70">
        <f t="shared" si="46"/>
        <v>5113.08</v>
      </c>
      <c r="CL566" s="70">
        <f t="shared" si="42"/>
        <v>6397.3559999999998</v>
      </c>
      <c r="CM566" s="61"/>
      <c r="CN566" s="61"/>
      <c r="CO566" s="61"/>
      <c r="CP566" s="61"/>
      <c r="CQ566" s="61"/>
      <c r="CR566" s="61"/>
      <c r="CS566" s="61"/>
      <c r="CT566" s="61"/>
      <c r="CU566" s="61"/>
      <c r="CV566" s="61"/>
      <c r="CW566" s="61"/>
      <c r="CX566" s="61"/>
      <c r="CY566" s="61"/>
      <c r="CZ566" s="61"/>
      <c r="DA566" s="61"/>
      <c r="DB566" s="61"/>
      <c r="DC566" s="61"/>
      <c r="DD566" s="61"/>
      <c r="DE566" s="61"/>
      <c r="DF566" s="61"/>
      <c r="DG566" s="61"/>
      <c r="DH566" s="61"/>
      <c r="DI566" s="61"/>
      <c r="DJ566" s="61"/>
      <c r="DK566" s="61"/>
      <c r="DL566" s="61"/>
      <c r="DM566" s="61"/>
      <c r="DN566" s="61"/>
      <c r="DO566" s="61"/>
      <c r="DP566" s="61"/>
      <c r="DQ566" s="61"/>
      <c r="DR566" s="61"/>
      <c r="DS566" s="61"/>
      <c r="DT566" s="61"/>
      <c r="DU566" s="61"/>
      <c r="DV566" s="61"/>
      <c r="DW566" s="61"/>
      <c r="DX566" s="61"/>
      <c r="DY566" s="61"/>
      <c r="DZ566" s="61"/>
      <c r="EA566" s="61"/>
      <c r="EB566" s="61"/>
      <c r="EC566" s="61"/>
      <c r="ED566" s="61"/>
      <c r="EE566" s="61"/>
      <c r="EF566" s="61"/>
      <c r="EG566" s="61"/>
      <c r="EH566" s="61"/>
      <c r="EI566" s="61"/>
      <c r="EJ566" s="61"/>
      <c r="EK566" s="61"/>
      <c r="EL566" s="61"/>
      <c r="EM566" s="61"/>
      <c r="EN566" s="61"/>
      <c r="EO566" s="61"/>
      <c r="EP566" s="61"/>
      <c r="EQ566" s="61"/>
      <c r="ER566" s="61"/>
      <c r="ES566" s="61"/>
      <c r="ET566" s="61"/>
      <c r="EU566" s="61"/>
      <c r="EV566" s="61"/>
      <c r="EW566" s="61"/>
    </row>
    <row r="567" spans="1:153">
      <c r="A567" s="56">
        <v>43831</v>
      </c>
      <c r="B567" s="57">
        <v>2020</v>
      </c>
      <c r="C567" s="71">
        <v>17.364000000000001</v>
      </c>
      <c r="D567" s="61">
        <v>0.23699999999999999</v>
      </c>
      <c r="E567" s="61">
        <v>3196.0250000000001</v>
      </c>
      <c r="F567" s="61">
        <v>134.233</v>
      </c>
      <c r="G567" s="61">
        <v>17.126999999999999</v>
      </c>
      <c r="H567" s="61">
        <v>336</v>
      </c>
      <c r="I567" s="61">
        <v>31.484999999999999</v>
      </c>
      <c r="J567" s="61">
        <v>304.51499999999999</v>
      </c>
      <c r="K567" s="61">
        <v>4273.1850000000004</v>
      </c>
      <c r="L567" s="61">
        <v>366.56400000000002</v>
      </c>
      <c r="M567" s="61">
        <v>3133.9760000000001</v>
      </c>
      <c r="N567" s="61">
        <v>131.62700000000001</v>
      </c>
      <c r="O567" s="71">
        <v>16.795000000000002</v>
      </c>
      <c r="P567" s="60">
        <v>189.1</v>
      </c>
      <c r="Q567" s="61">
        <v>212.834</v>
      </c>
      <c r="R567" s="61">
        <v>441.59500000000003</v>
      </c>
      <c r="S567" s="61">
        <v>981.34799999999996</v>
      </c>
      <c r="T567" s="61">
        <v>214.773</v>
      </c>
      <c r="U567" s="61">
        <v>15.439</v>
      </c>
      <c r="V567" s="61">
        <v>63.000999999999998</v>
      </c>
      <c r="W567" s="61">
        <v>246.54</v>
      </c>
      <c r="X567" s="61">
        <v>181.95</v>
      </c>
      <c r="Y567" s="61">
        <v>39.659999999999997</v>
      </c>
      <c r="Z567" s="61">
        <v>197.87100000000001</v>
      </c>
      <c r="AA567" s="61">
        <v>419.48099999999999</v>
      </c>
      <c r="AB567" s="60">
        <v>959.23500000000001</v>
      </c>
      <c r="AC567" s="62">
        <v>996.60699999999997</v>
      </c>
      <c r="AD567" s="61">
        <v>41.856999999999999</v>
      </c>
      <c r="AE567" s="61">
        <v>5.4749999999999996</v>
      </c>
      <c r="AF567" s="61">
        <v>605</v>
      </c>
      <c r="AG567" s="61">
        <v>1714</v>
      </c>
      <c r="AH567" s="61">
        <v>223</v>
      </c>
      <c r="AI567" s="61">
        <v>1378.607</v>
      </c>
      <c r="AJ567" s="61">
        <v>57.901000000000003</v>
      </c>
      <c r="AK567" s="62">
        <v>7.5739999999999998</v>
      </c>
      <c r="AL567" s="63">
        <f t="shared" si="47"/>
        <v>57.901000000000003</v>
      </c>
      <c r="AM567" s="64">
        <v>7.5739999999999998</v>
      </c>
      <c r="AN567" s="65" t="s">
        <v>121</v>
      </c>
      <c r="AO567" s="61" t="s">
        <v>121</v>
      </c>
      <c r="AP567" s="61">
        <v>55.438000000000002</v>
      </c>
      <c r="AQ567" s="61">
        <v>2.3279999999999998</v>
      </c>
      <c r="AR567" s="61">
        <v>0.29699999999999999</v>
      </c>
      <c r="AS567" s="61" t="s">
        <v>122</v>
      </c>
      <c r="AT567" s="61">
        <v>45</v>
      </c>
      <c r="AU567" s="61">
        <v>-5</v>
      </c>
      <c r="AV567" s="61">
        <v>60.438000000000002</v>
      </c>
      <c r="AW567" s="61">
        <v>2.5379999999999998</v>
      </c>
      <c r="AX567" s="65">
        <v>0.32400000000000001</v>
      </c>
      <c r="AY567" s="66">
        <v>3.3540000000000001</v>
      </c>
      <c r="AZ567" s="61">
        <v>15.781000000000001</v>
      </c>
      <c r="BA567" s="61">
        <v>37.284999999999997</v>
      </c>
      <c r="BB567" s="61">
        <v>56.42</v>
      </c>
      <c r="BC567" s="61">
        <v>0.155</v>
      </c>
      <c r="BD567" s="61">
        <v>1.9790000000000001</v>
      </c>
      <c r="BE567" s="61">
        <v>6.726</v>
      </c>
      <c r="BF567" s="61">
        <v>0.13600000000000001</v>
      </c>
      <c r="BG567" s="61">
        <v>7.202</v>
      </c>
      <c r="BH567" s="61">
        <v>3.3090000000000002</v>
      </c>
      <c r="BI567" s="61">
        <v>2.4769999999999999</v>
      </c>
      <c r="BJ567" s="61">
        <v>12.989000000000001</v>
      </c>
      <c r="BK567" s="66">
        <v>21.984000000000002</v>
      </c>
      <c r="BL567" s="67">
        <v>95.039000000000001</v>
      </c>
      <c r="BM567" s="61">
        <v>16.795000000000002</v>
      </c>
      <c r="BN567" s="61">
        <v>7.5739999999999998</v>
      </c>
      <c r="BO567" s="61">
        <v>0.32400000000000001</v>
      </c>
      <c r="BP567" s="61">
        <v>119.732</v>
      </c>
      <c r="BQ567" s="61">
        <v>213.726</v>
      </c>
      <c r="BR567" s="61">
        <v>9.75</v>
      </c>
      <c r="BS567" s="61">
        <v>38.776000000000003</v>
      </c>
      <c r="BT567" s="61">
        <v>246.328</v>
      </c>
      <c r="BU567" s="61">
        <v>17.381</v>
      </c>
      <c r="BV567" s="61">
        <v>21.908999999999999</v>
      </c>
      <c r="BW567" s="61">
        <v>39.29</v>
      </c>
      <c r="BX567" s="67">
        <v>547.87</v>
      </c>
      <c r="BY567" s="68">
        <v>157683</v>
      </c>
      <c r="BZ567" s="68">
        <v>124756</v>
      </c>
      <c r="CA567" s="69">
        <v>6805</v>
      </c>
      <c r="CB567" s="68">
        <v>143190</v>
      </c>
      <c r="CC567" s="68">
        <v>38332</v>
      </c>
      <c r="CD567" s="68">
        <v>147276</v>
      </c>
      <c r="CE567" s="72">
        <v>4583.04</v>
      </c>
      <c r="CF567" s="72">
        <v>6627.18</v>
      </c>
      <c r="CG567" s="70">
        <f t="shared" si="43"/>
        <v>6013.98</v>
      </c>
      <c r="CH567" s="70">
        <f t="shared" si="44"/>
        <v>285.81</v>
      </c>
      <c r="CI567" s="70">
        <f t="shared" si="45"/>
        <v>1609.944</v>
      </c>
      <c r="CJ567" s="70">
        <f t="shared" si="46"/>
        <v>6622.6859999999997</v>
      </c>
      <c r="CK567" s="70">
        <f t="shared" si="46"/>
        <v>5239.7520000000004</v>
      </c>
      <c r="CL567" s="70">
        <f t="shared" si="42"/>
        <v>6185.5919999999996</v>
      </c>
      <c r="CM567" s="61"/>
      <c r="CN567" s="61"/>
      <c r="CO567" s="61"/>
      <c r="CP567" s="61"/>
      <c r="CQ567" s="61"/>
      <c r="CR567" s="61"/>
      <c r="CS567" s="61"/>
      <c r="CT567" s="61"/>
      <c r="CU567" s="61"/>
      <c r="CV567" s="61"/>
      <c r="CW567" s="61"/>
      <c r="CX567" s="61"/>
      <c r="CY567" s="61"/>
      <c r="CZ567" s="61"/>
      <c r="DA567" s="61"/>
      <c r="DB567" s="61"/>
      <c r="DC567" s="61"/>
      <c r="DD567" s="61"/>
      <c r="DE567" s="61"/>
      <c r="DF567" s="61"/>
      <c r="DG567" s="61"/>
      <c r="DH567" s="61"/>
      <c r="DI567" s="61"/>
      <c r="DJ567" s="61"/>
      <c r="DK567" s="61"/>
      <c r="DL567" s="61"/>
      <c r="DM567" s="61"/>
      <c r="DN567" s="61"/>
      <c r="DO567" s="61"/>
      <c r="DP567" s="61"/>
      <c r="DQ567" s="61"/>
      <c r="DR567" s="61"/>
      <c r="DS567" s="61"/>
      <c r="DT567" s="61"/>
      <c r="DU567" s="61"/>
      <c r="DV567" s="61"/>
      <c r="DW567" s="61"/>
      <c r="DX567" s="61"/>
      <c r="DY567" s="61"/>
      <c r="DZ567" s="61"/>
      <c r="EA567" s="61"/>
      <c r="EB567" s="61"/>
      <c r="EC567" s="61"/>
      <c r="ED567" s="61"/>
      <c r="EE567" s="61"/>
      <c r="EF567" s="61"/>
      <c r="EG567" s="61"/>
      <c r="EH567" s="61"/>
      <c r="EI567" s="61"/>
      <c r="EJ567" s="61"/>
      <c r="EK567" s="61"/>
      <c r="EL567" s="61"/>
      <c r="EM567" s="61"/>
      <c r="EN567" s="61"/>
      <c r="EO567" s="61"/>
      <c r="EP567" s="61"/>
      <c r="EQ567" s="61"/>
      <c r="ER567" s="61"/>
      <c r="ES567" s="61"/>
      <c r="ET567" s="61"/>
      <c r="EU567" s="61"/>
      <c r="EV567" s="61"/>
      <c r="EW567" s="61"/>
    </row>
    <row r="568" spans="1:153">
      <c r="A568" s="56">
        <v>43862</v>
      </c>
      <c r="B568" s="57">
        <v>2020</v>
      </c>
      <c r="C568" s="71">
        <v>17.053000000000001</v>
      </c>
      <c r="D568" s="61">
        <v>0.23200000000000001</v>
      </c>
      <c r="E568" s="61">
        <v>3138.779</v>
      </c>
      <c r="F568" s="61">
        <v>131.82900000000001</v>
      </c>
      <c r="G568" s="61">
        <v>16.821000000000002</v>
      </c>
      <c r="H568" s="61">
        <v>302</v>
      </c>
      <c r="I568" s="61">
        <v>89.244</v>
      </c>
      <c r="J568" s="61">
        <v>212.756</v>
      </c>
      <c r="K568" s="61">
        <v>4219.6790000000001</v>
      </c>
      <c r="L568" s="61">
        <v>-53.506</v>
      </c>
      <c r="M568" s="61">
        <v>3405.0410000000002</v>
      </c>
      <c r="N568" s="61">
        <v>143.012</v>
      </c>
      <c r="O568" s="71">
        <v>18.248000000000001</v>
      </c>
      <c r="P568" s="60">
        <v>179.203</v>
      </c>
      <c r="Q568" s="61">
        <v>195.91399999999999</v>
      </c>
      <c r="R568" s="61">
        <v>411.55599999999998</v>
      </c>
      <c r="S568" s="61">
        <v>985.24400000000003</v>
      </c>
      <c r="T568" s="61">
        <v>226.785</v>
      </c>
      <c r="U568" s="61">
        <v>15.816000000000001</v>
      </c>
      <c r="V568" s="61">
        <v>75.875</v>
      </c>
      <c r="W568" s="61">
        <v>255.21199999999999</v>
      </c>
      <c r="X568" s="61">
        <v>171.071</v>
      </c>
      <c r="Y568" s="61">
        <v>36.438000000000002</v>
      </c>
      <c r="Z568" s="61">
        <v>186.27</v>
      </c>
      <c r="AA568" s="61">
        <v>393.779</v>
      </c>
      <c r="AB568" s="60">
        <v>967.46699999999998</v>
      </c>
      <c r="AC568" s="62">
        <v>888.11099999999999</v>
      </c>
      <c r="AD568" s="61">
        <v>37.301000000000002</v>
      </c>
      <c r="AE568" s="61">
        <v>4.8789999999999996</v>
      </c>
      <c r="AF568" s="61">
        <v>411</v>
      </c>
      <c r="AG568" s="61">
        <v>1388</v>
      </c>
      <c r="AH568" s="61">
        <v>-326</v>
      </c>
      <c r="AI568" s="61">
        <v>1625.1110000000001</v>
      </c>
      <c r="AJ568" s="61">
        <v>68.254999999999995</v>
      </c>
      <c r="AK568" s="62">
        <v>8.9280000000000008</v>
      </c>
      <c r="AL568" s="63">
        <f t="shared" si="47"/>
        <v>68.254999999999995</v>
      </c>
      <c r="AM568" s="64">
        <v>8.9280000000000008</v>
      </c>
      <c r="AN568" s="65" t="s">
        <v>121</v>
      </c>
      <c r="AO568" s="61" t="s">
        <v>121</v>
      </c>
      <c r="AP568" s="61">
        <v>54.917999999999999</v>
      </c>
      <c r="AQ568" s="61">
        <v>2.3069999999999999</v>
      </c>
      <c r="AR568" s="61">
        <v>0.29399999999999998</v>
      </c>
      <c r="AS568" s="61" t="s">
        <v>122</v>
      </c>
      <c r="AT568" s="61">
        <v>43</v>
      </c>
      <c r="AU568" s="61">
        <v>-2</v>
      </c>
      <c r="AV568" s="61">
        <v>56.917999999999999</v>
      </c>
      <c r="AW568" s="61">
        <v>2.391</v>
      </c>
      <c r="AX568" s="65">
        <v>0.30499999999999999</v>
      </c>
      <c r="AY568" s="66">
        <v>3.1379999999999999</v>
      </c>
      <c r="AZ568" s="61">
        <v>17.954999999999998</v>
      </c>
      <c r="BA568" s="61">
        <v>34.880000000000003</v>
      </c>
      <c r="BB568" s="61">
        <v>55.972000000000001</v>
      </c>
      <c r="BC568" s="61">
        <v>0.16</v>
      </c>
      <c r="BD568" s="61">
        <v>1.921</v>
      </c>
      <c r="BE568" s="61">
        <v>7.6319999999999997</v>
      </c>
      <c r="BF568" s="61">
        <v>0.14199999999999999</v>
      </c>
      <c r="BG568" s="61">
        <v>6.734</v>
      </c>
      <c r="BH568" s="61">
        <v>3.0419999999999998</v>
      </c>
      <c r="BI568" s="61">
        <v>2.274</v>
      </c>
      <c r="BJ568" s="61">
        <v>12.05</v>
      </c>
      <c r="BK568" s="66">
        <v>21.905000000000001</v>
      </c>
      <c r="BL568" s="67">
        <v>87.22</v>
      </c>
      <c r="BM568" s="61">
        <v>18.248000000000001</v>
      </c>
      <c r="BN568" s="61">
        <v>8.9280000000000008</v>
      </c>
      <c r="BO568" s="61">
        <v>0.30499999999999999</v>
      </c>
      <c r="BP568" s="61">
        <v>114.70099999999999</v>
      </c>
      <c r="BQ568" s="61">
        <v>225.67500000000001</v>
      </c>
      <c r="BR568" s="61">
        <v>10.425000000000001</v>
      </c>
      <c r="BS568" s="61">
        <v>48.38</v>
      </c>
      <c r="BT568" s="61">
        <v>254.99299999999999</v>
      </c>
      <c r="BU568" s="61">
        <v>16.405000000000001</v>
      </c>
      <c r="BV568" s="61">
        <v>20.123000000000001</v>
      </c>
      <c r="BW568" s="61">
        <v>36.527999999999999</v>
      </c>
      <c r="BX568" s="67">
        <v>576.00199999999995</v>
      </c>
      <c r="BY568" s="68">
        <v>139573</v>
      </c>
      <c r="BZ568" s="68">
        <v>118309</v>
      </c>
      <c r="CA568" s="69">
        <v>4560</v>
      </c>
      <c r="CB568" s="68">
        <v>132918</v>
      </c>
      <c r="CC568" s="68">
        <v>38134</v>
      </c>
      <c r="CD568" s="68">
        <v>129828</v>
      </c>
      <c r="CE568" s="72">
        <v>4409.16</v>
      </c>
      <c r="CF568" s="72">
        <v>5858.58</v>
      </c>
      <c r="CG568" s="70">
        <f t="shared" si="43"/>
        <v>5582.5559999999996</v>
      </c>
      <c r="CH568" s="70">
        <f t="shared" si="44"/>
        <v>191.52</v>
      </c>
      <c r="CI568" s="70">
        <f t="shared" si="45"/>
        <v>1601.6279999999999</v>
      </c>
      <c r="CJ568" s="70">
        <f t="shared" si="46"/>
        <v>5862.0659999999998</v>
      </c>
      <c r="CK568" s="70">
        <f t="shared" si="46"/>
        <v>4968.9780000000001</v>
      </c>
      <c r="CL568" s="70">
        <f t="shared" si="42"/>
        <v>5452.7759999999998</v>
      </c>
      <c r="CM568" s="61"/>
      <c r="CN568" s="61"/>
      <c r="CO568" s="61"/>
      <c r="CP568" s="61"/>
      <c r="CQ568" s="61"/>
      <c r="CR568" s="61"/>
      <c r="CS568" s="61"/>
      <c r="CT568" s="61"/>
      <c r="CU568" s="61"/>
      <c r="CV568" s="61"/>
      <c r="CW568" s="61"/>
      <c r="CX568" s="61"/>
      <c r="CY568" s="61"/>
      <c r="CZ568" s="61"/>
      <c r="DA568" s="61"/>
      <c r="DB568" s="61"/>
      <c r="DC568" s="61"/>
      <c r="DD568" s="61"/>
      <c r="DE568" s="61"/>
      <c r="DF568" s="61"/>
      <c r="DG568" s="61"/>
      <c r="DH568" s="61"/>
      <c r="DI568" s="61"/>
      <c r="DJ568" s="61"/>
      <c r="DK568" s="61"/>
      <c r="DL568" s="61"/>
      <c r="DM568" s="61"/>
      <c r="DN568" s="61"/>
      <c r="DO568" s="61"/>
      <c r="DP568" s="61"/>
      <c r="DQ568" s="61"/>
      <c r="DR568" s="61"/>
      <c r="DS568" s="61"/>
      <c r="DT568" s="61"/>
      <c r="DU568" s="61"/>
      <c r="DV568" s="61"/>
      <c r="DW568" s="61"/>
      <c r="DX568" s="61"/>
      <c r="DY568" s="61"/>
      <c r="DZ568" s="61"/>
      <c r="EA568" s="61"/>
      <c r="EB568" s="61"/>
      <c r="EC568" s="61"/>
      <c r="ED568" s="61"/>
      <c r="EE568" s="61"/>
      <c r="EF568" s="61"/>
      <c r="EG568" s="61"/>
      <c r="EH568" s="61"/>
      <c r="EI568" s="61"/>
      <c r="EJ568" s="61"/>
      <c r="EK568" s="61"/>
      <c r="EL568" s="61"/>
      <c r="EM568" s="61"/>
      <c r="EN568" s="61"/>
      <c r="EO568" s="61"/>
      <c r="EP568" s="61"/>
      <c r="EQ568" s="61"/>
      <c r="ER568" s="61"/>
      <c r="ES568" s="61"/>
      <c r="ET568" s="61"/>
      <c r="EU568" s="61"/>
      <c r="EV568" s="61"/>
      <c r="EW568" s="61"/>
    </row>
    <row r="569" spans="1:153">
      <c r="A569" s="56">
        <v>43891</v>
      </c>
      <c r="B569" s="57">
        <v>2020</v>
      </c>
      <c r="C569" s="71">
        <v>19.526</v>
      </c>
      <c r="D569" s="61">
        <v>0.26600000000000001</v>
      </c>
      <c r="E569" s="61">
        <v>3593.9340000000002</v>
      </c>
      <c r="F569" s="61">
        <v>150.94499999999999</v>
      </c>
      <c r="G569" s="61">
        <v>19.260000000000002</v>
      </c>
      <c r="H569" s="61">
        <v>333</v>
      </c>
      <c r="I569" s="61">
        <v>228.09899999999999</v>
      </c>
      <c r="J569" s="61">
        <v>104.901</v>
      </c>
      <c r="K569" s="61">
        <v>4429.009</v>
      </c>
      <c r="L569" s="61">
        <v>209.32900000000001</v>
      </c>
      <c r="M569" s="61">
        <v>3489.5059999999999</v>
      </c>
      <c r="N569" s="61">
        <v>146.559</v>
      </c>
      <c r="O569" s="71">
        <v>18.7</v>
      </c>
      <c r="P569" s="60">
        <v>187.804</v>
      </c>
      <c r="Q569" s="61">
        <v>193.15799999999999</v>
      </c>
      <c r="R569" s="61">
        <v>419.98599999999999</v>
      </c>
      <c r="S569" s="61">
        <v>995.18100000000004</v>
      </c>
      <c r="T569" s="61">
        <v>208.85599999999999</v>
      </c>
      <c r="U569" s="61">
        <v>18.224</v>
      </c>
      <c r="V569" s="61">
        <v>91.067999999999998</v>
      </c>
      <c r="W569" s="61">
        <v>257.04700000000003</v>
      </c>
      <c r="X569" s="61">
        <v>177.78299999999999</v>
      </c>
      <c r="Y569" s="61">
        <v>39.023000000000003</v>
      </c>
      <c r="Z569" s="61">
        <v>171.91800000000001</v>
      </c>
      <c r="AA569" s="61">
        <v>388.72399999999999</v>
      </c>
      <c r="AB569" s="60">
        <v>963.91899999999998</v>
      </c>
      <c r="AC569" s="62">
        <v>1076.828</v>
      </c>
      <c r="AD569" s="61">
        <v>45.226999999999997</v>
      </c>
      <c r="AE569" s="61">
        <v>5.9160000000000004</v>
      </c>
      <c r="AF569" s="61">
        <v>452</v>
      </c>
      <c r="AG569" s="61">
        <v>1431</v>
      </c>
      <c r="AH569" s="61">
        <v>43</v>
      </c>
      <c r="AI569" s="61">
        <v>1485.828</v>
      </c>
      <c r="AJ569" s="61">
        <v>62.405000000000001</v>
      </c>
      <c r="AK569" s="62">
        <v>8.1630000000000003</v>
      </c>
      <c r="AL569" s="63">
        <f t="shared" si="47"/>
        <v>62.405000000000001</v>
      </c>
      <c r="AM569" s="64">
        <v>8.1630000000000003</v>
      </c>
      <c r="AN569" s="65" t="s">
        <v>121</v>
      </c>
      <c r="AO569" s="61" t="s">
        <v>121</v>
      </c>
      <c r="AP569" s="61">
        <v>75.13</v>
      </c>
      <c r="AQ569" s="61">
        <v>3.1549999999999998</v>
      </c>
      <c r="AR569" s="61">
        <v>0.40300000000000002</v>
      </c>
      <c r="AS569" s="61" t="s">
        <v>122</v>
      </c>
      <c r="AT569" s="61">
        <v>47</v>
      </c>
      <c r="AU569" s="61">
        <v>4</v>
      </c>
      <c r="AV569" s="61">
        <v>71.13</v>
      </c>
      <c r="AW569" s="61">
        <v>2.9870000000000001</v>
      </c>
      <c r="AX569" s="65">
        <v>0.38100000000000001</v>
      </c>
      <c r="AY569" s="66">
        <v>3.3540000000000001</v>
      </c>
      <c r="AZ569" s="61">
        <v>23.349</v>
      </c>
      <c r="BA569" s="61">
        <v>37.284999999999997</v>
      </c>
      <c r="BB569" s="61">
        <v>63.988</v>
      </c>
      <c r="BC569" s="61">
        <v>0.14699999999999999</v>
      </c>
      <c r="BD569" s="61">
        <v>2.0459999999999998</v>
      </c>
      <c r="BE569" s="61">
        <v>9.8889999999999993</v>
      </c>
      <c r="BF569" s="61">
        <v>0.15</v>
      </c>
      <c r="BG569" s="61">
        <v>7.0549999999999997</v>
      </c>
      <c r="BH569" s="61">
        <v>3.3570000000000002</v>
      </c>
      <c r="BI569" s="61">
        <v>1.982</v>
      </c>
      <c r="BJ569" s="61">
        <v>12.395</v>
      </c>
      <c r="BK569" s="66">
        <v>24.626999999999999</v>
      </c>
      <c r="BL569" s="67">
        <v>76.048000000000002</v>
      </c>
      <c r="BM569" s="61">
        <v>18.7</v>
      </c>
      <c r="BN569" s="61">
        <v>8.1630000000000003</v>
      </c>
      <c r="BO569" s="61">
        <v>0.38100000000000001</v>
      </c>
      <c r="BP569" s="61">
        <v>103.292</v>
      </c>
      <c r="BQ569" s="61">
        <v>207.631</v>
      </c>
      <c r="BR569" s="61">
        <v>12.467000000000001</v>
      </c>
      <c r="BS569" s="61">
        <v>55.207000000000001</v>
      </c>
      <c r="BT569" s="61">
        <v>256.82100000000003</v>
      </c>
      <c r="BU569" s="61">
        <v>15.711</v>
      </c>
      <c r="BV569" s="61">
        <v>21.753</v>
      </c>
      <c r="BW569" s="61">
        <v>37.463999999999999</v>
      </c>
      <c r="BX569" s="67">
        <v>569.59100000000001</v>
      </c>
      <c r="BY569" s="68">
        <v>153541</v>
      </c>
      <c r="BZ569" s="68">
        <v>122789</v>
      </c>
      <c r="CA569" s="69">
        <v>5311</v>
      </c>
      <c r="CB569" s="68">
        <v>126782</v>
      </c>
      <c r="CC569" s="68">
        <v>44227</v>
      </c>
      <c r="CD569" s="68">
        <v>143316</v>
      </c>
      <c r="CE569" s="72">
        <v>4687.2000000000007</v>
      </c>
      <c r="CF569" s="72">
        <v>6444.9000000000005</v>
      </c>
      <c r="CG569" s="70">
        <f t="shared" si="43"/>
        <v>5324.8440000000001</v>
      </c>
      <c r="CH569" s="70">
        <f t="shared" si="44"/>
        <v>223.06200000000001</v>
      </c>
      <c r="CI569" s="70">
        <f t="shared" si="45"/>
        <v>1857.5340000000001</v>
      </c>
      <c r="CJ569" s="70">
        <f t="shared" si="46"/>
        <v>6448.7219999999998</v>
      </c>
      <c r="CK569" s="70">
        <f t="shared" si="46"/>
        <v>5157.1379999999999</v>
      </c>
      <c r="CL569" s="70">
        <f t="shared" si="42"/>
        <v>6019.2719999999999</v>
      </c>
      <c r="CM569" s="61"/>
      <c r="CN569" s="61"/>
      <c r="CO569" s="61"/>
      <c r="CP569" s="61"/>
      <c r="CQ569" s="61"/>
      <c r="CR569" s="61"/>
      <c r="CS569" s="61"/>
      <c r="CT569" s="61"/>
      <c r="CU569" s="61"/>
      <c r="CV569" s="61"/>
      <c r="CW569" s="61"/>
      <c r="CX569" s="61"/>
      <c r="CY569" s="61"/>
      <c r="CZ569" s="61"/>
      <c r="DA569" s="61"/>
      <c r="DB569" s="61"/>
      <c r="DC569" s="61"/>
      <c r="DD569" s="61"/>
      <c r="DE569" s="61"/>
      <c r="DF569" s="61"/>
      <c r="DG569" s="61"/>
      <c r="DH569" s="61"/>
      <c r="DI569" s="61"/>
      <c r="DJ569" s="61"/>
      <c r="DK569" s="61"/>
      <c r="DL569" s="61"/>
      <c r="DM569" s="61"/>
      <c r="DN569" s="61"/>
      <c r="DO569" s="61"/>
      <c r="DP569" s="61"/>
      <c r="DQ569" s="61"/>
      <c r="DR569" s="61"/>
      <c r="DS569" s="61"/>
      <c r="DT569" s="61"/>
      <c r="DU569" s="61"/>
      <c r="DV569" s="61"/>
      <c r="DW569" s="61"/>
      <c r="DX569" s="61"/>
      <c r="DY569" s="61"/>
      <c r="DZ569" s="61"/>
      <c r="EA569" s="61"/>
      <c r="EB569" s="61"/>
      <c r="EC569" s="61"/>
      <c r="ED569" s="61"/>
      <c r="EE569" s="61"/>
      <c r="EF569" s="61"/>
      <c r="EG569" s="61"/>
      <c r="EH569" s="61"/>
      <c r="EI569" s="61"/>
      <c r="EJ569" s="61"/>
      <c r="EK569" s="61"/>
      <c r="EL569" s="61"/>
      <c r="EM569" s="61"/>
      <c r="EN569" s="61"/>
      <c r="EO569" s="61"/>
      <c r="EP569" s="61"/>
      <c r="EQ569" s="61"/>
      <c r="ER569" s="61"/>
      <c r="ES569" s="61"/>
      <c r="ET569" s="61"/>
      <c r="EU569" s="61"/>
      <c r="EV569" s="61"/>
      <c r="EW569" s="61"/>
    </row>
    <row r="570" spans="1:153">
      <c r="A570" s="56">
        <v>43922</v>
      </c>
      <c r="B570" s="57">
        <v>2020</v>
      </c>
      <c r="C570" s="71">
        <v>18.591999999999999</v>
      </c>
      <c r="D570" s="61">
        <v>0.253</v>
      </c>
      <c r="E570" s="61">
        <v>3422.1239999999998</v>
      </c>
      <c r="F570" s="61">
        <v>143.72900000000001</v>
      </c>
      <c r="G570" s="61">
        <v>18.338999999999999</v>
      </c>
      <c r="H570" s="61">
        <v>611</v>
      </c>
      <c r="I570" s="61">
        <v>526.16</v>
      </c>
      <c r="J570" s="61">
        <v>84.84</v>
      </c>
      <c r="K570" s="61">
        <v>4411.3410000000003</v>
      </c>
      <c r="L570" s="61">
        <v>-17.667000000000002</v>
      </c>
      <c r="M570" s="61">
        <v>3524.6309999999999</v>
      </c>
      <c r="N570" s="61">
        <v>148.035</v>
      </c>
      <c r="O570" s="71">
        <v>18.888000000000002</v>
      </c>
      <c r="P570" s="60">
        <v>175.43199999999999</v>
      </c>
      <c r="Q570" s="61">
        <v>120.626</v>
      </c>
      <c r="R570" s="61">
        <v>332.56799999999998</v>
      </c>
      <c r="S570" s="61">
        <v>922.93899999999996</v>
      </c>
      <c r="T570" s="61">
        <v>203.345</v>
      </c>
      <c r="U570" s="61">
        <v>17.294</v>
      </c>
      <c r="V570" s="61">
        <v>108.89400000000001</v>
      </c>
      <c r="W570" s="61">
        <v>260.83800000000002</v>
      </c>
      <c r="X570" s="61">
        <v>167.04900000000001</v>
      </c>
      <c r="Y570" s="61">
        <v>36.51</v>
      </c>
      <c r="Z570" s="61">
        <v>121.36</v>
      </c>
      <c r="AA570" s="61">
        <v>324.91800000000001</v>
      </c>
      <c r="AB570" s="60">
        <v>915.28899999999999</v>
      </c>
      <c r="AC570" s="62">
        <v>919.97299999999996</v>
      </c>
      <c r="AD570" s="61">
        <v>38.639000000000003</v>
      </c>
      <c r="AE570" s="61">
        <v>5.0540000000000003</v>
      </c>
      <c r="AF570" s="61">
        <v>664</v>
      </c>
      <c r="AG570" s="61">
        <v>1557</v>
      </c>
      <c r="AH570" s="61">
        <v>126</v>
      </c>
      <c r="AI570" s="61">
        <v>1457.973</v>
      </c>
      <c r="AJ570" s="61">
        <v>61.234999999999999</v>
      </c>
      <c r="AK570" s="62">
        <v>8.01</v>
      </c>
      <c r="AL570" s="63">
        <f t="shared" si="47"/>
        <v>61.234999999999999</v>
      </c>
      <c r="AM570" s="64">
        <v>8.01</v>
      </c>
      <c r="AN570" s="65" t="s">
        <v>121</v>
      </c>
      <c r="AO570" s="61" t="s">
        <v>121</v>
      </c>
      <c r="AP570" s="61">
        <v>76.435000000000002</v>
      </c>
      <c r="AQ570" s="61">
        <v>3.21</v>
      </c>
      <c r="AR570" s="61">
        <v>0.41</v>
      </c>
      <c r="AS570" s="61" t="s">
        <v>122</v>
      </c>
      <c r="AT570" s="61">
        <v>46</v>
      </c>
      <c r="AU570" s="61">
        <v>-1</v>
      </c>
      <c r="AV570" s="61">
        <v>77.435000000000002</v>
      </c>
      <c r="AW570" s="61">
        <v>3.2519999999999998</v>
      </c>
      <c r="AX570" s="65">
        <v>0.41499999999999998</v>
      </c>
      <c r="AY570" s="66">
        <v>3.246</v>
      </c>
      <c r="AZ570" s="61">
        <v>26.253</v>
      </c>
      <c r="BA570" s="61">
        <v>36.082999999999998</v>
      </c>
      <c r="BB570" s="61">
        <v>65.581999999999994</v>
      </c>
      <c r="BC570" s="61">
        <v>0.14899999999999999</v>
      </c>
      <c r="BD570" s="61">
        <v>1.96</v>
      </c>
      <c r="BE570" s="61">
        <v>10.904</v>
      </c>
      <c r="BF570" s="61">
        <v>0.154</v>
      </c>
      <c r="BG570" s="61">
        <v>6.7</v>
      </c>
      <c r="BH570" s="61">
        <v>3.0990000000000002</v>
      </c>
      <c r="BI570" s="61">
        <v>1.405</v>
      </c>
      <c r="BJ570" s="61">
        <v>11.204000000000001</v>
      </c>
      <c r="BK570" s="66">
        <v>24.370999999999999</v>
      </c>
      <c r="BL570" s="67">
        <v>53.887</v>
      </c>
      <c r="BM570" s="61">
        <v>18.888000000000002</v>
      </c>
      <c r="BN570" s="61">
        <v>8.01</v>
      </c>
      <c r="BO570" s="61">
        <v>0.41499999999999998</v>
      </c>
      <c r="BP570" s="61">
        <v>81.200999999999993</v>
      </c>
      <c r="BQ570" s="61">
        <v>202.22</v>
      </c>
      <c r="BR570" s="61">
        <v>11.744</v>
      </c>
      <c r="BS570" s="61">
        <v>68.894000000000005</v>
      </c>
      <c r="BT570" s="61">
        <v>260.61099999999999</v>
      </c>
      <c r="BU570" s="61">
        <v>12.738</v>
      </c>
      <c r="BV570" s="61">
        <v>20.05</v>
      </c>
      <c r="BW570" s="61">
        <v>32.787999999999997</v>
      </c>
      <c r="BX570" s="67">
        <v>576.25699999999995</v>
      </c>
      <c r="BY570" s="68">
        <v>152364</v>
      </c>
      <c r="BZ570" s="68">
        <v>105842</v>
      </c>
      <c r="CA570" s="69">
        <v>6924</v>
      </c>
      <c r="CB570" s="68">
        <v>150922</v>
      </c>
      <c r="CC570" s="68">
        <v>31333</v>
      </c>
      <c r="CD570" s="68">
        <v>142925</v>
      </c>
      <c r="CE570" s="72">
        <v>4107.5999999999995</v>
      </c>
      <c r="CF570" s="72">
        <v>6400.8</v>
      </c>
      <c r="CG570" s="70">
        <f t="shared" si="43"/>
        <v>6338.7240000000002</v>
      </c>
      <c r="CH570" s="70">
        <f t="shared" si="44"/>
        <v>290.80799999999999</v>
      </c>
      <c r="CI570" s="70">
        <f t="shared" si="45"/>
        <v>1315.9860000000001</v>
      </c>
      <c r="CJ570" s="70">
        <f t="shared" si="46"/>
        <v>6399.2879999999996</v>
      </c>
      <c r="CK570" s="70">
        <f t="shared" si="46"/>
        <v>4445.3639999999996</v>
      </c>
      <c r="CL570" s="70">
        <f t="shared" si="42"/>
        <v>6002.85</v>
      </c>
      <c r="CM570" s="61"/>
      <c r="CN570" s="61"/>
      <c r="CO570" s="61"/>
      <c r="CP570" s="61"/>
      <c r="CQ570" s="61"/>
      <c r="CR570" s="61"/>
      <c r="CS570" s="61"/>
      <c r="CT570" s="61"/>
      <c r="CU570" s="61"/>
      <c r="CV570" s="61"/>
      <c r="CW570" s="61"/>
      <c r="CX570" s="61"/>
      <c r="CY570" s="61"/>
      <c r="CZ570" s="61"/>
      <c r="DA570" s="61"/>
      <c r="DB570" s="61"/>
      <c r="DC570" s="61"/>
      <c r="DD570" s="61"/>
      <c r="DE570" s="61"/>
      <c r="DF570" s="61"/>
      <c r="DG570" s="61"/>
      <c r="DH570" s="61"/>
      <c r="DI570" s="61"/>
      <c r="DJ570" s="61"/>
      <c r="DK570" s="61"/>
      <c r="DL570" s="61"/>
      <c r="DM570" s="61"/>
      <c r="DN570" s="61"/>
      <c r="DO570" s="61"/>
      <c r="DP570" s="61"/>
      <c r="DQ570" s="61"/>
      <c r="DR570" s="61"/>
      <c r="DS570" s="61"/>
      <c r="DT570" s="61"/>
      <c r="DU570" s="61"/>
      <c r="DV570" s="61"/>
      <c r="DW570" s="61"/>
      <c r="DX570" s="61"/>
      <c r="DY570" s="61"/>
      <c r="DZ570" s="61"/>
      <c r="EA570" s="61"/>
      <c r="EB570" s="61"/>
      <c r="EC570" s="61"/>
      <c r="ED570" s="61"/>
      <c r="EE570" s="61"/>
      <c r="EF570" s="61"/>
      <c r="EG570" s="61"/>
      <c r="EH570" s="61"/>
      <c r="EI570" s="61"/>
      <c r="EJ570" s="61"/>
      <c r="EK570" s="61"/>
      <c r="EL570" s="61"/>
      <c r="EM570" s="61"/>
      <c r="EN570" s="61"/>
      <c r="EO570" s="61"/>
      <c r="EP570" s="61"/>
      <c r="EQ570" s="61"/>
      <c r="ER570" s="61"/>
      <c r="ES570" s="61"/>
      <c r="ET570" s="61"/>
      <c r="EU570" s="61"/>
      <c r="EV570" s="61"/>
      <c r="EW570" s="61"/>
    </row>
    <row r="571" spans="1:153">
      <c r="A571" s="56">
        <v>43952</v>
      </c>
      <c r="B571" s="57">
        <v>2020</v>
      </c>
      <c r="C571" s="71">
        <v>19.724</v>
      </c>
      <c r="D571" s="61">
        <v>0.26900000000000002</v>
      </c>
      <c r="E571" s="61">
        <v>3630.47</v>
      </c>
      <c r="F571" s="61">
        <v>152.47999999999999</v>
      </c>
      <c r="G571" s="61">
        <v>19.456</v>
      </c>
      <c r="H571" s="61">
        <v>475</v>
      </c>
      <c r="I571" s="61">
        <v>496.37900000000002</v>
      </c>
      <c r="J571" s="61">
        <v>-21.379000000000001</v>
      </c>
      <c r="K571" s="61">
        <v>4513.47</v>
      </c>
      <c r="L571" s="61">
        <v>102.128</v>
      </c>
      <c r="M571" s="61">
        <v>3506.9630000000002</v>
      </c>
      <c r="N571" s="61">
        <v>147.292</v>
      </c>
      <c r="O571" s="71">
        <v>18.794</v>
      </c>
      <c r="P571" s="60">
        <v>180.25800000000001</v>
      </c>
      <c r="Q571" s="61">
        <v>146.255</v>
      </c>
      <c r="R571" s="61">
        <v>363.74900000000002</v>
      </c>
      <c r="S571" s="61">
        <v>1021.41</v>
      </c>
      <c r="T571" s="61">
        <v>262.80099999999999</v>
      </c>
      <c r="U571" s="61">
        <v>17.321000000000002</v>
      </c>
      <c r="V571" s="61">
        <v>128.75299999999999</v>
      </c>
      <c r="W571" s="61">
        <v>248.786</v>
      </c>
      <c r="X571" s="61">
        <v>172.22200000000001</v>
      </c>
      <c r="Y571" s="61">
        <v>37.235999999999997</v>
      </c>
      <c r="Z571" s="61">
        <v>155.142</v>
      </c>
      <c r="AA571" s="61">
        <v>364.6</v>
      </c>
      <c r="AB571" s="60">
        <v>1022.2619999999999</v>
      </c>
      <c r="AC571" s="62">
        <v>1105.2660000000001</v>
      </c>
      <c r="AD571" s="61">
        <v>46.420999999999999</v>
      </c>
      <c r="AE571" s="61">
        <v>6.0720000000000001</v>
      </c>
      <c r="AF571" s="61">
        <v>505</v>
      </c>
      <c r="AG571" s="61">
        <v>1741</v>
      </c>
      <c r="AH571" s="61">
        <v>184</v>
      </c>
      <c r="AI571" s="61">
        <v>1426.2660000000001</v>
      </c>
      <c r="AJ571" s="61">
        <v>59.902999999999999</v>
      </c>
      <c r="AK571" s="62">
        <v>7.8360000000000003</v>
      </c>
      <c r="AL571" s="63">
        <f t="shared" si="47"/>
        <v>59.902999999999999</v>
      </c>
      <c r="AM571" s="64">
        <v>7.8360000000000003</v>
      </c>
      <c r="AN571" s="65" t="s">
        <v>121</v>
      </c>
      <c r="AO571" s="61" t="s">
        <v>121</v>
      </c>
      <c r="AP571" s="61">
        <v>56.313000000000002</v>
      </c>
      <c r="AQ571" s="61">
        <v>2.3650000000000002</v>
      </c>
      <c r="AR571" s="61">
        <v>0.30199999999999999</v>
      </c>
      <c r="AS571" s="61" t="s">
        <v>122</v>
      </c>
      <c r="AT571" s="61">
        <v>48</v>
      </c>
      <c r="AU571" s="61">
        <v>2</v>
      </c>
      <c r="AV571" s="61">
        <v>54.313000000000002</v>
      </c>
      <c r="AW571" s="61">
        <v>2.2810000000000001</v>
      </c>
      <c r="AX571" s="65">
        <v>0.29099999999999998</v>
      </c>
      <c r="AY571" s="66">
        <v>3.3540000000000001</v>
      </c>
      <c r="AZ571" s="61">
        <v>29.588999999999999</v>
      </c>
      <c r="BA571" s="61">
        <v>37.284999999999997</v>
      </c>
      <c r="BB571" s="61">
        <v>70.227999999999994</v>
      </c>
      <c r="BC571" s="61">
        <v>0.20200000000000001</v>
      </c>
      <c r="BD571" s="61">
        <v>2.008</v>
      </c>
      <c r="BE571" s="61">
        <v>12.052</v>
      </c>
      <c r="BF571" s="61">
        <v>0.13100000000000001</v>
      </c>
      <c r="BG571" s="61">
        <v>7.0209999999999999</v>
      </c>
      <c r="BH571" s="61">
        <v>3.22</v>
      </c>
      <c r="BI571" s="61">
        <v>2.028</v>
      </c>
      <c r="BJ571" s="61">
        <v>12.269</v>
      </c>
      <c r="BK571" s="66">
        <v>26.661999999999999</v>
      </c>
      <c r="BL571" s="67">
        <v>77.816000000000003</v>
      </c>
      <c r="BM571" s="61">
        <v>18.794</v>
      </c>
      <c r="BN571" s="61">
        <v>7.8360000000000003</v>
      </c>
      <c r="BO571" s="61">
        <v>0.29099999999999998</v>
      </c>
      <c r="BP571" s="61">
        <v>104.73699999999999</v>
      </c>
      <c r="BQ571" s="61">
        <v>261.70499999999998</v>
      </c>
      <c r="BR571" s="61">
        <v>11.603999999999999</v>
      </c>
      <c r="BS571" s="61">
        <v>83.948999999999998</v>
      </c>
      <c r="BT571" s="61">
        <v>248.58</v>
      </c>
      <c r="BU571" s="61">
        <v>13.94</v>
      </c>
      <c r="BV571" s="61">
        <v>20.515000000000001</v>
      </c>
      <c r="BW571" s="61">
        <v>34.454999999999998</v>
      </c>
      <c r="BX571" s="67">
        <v>640.29300000000001</v>
      </c>
      <c r="BY571" s="68">
        <v>149363</v>
      </c>
      <c r="BZ571" s="68">
        <v>106834</v>
      </c>
      <c r="CA571" s="69">
        <v>5884</v>
      </c>
      <c r="CB571" s="68">
        <v>176627</v>
      </c>
      <c r="CC571" s="68">
        <v>24772</v>
      </c>
      <c r="CD571" s="68">
        <v>141609</v>
      </c>
      <c r="CE571" s="72">
        <v>4244.5199999999995</v>
      </c>
      <c r="CF571" s="72">
        <v>6275.64</v>
      </c>
      <c r="CG571" s="70">
        <f t="shared" si="43"/>
        <v>7418.3339999999998</v>
      </c>
      <c r="CH571" s="70">
        <f t="shared" si="44"/>
        <v>247.12799999999999</v>
      </c>
      <c r="CI571" s="70">
        <f t="shared" si="45"/>
        <v>1040.424</v>
      </c>
      <c r="CJ571" s="70">
        <f t="shared" si="46"/>
        <v>6273.2460000000001</v>
      </c>
      <c r="CK571" s="70">
        <f t="shared" si="46"/>
        <v>4487.0280000000002</v>
      </c>
      <c r="CL571" s="70">
        <f t="shared" si="42"/>
        <v>5947.5780000000004</v>
      </c>
      <c r="CM571" s="61"/>
      <c r="CN571" s="61"/>
      <c r="CO571" s="61"/>
      <c r="CP571" s="61"/>
      <c r="CQ571" s="61"/>
      <c r="CR571" s="61"/>
      <c r="CS571" s="61"/>
      <c r="CT571" s="61"/>
      <c r="CU571" s="61"/>
      <c r="CV571" s="61"/>
      <c r="CW571" s="61"/>
      <c r="CX571" s="61"/>
      <c r="CY571" s="61"/>
      <c r="CZ571" s="61"/>
      <c r="DA571" s="61"/>
      <c r="DB571" s="61"/>
      <c r="DC571" s="61"/>
      <c r="DD571" s="61"/>
      <c r="DE571" s="61"/>
      <c r="DF571" s="61"/>
      <c r="DG571" s="61"/>
      <c r="DH571" s="61"/>
      <c r="DI571" s="61"/>
      <c r="DJ571" s="61"/>
      <c r="DK571" s="61"/>
      <c r="DL571" s="61"/>
      <c r="DM571" s="61"/>
      <c r="DN571" s="61"/>
      <c r="DO571" s="61"/>
      <c r="DP571" s="61"/>
      <c r="DQ571" s="61"/>
      <c r="DR571" s="61"/>
      <c r="DS571" s="61"/>
      <c r="DT571" s="61"/>
      <c r="DU571" s="61"/>
      <c r="DV571" s="61"/>
      <c r="DW571" s="61"/>
      <c r="DX571" s="61"/>
      <c r="DY571" s="61"/>
      <c r="DZ571" s="61"/>
      <c r="EA571" s="61"/>
      <c r="EB571" s="61"/>
      <c r="EC571" s="61"/>
      <c r="ED571" s="61"/>
      <c r="EE571" s="61"/>
      <c r="EF571" s="61"/>
      <c r="EG571" s="61"/>
      <c r="EH571" s="61"/>
      <c r="EI571" s="61"/>
      <c r="EJ571" s="61"/>
      <c r="EK571" s="61"/>
      <c r="EL571" s="61"/>
      <c r="EM571" s="61"/>
      <c r="EN571" s="61"/>
      <c r="EO571" s="61"/>
      <c r="EP571" s="61"/>
      <c r="EQ571" s="61"/>
      <c r="ER571" s="61"/>
      <c r="ES571" s="61"/>
      <c r="ET571" s="61"/>
      <c r="EU571" s="61"/>
      <c r="EV571" s="61"/>
      <c r="EW571" s="61"/>
    </row>
    <row r="572" spans="1:153">
      <c r="A572" s="56">
        <v>43983</v>
      </c>
      <c r="B572" s="57">
        <v>2020</v>
      </c>
      <c r="C572" s="71">
        <v>19.507000000000001</v>
      </c>
      <c r="D572" s="61">
        <v>0.26600000000000001</v>
      </c>
      <c r="E572" s="61">
        <v>3590.4839999999999</v>
      </c>
      <c r="F572" s="61">
        <v>150.80000000000001</v>
      </c>
      <c r="G572" s="61">
        <v>19.241</v>
      </c>
      <c r="H572" s="61">
        <v>446</v>
      </c>
      <c r="I572" s="61">
        <v>522.59100000000001</v>
      </c>
      <c r="J572" s="61">
        <v>-76.590999999999994</v>
      </c>
      <c r="K572" s="61">
        <v>4318.1369999999997</v>
      </c>
      <c r="L572" s="61">
        <v>-195.33099999999999</v>
      </c>
      <c r="M572" s="61">
        <v>3709.2240000000002</v>
      </c>
      <c r="N572" s="61">
        <v>155.78700000000001</v>
      </c>
      <c r="O572" s="71">
        <v>19.878</v>
      </c>
      <c r="P572" s="60">
        <v>174.80199999999999</v>
      </c>
      <c r="Q572" s="61">
        <v>174.20099999999999</v>
      </c>
      <c r="R572" s="61">
        <v>383.28199999999998</v>
      </c>
      <c r="S572" s="61">
        <v>1038.777</v>
      </c>
      <c r="T572" s="61">
        <v>245.471</v>
      </c>
      <c r="U572" s="61">
        <v>16.375</v>
      </c>
      <c r="V572" s="61">
        <v>128.77600000000001</v>
      </c>
      <c r="W572" s="61">
        <v>264.87200000000001</v>
      </c>
      <c r="X572" s="61">
        <v>165.22900000000001</v>
      </c>
      <c r="Y572" s="61">
        <v>34.279000000000003</v>
      </c>
      <c r="Z572" s="61">
        <v>182.88900000000001</v>
      </c>
      <c r="AA572" s="61">
        <v>382.39699999999999</v>
      </c>
      <c r="AB572" s="60">
        <v>1037.8920000000001</v>
      </c>
      <c r="AC572" s="62">
        <v>1266.846</v>
      </c>
      <c r="AD572" s="61">
        <v>53.207999999999998</v>
      </c>
      <c r="AE572" s="61">
        <v>6.96</v>
      </c>
      <c r="AF572" s="61">
        <v>615</v>
      </c>
      <c r="AG572" s="61">
        <v>1536</v>
      </c>
      <c r="AH572" s="61">
        <v>-205</v>
      </c>
      <c r="AI572" s="61">
        <v>2086.846</v>
      </c>
      <c r="AJ572" s="61">
        <v>87.647999999999996</v>
      </c>
      <c r="AK572" s="62">
        <v>11.465</v>
      </c>
      <c r="AL572" s="63">
        <f t="shared" si="47"/>
        <v>87.647999999999996</v>
      </c>
      <c r="AM572" s="64">
        <v>11.465</v>
      </c>
      <c r="AN572" s="65" t="s">
        <v>121</v>
      </c>
      <c r="AO572" s="61" t="s">
        <v>121</v>
      </c>
      <c r="AP572" s="61">
        <v>60.276000000000003</v>
      </c>
      <c r="AQ572" s="61">
        <v>2.532</v>
      </c>
      <c r="AR572" s="61">
        <v>0.32300000000000001</v>
      </c>
      <c r="AS572" s="61" t="s">
        <v>122</v>
      </c>
      <c r="AT572" s="61">
        <v>46</v>
      </c>
      <c r="AU572" s="61">
        <v>-2</v>
      </c>
      <c r="AV572" s="61">
        <v>62.276000000000003</v>
      </c>
      <c r="AW572" s="61">
        <v>2.6160000000000001</v>
      </c>
      <c r="AX572" s="65">
        <v>0.33400000000000002</v>
      </c>
      <c r="AY572" s="66">
        <v>3.246</v>
      </c>
      <c r="AZ572" s="61">
        <v>29.591999999999999</v>
      </c>
      <c r="BA572" s="61">
        <v>36.082999999999998</v>
      </c>
      <c r="BB572" s="61">
        <v>68.92</v>
      </c>
      <c r="BC572" s="61">
        <v>0.192</v>
      </c>
      <c r="BD572" s="61">
        <v>1.91</v>
      </c>
      <c r="BE572" s="61">
        <v>12.021000000000001</v>
      </c>
      <c r="BF572" s="61">
        <v>0.13100000000000001</v>
      </c>
      <c r="BG572" s="61">
        <v>6.9029999999999996</v>
      </c>
      <c r="BH572" s="61">
        <v>3.0510000000000002</v>
      </c>
      <c r="BI572" s="61">
        <v>2.3380000000000001</v>
      </c>
      <c r="BJ572" s="61">
        <v>12.292</v>
      </c>
      <c r="BK572" s="66">
        <v>26.545999999999999</v>
      </c>
      <c r="BL572" s="67">
        <v>89.697999999999993</v>
      </c>
      <c r="BM572" s="61">
        <v>19.878</v>
      </c>
      <c r="BN572" s="61">
        <v>11.465</v>
      </c>
      <c r="BO572" s="61">
        <v>0.33400000000000002</v>
      </c>
      <c r="BP572" s="61">
        <v>121.375</v>
      </c>
      <c r="BQ572" s="61">
        <v>244.63900000000001</v>
      </c>
      <c r="BR572" s="61">
        <v>10.875</v>
      </c>
      <c r="BS572" s="61">
        <v>83.948999999999998</v>
      </c>
      <c r="BT572" s="61">
        <v>264.21800000000002</v>
      </c>
      <c r="BU572" s="61">
        <v>14.003</v>
      </c>
      <c r="BV572" s="61">
        <v>18.948</v>
      </c>
      <c r="BW572" s="61">
        <v>32.951999999999998</v>
      </c>
      <c r="BX572" s="67">
        <v>636.63300000000004</v>
      </c>
      <c r="BY572" s="68">
        <v>137390</v>
      </c>
      <c r="BZ572" s="68">
        <v>104838</v>
      </c>
      <c r="CA572" s="69">
        <v>4621</v>
      </c>
      <c r="CB572" s="68">
        <v>176947</v>
      </c>
      <c r="CC572" s="68">
        <v>39158</v>
      </c>
      <c r="CD572" s="68">
        <v>130925</v>
      </c>
      <c r="CE572" s="72">
        <v>4258.8</v>
      </c>
      <c r="CF572" s="72">
        <v>5770.8</v>
      </c>
      <c r="CG572" s="70">
        <f t="shared" si="43"/>
        <v>7431.7740000000003</v>
      </c>
      <c r="CH572" s="70">
        <f t="shared" si="44"/>
        <v>194.08199999999999</v>
      </c>
      <c r="CI572" s="70">
        <f t="shared" si="45"/>
        <v>1644.636</v>
      </c>
      <c r="CJ572" s="70">
        <f t="shared" si="46"/>
        <v>5770.38</v>
      </c>
      <c r="CK572" s="70">
        <f t="shared" si="46"/>
        <v>4403.1959999999999</v>
      </c>
      <c r="CL572" s="70">
        <f t="shared" si="42"/>
        <v>5498.85</v>
      </c>
      <c r="CM572" s="61"/>
      <c r="CN572" s="61"/>
      <c r="CO572" s="61"/>
      <c r="CP572" s="61"/>
      <c r="CQ572" s="61"/>
      <c r="CR572" s="61"/>
      <c r="CS572" s="61"/>
      <c r="CT572" s="61"/>
      <c r="CU572" s="61"/>
      <c r="CV572" s="61"/>
      <c r="CW572" s="61"/>
      <c r="CX572" s="61"/>
      <c r="CY572" s="61"/>
      <c r="CZ572" s="61"/>
      <c r="DA572" s="61"/>
      <c r="DB572" s="61"/>
      <c r="DC572" s="61"/>
      <c r="DD572" s="61"/>
      <c r="DE572" s="61"/>
      <c r="DF572" s="61"/>
      <c r="DG572" s="61"/>
      <c r="DH572" s="61"/>
      <c r="DI572" s="61"/>
      <c r="DJ572" s="61"/>
      <c r="DK572" s="61"/>
      <c r="DL572" s="61"/>
      <c r="DM572" s="61"/>
      <c r="DN572" s="61"/>
      <c r="DO572" s="61"/>
      <c r="DP572" s="61"/>
      <c r="DQ572" s="61"/>
      <c r="DR572" s="61"/>
      <c r="DS572" s="61"/>
      <c r="DT572" s="61"/>
      <c r="DU572" s="61"/>
      <c r="DV572" s="61"/>
      <c r="DW572" s="61"/>
      <c r="DX572" s="61"/>
      <c r="DY572" s="61"/>
      <c r="DZ572" s="61"/>
      <c r="EA572" s="61"/>
      <c r="EB572" s="61"/>
      <c r="EC572" s="61"/>
      <c r="ED572" s="61"/>
      <c r="EE572" s="61"/>
      <c r="EF572" s="61"/>
      <c r="EG572" s="61"/>
      <c r="EH572" s="61"/>
      <c r="EI572" s="61"/>
      <c r="EJ572" s="61"/>
      <c r="EK572" s="61"/>
      <c r="EL572" s="61"/>
      <c r="EM572" s="61"/>
      <c r="EN572" s="61"/>
      <c r="EO572" s="61"/>
      <c r="EP572" s="61"/>
      <c r="EQ572" s="61"/>
      <c r="ER572" s="61"/>
      <c r="ES572" s="61"/>
      <c r="ET572" s="61"/>
      <c r="EU572" s="61"/>
      <c r="EV572" s="61"/>
      <c r="EW572" s="61"/>
    </row>
    <row r="573" spans="1:153">
      <c r="A573" s="56">
        <v>44013</v>
      </c>
      <c r="B573" s="57">
        <v>2020</v>
      </c>
      <c r="C573" s="71">
        <v>20.913</v>
      </c>
      <c r="D573" s="61">
        <v>0.28499999999999998</v>
      </c>
      <c r="E573" s="61">
        <v>3849.252</v>
      </c>
      <c r="F573" s="61">
        <v>161.66900000000001</v>
      </c>
      <c r="G573" s="61">
        <v>20.628</v>
      </c>
      <c r="H573" s="61">
        <v>346</v>
      </c>
      <c r="I573" s="61">
        <v>376.00200000000001</v>
      </c>
      <c r="J573" s="61">
        <v>-30.001999999999999</v>
      </c>
      <c r="K573" s="61">
        <v>3878.9949999999999</v>
      </c>
      <c r="L573" s="61">
        <v>-439.142</v>
      </c>
      <c r="M573" s="61">
        <v>4258.3919999999998</v>
      </c>
      <c r="N573" s="61">
        <v>178.852</v>
      </c>
      <c r="O573" s="71">
        <v>22.821000000000002</v>
      </c>
      <c r="P573" s="60">
        <v>178.017</v>
      </c>
      <c r="Q573" s="61">
        <v>190.52199999999999</v>
      </c>
      <c r="R573" s="61">
        <v>404.44499999999999</v>
      </c>
      <c r="S573" s="61">
        <v>994.97199999999998</v>
      </c>
      <c r="T573" s="61">
        <v>234.44499999999999</v>
      </c>
      <c r="U573" s="61">
        <v>17.05</v>
      </c>
      <c r="V573" s="61">
        <v>138.56399999999999</v>
      </c>
      <c r="W573" s="61">
        <v>200.46799999999999</v>
      </c>
      <c r="X573" s="61">
        <v>170.87</v>
      </c>
      <c r="Y573" s="61">
        <v>35.905999999999999</v>
      </c>
      <c r="Z573" s="61">
        <v>188.40799999999999</v>
      </c>
      <c r="AA573" s="61">
        <v>395.18400000000003</v>
      </c>
      <c r="AB573" s="60">
        <v>985.71100000000001</v>
      </c>
      <c r="AC573" s="62">
        <v>1111.5329999999999</v>
      </c>
      <c r="AD573" s="61">
        <v>46.683999999999997</v>
      </c>
      <c r="AE573" s="61">
        <v>6.1070000000000002</v>
      </c>
      <c r="AF573" s="61">
        <v>318</v>
      </c>
      <c r="AG573" s="61">
        <v>1508</v>
      </c>
      <c r="AH573" s="61">
        <v>-28</v>
      </c>
      <c r="AI573" s="61">
        <v>1457.5329999999999</v>
      </c>
      <c r="AJ573" s="61">
        <v>61.216000000000001</v>
      </c>
      <c r="AK573" s="62">
        <v>8.0079999999999991</v>
      </c>
      <c r="AL573" s="63">
        <f t="shared" si="47"/>
        <v>61.216000000000001</v>
      </c>
      <c r="AM573" s="64">
        <v>8.0079999999999991</v>
      </c>
      <c r="AN573" s="65" t="s">
        <v>121</v>
      </c>
      <c r="AO573" s="61" t="s">
        <v>121</v>
      </c>
      <c r="AP573" s="61">
        <v>98.27</v>
      </c>
      <c r="AQ573" s="61">
        <v>4.1269999999999998</v>
      </c>
      <c r="AR573" s="61">
        <v>0.52700000000000002</v>
      </c>
      <c r="AS573" s="61" t="s">
        <v>122</v>
      </c>
      <c r="AT573" s="61">
        <v>42</v>
      </c>
      <c r="AU573" s="61">
        <v>-4</v>
      </c>
      <c r="AV573" s="61">
        <v>102.27</v>
      </c>
      <c r="AW573" s="61">
        <v>4.2949999999999999</v>
      </c>
      <c r="AX573" s="65">
        <v>0.54800000000000004</v>
      </c>
      <c r="AY573" s="66">
        <v>3.3540000000000001</v>
      </c>
      <c r="AZ573" s="61">
        <v>30.423999999999999</v>
      </c>
      <c r="BA573" s="61">
        <v>37.284999999999997</v>
      </c>
      <c r="BB573" s="61">
        <v>71.063000000000002</v>
      </c>
      <c r="BC573" s="61">
        <v>0.182</v>
      </c>
      <c r="BD573" s="61">
        <v>1.9350000000000001</v>
      </c>
      <c r="BE573" s="61">
        <v>12.488</v>
      </c>
      <c r="BF573" s="61">
        <v>8.8999999999999996E-2</v>
      </c>
      <c r="BG573" s="61">
        <v>7.0090000000000003</v>
      </c>
      <c r="BH573" s="61">
        <v>3.2650000000000001</v>
      </c>
      <c r="BI573" s="61">
        <v>2.3319999999999999</v>
      </c>
      <c r="BJ573" s="61">
        <v>12.606</v>
      </c>
      <c r="BK573" s="66">
        <v>27.300999999999998</v>
      </c>
      <c r="BL573" s="67">
        <v>89.465999999999994</v>
      </c>
      <c r="BM573" s="61">
        <v>22.821000000000002</v>
      </c>
      <c r="BN573" s="61">
        <v>8.0079999999999991</v>
      </c>
      <c r="BO573" s="61">
        <v>0.54800000000000004</v>
      </c>
      <c r="BP573" s="61">
        <v>120.843</v>
      </c>
      <c r="BQ573" s="61">
        <v>233.70500000000001</v>
      </c>
      <c r="BR573" s="61">
        <v>11.404999999999999</v>
      </c>
      <c r="BS573" s="61">
        <v>92.296000000000006</v>
      </c>
      <c r="BT573" s="61">
        <v>199.77799999999999</v>
      </c>
      <c r="BU573" s="61">
        <v>16.332000000000001</v>
      </c>
      <c r="BV573" s="61">
        <v>20.007999999999999</v>
      </c>
      <c r="BW573" s="61">
        <v>36.340000000000003</v>
      </c>
      <c r="BX573" s="67">
        <v>573.524</v>
      </c>
      <c r="BY573" s="68">
        <v>150125</v>
      </c>
      <c r="BZ573" s="68">
        <v>112054</v>
      </c>
      <c r="CA573" s="69">
        <v>3583</v>
      </c>
      <c r="CB573" s="68">
        <v>178800</v>
      </c>
      <c r="CC573" s="68">
        <v>42520</v>
      </c>
      <c r="CD573" s="68">
        <v>141664</v>
      </c>
      <c r="CE573" s="72">
        <v>4557</v>
      </c>
      <c r="CF573" s="72">
        <v>6301.68</v>
      </c>
      <c r="CG573" s="70">
        <f t="shared" si="43"/>
        <v>7509.6</v>
      </c>
      <c r="CH573" s="70">
        <f t="shared" si="44"/>
        <v>150.48599999999999</v>
      </c>
      <c r="CI573" s="70">
        <f t="shared" si="45"/>
        <v>1785.84</v>
      </c>
      <c r="CJ573" s="70">
        <f t="shared" si="46"/>
        <v>6305.25</v>
      </c>
      <c r="CK573" s="70">
        <f t="shared" si="46"/>
        <v>4706.268</v>
      </c>
      <c r="CL573" s="70">
        <f t="shared" ref="CL573:CL622" si="48">CD573*42/1000</f>
        <v>5949.8879999999999</v>
      </c>
      <c r="CM573" s="61"/>
      <c r="CN573" s="61"/>
      <c r="CO573" s="61"/>
      <c r="CP573" s="61"/>
      <c r="CQ573" s="61"/>
      <c r="CR573" s="61"/>
      <c r="CS573" s="61"/>
      <c r="CT573" s="61"/>
      <c r="CU573" s="61"/>
      <c r="CV573" s="61"/>
      <c r="CW573" s="61"/>
      <c r="CX573" s="61"/>
      <c r="CY573" s="61"/>
      <c r="CZ573" s="61"/>
      <c r="DA573" s="61"/>
      <c r="DB573" s="61"/>
      <c r="DC573" s="61"/>
      <c r="DD573" s="61"/>
      <c r="DE573" s="61"/>
      <c r="DF573" s="61"/>
      <c r="DG573" s="61"/>
      <c r="DH573" s="61"/>
      <c r="DI573" s="61"/>
      <c r="DJ573" s="61"/>
      <c r="DK573" s="61"/>
      <c r="DL573" s="61"/>
      <c r="DM573" s="61"/>
      <c r="DN573" s="61"/>
      <c r="DO573" s="61"/>
      <c r="DP573" s="61"/>
      <c r="DQ573" s="61"/>
      <c r="DR573" s="61"/>
      <c r="DS573" s="61"/>
      <c r="DT573" s="61"/>
      <c r="DU573" s="61"/>
      <c r="DV573" s="61"/>
      <c r="DW573" s="61"/>
      <c r="DX573" s="61"/>
      <c r="DY573" s="61"/>
      <c r="DZ573" s="61"/>
      <c r="EA573" s="61"/>
      <c r="EB573" s="61"/>
      <c r="EC573" s="61"/>
      <c r="ED573" s="61"/>
      <c r="EE573" s="61"/>
      <c r="EF573" s="61"/>
      <c r="EG573" s="61"/>
      <c r="EH573" s="61"/>
      <c r="EI573" s="61"/>
      <c r="EJ573" s="61"/>
      <c r="EK573" s="61"/>
      <c r="EL573" s="61"/>
      <c r="EM573" s="61"/>
      <c r="EN573" s="61"/>
      <c r="EO573" s="61"/>
      <c r="EP573" s="61"/>
      <c r="EQ573" s="61"/>
      <c r="ER573" s="61"/>
      <c r="ES573" s="61"/>
      <c r="ET573" s="61"/>
      <c r="EU573" s="61"/>
      <c r="EV573" s="61"/>
      <c r="EW573" s="61"/>
    </row>
    <row r="574" spans="1:153">
      <c r="A574" s="56">
        <v>44044</v>
      </c>
      <c r="B574" s="57">
        <v>2020</v>
      </c>
      <c r="C574" s="71">
        <v>21.035</v>
      </c>
      <c r="D574" s="61">
        <v>0.28699999999999998</v>
      </c>
      <c r="E574" s="61">
        <v>3871.652</v>
      </c>
      <c r="F574" s="61">
        <v>162.60900000000001</v>
      </c>
      <c r="G574" s="61">
        <v>20.748000000000001</v>
      </c>
      <c r="H574" s="61">
        <v>234</v>
      </c>
      <c r="I574" s="61">
        <v>512.09100000000001</v>
      </c>
      <c r="J574" s="61">
        <v>-278.09100000000001</v>
      </c>
      <c r="K574" s="61">
        <v>3563.0189999999998</v>
      </c>
      <c r="L574" s="61">
        <v>-315.976</v>
      </c>
      <c r="M574" s="61">
        <v>3909.5369999999998</v>
      </c>
      <c r="N574" s="61">
        <v>164.20099999999999</v>
      </c>
      <c r="O574" s="71">
        <v>20.951000000000001</v>
      </c>
      <c r="P574" s="60">
        <v>181.84299999999999</v>
      </c>
      <c r="Q574" s="61">
        <v>188.51400000000001</v>
      </c>
      <c r="R574" s="61">
        <v>406.78899999999999</v>
      </c>
      <c r="S574" s="61">
        <v>954.87</v>
      </c>
      <c r="T574" s="61">
        <v>204.12700000000001</v>
      </c>
      <c r="U574" s="61">
        <v>16.977</v>
      </c>
      <c r="V574" s="61">
        <v>125.07899999999999</v>
      </c>
      <c r="W574" s="61">
        <v>201.898</v>
      </c>
      <c r="X574" s="61">
        <v>173.29400000000001</v>
      </c>
      <c r="Y574" s="61">
        <v>36.432000000000002</v>
      </c>
      <c r="Z574" s="61">
        <v>185.52699999999999</v>
      </c>
      <c r="AA574" s="61">
        <v>395.25299999999999</v>
      </c>
      <c r="AB574" s="60">
        <v>943.33399999999995</v>
      </c>
      <c r="AC574" s="62">
        <v>1046.492</v>
      </c>
      <c r="AD574" s="61">
        <v>43.953000000000003</v>
      </c>
      <c r="AE574" s="61">
        <v>5.7489999999999997</v>
      </c>
      <c r="AF574" s="61">
        <v>435</v>
      </c>
      <c r="AG574" s="61">
        <v>1379</v>
      </c>
      <c r="AH574" s="61">
        <v>-129</v>
      </c>
      <c r="AI574" s="61">
        <v>1610.492</v>
      </c>
      <c r="AJ574" s="61">
        <v>67.641000000000005</v>
      </c>
      <c r="AK574" s="62">
        <v>8.8480000000000008</v>
      </c>
      <c r="AL574" s="63">
        <f t="shared" si="47"/>
        <v>67.641000000000005</v>
      </c>
      <c r="AM574" s="64">
        <v>8.8480000000000008</v>
      </c>
      <c r="AN574" s="65" t="s">
        <v>121</v>
      </c>
      <c r="AO574" s="61" t="s">
        <v>121</v>
      </c>
      <c r="AP574" s="61">
        <v>58.966000000000001</v>
      </c>
      <c r="AQ574" s="61">
        <v>2.4769999999999999</v>
      </c>
      <c r="AR574" s="61">
        <v>0.316</v>
      </c>
      <c r="AS574" s="61" t="s">
        <v>122</v>
      </c>
      <c r="AT574" s="61">
        <v>41</v>
      </c>
      <c r="AU574" s="61">
        <v>-1</v>
      </c>
      <c r="AV574" s="61">
        <v>59.966000000000001</v>
      </c>
      <c r="AW574" s="61">
        <v>2.5190000000000001</v>
      </c>
      <c r="AX574" s="65">
        <v>0.32100000000000001</v>
      </c>
      <c r="AY574" s="66">
        <v>3.3540000000000001</v>
      </c>
      <c r="AZ574" s="61">
        <v>28.867999999999999</v>
      </c>
      <c r="BA574" s="61">
        <v>37.284999999999997</v>
      </c>
      <c r="BB574" s="61">
        <v>69.507999999999996</v>
      </c>
      <c r="BC574" s="61">
        <v>0.158</v>
      </c>
      <c r="BD574" s="61">
        <v>1.9339999999999999</v>
      </c>
      <c r="BE574" s="61">
        <v>11.919</v>
      </c>
      <c r="BF574" s="61">
        <v>9.8000000000000004E-2</v>
      </c>
      <c r="BG574" s="61">
        <v>7.0039999999999996</v>
      </c>
      <c r="BH574" s="61">
        <v>3.2610000000000001</v>
      </c>
      <c r="BI574" s="61">
        <v>2.3069999999999999</v>
      </c>
      <c r="BJ574" s="61">
        <v>12.571</v>
      </c>
      <c r="BK574" s="66">
        <v>26.68</v>
      </c>
      <c r="BL574" s="67">
        <v>88.49</v>
      </c>
      <c r="BM574" s="61">
        <v>20.951000000000001</v>
      </c>
      <c r="BN574" s="61">
        <v>8.8480000000000008</v>
      </c>
      <c r="BO574" s="61">
        <v>0.32100000000000001</v>
      </c>
      <c r="BP574" s="61">
        <v>118.61</v>
      </c>
      <c r="BQ574" s="61">
        <v>203.42500000000001</v>
      </c>
      <c r="BR574" s="61">
        <v>11.334</v>
      </c>
      <c r="BS574" s="61">
        <v>81.058000000000007</v>
      </c>
      <c r="BT574" s="61">
        <v>201.30799999999999</v>
      </c>
      <c r="BU574" s="61">
        <v>17.728000000000002</v>
      </c>
      <c r="BV574" s="61">
        <v>20.411000000000001</v>
      </c>
      <c r="BW574" s="61">
        <v>38.14</v>
      </c>
      <c r="BX574" s="67">
        <v>535.26499999999999</v>
      </c>
      <c r="BY574" s="68">
        <v>149505</v>
      </c>
      <c r="BZ574" s="68">
        <v>113700</v>
      </c>
      <c r="CA574" s="69">
        <v>4507</v>
      </c>
      <c r="CB574" s="68">
        <v>179763</v>
      </c>
      <c r="CC574" s="68">
        <v>41716</v>
      </c>
      <c r="CD574" s="68">
        <v>142474</v>
      </c>
      <c r="CE574" s="72">
        <v>4661.1600000000008</v>
      </c>
      <c r="CF574" s="72">
        <v>6275.64</v>
      </c>
      <c r="CG574" s="70">
        <f t="shared" si="43"/>
        <v>7550.0460000000003</v>
      </c>
      <c r="CH574" s="70">
        <f t="shared" si="44"/>
        <v>189.29400000000001</v>
      </c>
      <c r="CI574" s="70">
        <f t="shared" si="45"/>
        <v>1752.0719999999999</v>
      </c>
      <c r="CJ574" s="70">
        <f t="shared" si="46"/>
        <v>6279.21</v>
      </c>
      <c r="CK574" s="70">
        <f t="shared" si="46"/>
        <v>4775.3999999999996</v>
      </c>
      <c r="CL574" s="70">
        <f t="shared" si="48"/>
        <v>5983.9080000000004</v>
      </c>
      <c r="CM574" s="61"/>
      <c r="CN574" s="61"/>
      <c r="CO574" s="61"/>
      <c r="CP574" s="61"/>
      <c r="CQ574" s="61"/>
      <c r="CR574" s="61"/>
      <c r="CS574" s="61"/>
      <c r="CT574" s="61"/>
      <c r="CU574" s="61"/>
      <c r="CV574" s="61"/>
      <c r="CW574" s="61"/>
      <c r="CX574" s="61"/>
      <c r="CY574" s="61"/>
      <c r="CZ574" s="61"/>
      <c r="DA574" s="61"/>
      <c r="DB574" s="61"/>
      <c r="DC574" s="61"/>
      <c r="DD574" s="61"/>
      <c r="DE574" s="61"/>
      <c r="DF574" s="61"/>
      <c r="DG574" s="61"/>
      <c r="DH574" s="61"/>
      <c r="DI574" s="61"/>
      <c r="DJ574" s="61"/>
      <c r="DK574" s="61"/>
      <c r="DL574" s="61"/>
      <c r="DM574" s="61"/>
      <c r="DN574" s="61"/>
      <c r="DO574" s="61"/>
      <c r="DP574" s="61"/>
      <c r="DQ574" s="61"/>
      <c r="DR574" s="61"/>
      <c r="DS574" s="61"/>
      <c r="DT574" s="61"/>
      <c r="DU574" s="61"/>
      <c r="DV574" s="61"/>
      <c r="DW574" s="61"/>
      <c r="DX574" s="61"/>
      <c r="DY574" s="61"/>
      <c r="DZ574" s="61"/>
      <c r="EA574" s="61"/>
      <c r="EB574" s="61"/>
      <c r="EC574" s="61"/>
      <c r="ED574" s="61"/>
      <c r="EE574" s="61"/>
      <c r="EF574" s="61"/>
      <c r="EG574" s="61"/>
      <c r="EH574" s="61"/>
      <c r="EI574" s="61"/>
      <c r="EJ574" s="61"/>
      <c r="EK574" s="61"/>
      <c r="EL574" s="61"/>
      <c r="EM574" s="61"/>
      <c r="EN574" s="61"/>
      <c r="EO574" s="61"/>
      <c r="EP574" s="61"/>
      <c r="EQ574" s="61"/>
      <c r="ER574" s="61"/>
      <c r="ES574" s="61"/>
      <c r="ET574" s="61"/>
      <c r="EU574" s="61"/>
      <c r="EV574" s="61"/>
      <c r="EW574" s="61"/>
    </row>
    <row r="575" spans="1:153">
      <c r="A575" s="56">
        <v>44075</v>
      </c>
      <c r="B575" s="57">
        <v>2020</v>
      </c>
      <c r="C575" s="71">
        <v>20.588999999999999</v>
      </c>
      <c r="D575" s="61">
        <v>0.28000000000000003</v>
      </c>
      <c r="E575" s="61">
        <v>3789.5360000000001</v>
      </c>
      <c r="F575" s="61">
        <v>159.161</v>
      </c>
      <c r="G575" s="61">
        <v>20.308</v>
      </c>
      <c r="H575" s="61">
        <v>360</v>
      </c>
      <c r="I575" s="61">
        <v>425.56200000000001</v>
      </c>
      <c r="J575" s="61">
        <v>-65.561999999999998</v>
      </c>
      <c r="K575" s="61">
        <v>3221.25</v>
      </c>
      <c r="L575" s="61">
        <v>-341.76799999999997</v>
      </c>
      <c r="M575" s="61">
        <v>4065.7420000000002</v>
      </c>
      <c r="N575" s="61">
        <v>170.761</v>
      </c>
      <c r="O575" s="71">
        <v>21.788</v>
      </c>
      <c r="P575" s="60">
        <v>175.40100000000001</v>
      </c>
      <c r="Q575" s="61">
        <v>185.06700000000001</v>
      </c>
      <c r="R575" s="61">
        <v>394.71899999999999</v>
      </c>
      <c r="S575" s="61">
        <v>884.51199999999994</v>
      </c>
      <c r="T575" s="61">
        <v>163.75700000000001</v>
      </c>
      <c r="U575" s="61">
        <v>16.497</v>
      </c>
      <c r="V575" s="61">
        <v>106.268</v>
      </c>
      <c r="W575" s="61">
        <v>203.27099999999999</v>
      </c>
      <c r="X575" s="61">
        <v>165.221</v>
      </c>
      <c r="Y575" s="61">
        <v>34.250999999999998</v>
      </c>
      <c r="Z575" s="61">
        <v>184.739</v>
      </c>
      <c r="AA575" s="61">
        <v>384.21199999999999</v>
      </c>
      <c r="AB575" s="60">
        <v>874.005</v>
      </c>
      <c r="AC575" s="62">
        <v>1145.5419999999999</v>
      </c>
      <c r="AD575" s="61">
        <v>48.113</v>
      </c>
      <c r="AE575" s="61">
        <v>6.2939999999999996</v>
      </c>
      <c r="AF575" s="61">
        <v>517</v>
      </c>
      <c r="AG575" s="61">
        <v>1356</v>
      </c>
      <c r="AH575" s="61">
        <v>-23</v>
      </c>
      <c r="AI575" s="61">
        <v>1685.5419999999999</v>
      </c>
      <c r="AJ575" s="61">
        <v>70.793000000000006</v>
      </c>
      <c r="AK575" s="62">
        <v>9.26</v>
      </c>
      <c r="AL575" s="63">
        <f t="shared" si="47"/>
        <v>70.793000000000006</v>
      </c>
      <c r="AM575" s="64">
        <v>9.26</v>
      </c>
      <c r="AN575" s="65" t="s">
        <v>121</v>
      </c>
      <c r="AO575" s="61" t="s">
        <v>121</v>
      </c>
      <c r="AP575" s="61">
        <v>72.981999999999999</v>
      </c>
      <c r="AQ575" s="61">
        <v>3.0649999999999999</v>
      </c>
      <c r="AR575" s="61">
        <v>0.39100000000000001</v>
      </c>
      <c r="AS575" s="61" t="s">
        <v>122</v>
      </c>
      <c r="AT575" s="61">
        <v>33</v>
      </c>
      <c r="AU575" s="61">
        <v>-8</v>
      </c>
      <c r="AV575" s="61">
        <v>80.981999999999999</v>
      </c>
      <c r="AW575" s="61">
        <v>3.4009999999999998</v>
      </c>
      <c r="AX575" s="65">
        <v>0.434</v>
      </c>
      <c r="AY575" s="66">
        <v>3.246</v>
      </c>
      <c r="AZ575" s="61">
        <v>25.503</v>
      </c>
      <c r="BA575" s="61">
        <v>36.082999999999998</v>
      </c>
      <c r="BB575" s="61">
        <v>64.831999999999994</v>
      </c>
      <c r="BC575" s="61">
        <v>0.127</v>
      </c>
      <c r="BD575" s="61">
        <v>1.91</v>
      </c>
      <c r="BE575" s="61">
        <v>10.602</v>
      </c>
      <c r="BF575" s="61">
        <v>0.107</v>
      </c>
      <c r="BG575" s="61">
        <v>6.665</v>
      </c>
      <c r="BH575" s="61">
        <v>3.069</v>
      </c>
      <c r="BI575" s="61">
        <v>2.2879999999999998</v>
      </c>
      <c r="BJ575" s="61">
        <v>12.023</v>
      </c>
      <c r="BK575" s="66">
        <v>24.768999999999998</v>
      </c>
      <c r="BL575" s="67">
        <v>87.784000000000006</v>
      </c>
      <c r="BM575" s="61">
        <v>21.788</v>
      </c>
      <c r="BN575" s="61">
        <v>9.26</v>
      </c>
      <c r="BO575" s="61">
        <v>0.434</v>
      </c>
      <c r="BP575" s="61">
        <v>119.26600000000001</v>
      </c>
      <c r="BQ575" s="61">
        <v>163.15899999999999</v>
      </c>
      <c r="BR575" s="61">
        <v>10.996</v>
      </c>
      <c r="BS575" s="61">
        <v>67.268000000000001</v>
      </c>
      <c r="BT575" s="61">
        <v>202.53299999999999</v>
      </c>
      <c r="BU575" s="61">
        <v>14.776</v>
      </c>
      <c r="BV575" s="61">
        <v>19.216000000000001</v>
      </c>
      <c r="BW575" s="61">
        <v>33.991999999999997</v>
      </c>
      <c r="BX575" s="67">
        <v>477.94900000000001</v>
      </c>
      <c r="BY575" s="68">
        <v>134805</v>
      </c>
      <c r="BZ575" s="68">
        <v>114419</v>
      </c>
      <c r="CA575" s="69">
        <v>5394</v>
      </c>
      <c r="CB575" s="68">
        <v>172502</v>
      </c>
      <c r="CC575" s="68">
        <v>35512</v>
      </c>
      <c r="CD575" s="68">
        <v>129946</v>
      </c>
      <c r="CE575" s="72">
        <v>4611.6000000000004</v>
      </c>
      <c r="CF575" s="72">
        <v>5657.4000000000005</v>
      </c>
      <c r="CG575" s="70">
        <f t="shared" si="43"/>
        <v>7245.0839999999998</v>
      </c>
      <c r="CH575" s="70">
        <f t="shared" si="44"/>
        <v>226.548</v>
      </c>
      <c r="CI575" s="70">
        <f t="shared" si="45"/>
        <v>1491.5039999999999</v>
      </c>
      <c r="CJ575" s="70">
        <f t="shared" si="46"/>
        <v>5661.81</v>
      </c>
      <c r="CK575" s="70">
        <f t="shared" si="46"/>
        <v>4805.598</v>
      </c>
      <c r="CL575" s="70">
        <f t="shared" si="48"/>
        <v>5457.732</v>
      </c>
      <c r="CM575" s="61"/>
      <c r="CN575" s="61"/>
      <c r="CO575" s="61"/>
      <c r="CP575" s="61"/>
      <c r="CQ575" s="61"/>
      <c r="CR575" s="61"/>
      <c r="CS575" s="61"/>
      <c r="CT575" s="61"/>
      <c r="CU575" s="61"/>
      <c r="CV575" s="61"/>
      <c r="CW575" s="61"/>
      <c r="CX575" s="61"/>
      <c r="CY575" s="61"/>
      <c r="CZ575" s="61"/>
      <c r="DA575" s="61"/>
      <c r="DB575" s="61"/>
      <c r="DC575" s="61"/>
      <c r="DD575" s="61"/>
      <c r="DE575" s="61"/>
      <c r="DF575" s="61"/>
      <c r="DG575" s="61"/>
      <c r="DH575" s="61"/>
      <c r="DI575" s="61"/>
      <c r="DJ575" s="61"/>
      <c r="DK575" s="61"/>
      <c r="DL575" s="61"/>
      <c r="DM575" s="61"/>
      <c r="DN575" s="61"/>
      <c r="DO575" s="61"/>
      <c r="DP575" s="61"/>
      <c r="DQ575" s="61"/>
      <c r="DR575" s="61"/>
      <c r="DS575" s="61"/>
      <c r="DT575" s="61"/>
      <c r="DU575" s="61"/>
      <c r="DV575" s="61"/>
      <c r="DW575" s="61"/>
      <c r="DX575" s="61"/>
      <c r="DY575" s="61"/>
      <c r="DZ575" s="61"/>
      <c r="EA575" s="61"/>
      <c r="EB575" s="61"/>
      <c r="EC575" s="61"/>
      <c r="ED575" s="61"/>
      <c r="EE575" s="61"/>
      <c r="EF575" s="61"/>
      <c r="EG575" s="61"/>
      <c r="EH575" s="61"/>
      <c r="EI575" s="61"/>
      <c r="EJ575" s="61"/>
      <c r="EK575" s="61"/>
      <c r="EL575" s="61"/>
      <c r="EM575" s="61"/>
      <c r="EN575" s="61"/>
      <c r="EO575" s="61"/>
      <c r="EP575" s="61"/>
      <c r="EQ575" s="61"/>
      <c r="ER575" s="61"/>
      <c r="ES575" s="61"/>
      <c r="ET575" s="61"/>
      <c r="EU575" s="61"/>
      <c r="EV575" s="61"/>
      <c r="EW575" s="61"/>
    </row>
    <row r="576" spans="1:153">
      <c r="A576" s="56">
        <v>44105</v>
      </c>
      <c r="B576" s="57">
        <v>2020</v>
      </c>
      <c r="C576" s="71">
        <v>20.335000000000001</v>
      </c>
      <c r="D576" s="61">
        <v>0.27700000000000002</v>
      </c>
      <c r="E576" s="61">
        <v>3742.9360000000001</v>
      </c>
      <c r="F576" s="61">
        <v>157.203</v>
      </c>
      <c r="G576" s="61">
        <v>20.058</v>
      </c>
      <c r="H576" s="61">
        <v>420</v>
      </c>
      <c r="I576" s="61">
        <v>112.721</v>
      </c>
      <c r="J576" s="61">
        <v>307.279</v>
      </c>
      <c r="K576" s="61">
        <v>3418.0920000000001</v>
      </c>
      <c r="L576" s="61">
        <v>196.84100000000001</v>
      </c>
      <c r="M576" s="61">
        <v>3853.3739999999998</v>
      </c>
      <c r="N576" s="61">
        <v>161.84200000000001</v>
      </c>
      <c r="O576" s="71">
        <v>20.65</v>
      </c>
      <c r="P576" s="60">
        <v>179.59800000000001</v>
      </c>
      <c r="Q576" s="61">
        <v>191.91499999999999</v>
      </c>
      <c r="R576" s="61">
        <v>407.83600000000001</v>
      </c>
      <c r="S576" s="61">
        <v>938.44299999999998</v>
      </c>
      <c r="T576" s="61">
        <v>164.911</v>
      </c>
      <c r="U576" s="61">
        <v>16.666</v>
      </c>
      <c r="V576" s="61">
        <v>96.340999999999994</v>
      </c>
      <c r="W576" s="61">
        <v>252.68799999999999</v>
      </c>
      <c r="X576" s="61">
        <v>170.827</v>
      </c>
      <c r="Y576" s="61">
        <v>36.323</v>
      </c>
      <c r="Z576" s="61">
        <v>180.74600000000001</v>
      </c>
      <c r="AA576" s="61">
        <v>387.89600000000002</v>
      </c>
      <c r="AB576" s="60">
        <v>918.50300000000004</v>
      </c>
      <c r="AC576" s="62">
        <v>600.71699999999998</v>
      </c>
      <c r="AD576" s="61">
        <v>25.23</v>
      </c>
      <c r="AE576" s="61">
        <v>3.3</v>
      </c>
      <c r="AF576" s="61">
        <v>617</v>
      </c>
      <c r="AG576" s="61">
        <v>1426</v>
      </c>
      <c r="AH576" s="61">
        <v>70</v>
      </c>
      <c r="AI576" s="61">
        <v>1147.7170000000001</v>
      </c>
      <c r="AJ576" s="61">
        <v>48.204000000000001</v>
      </c>
      <c r="AK576" s="62">
        <v>6.306</v>
      </c>
      <c r="AL576" s="63">
        <f t="shared" si="47"/>
        <v>48.204000000000001</v>
      </c>
      <c r="AM576" s="64">
        <v>6.306</v>
      </c>
      <c r="AN576" s="65" t="s">
        <v>121</v>
      </c>
      <c r="AO576" s="61" t="s">
        <v>121</v>
      </c>
      <c r="AP576" s="61">
        <v>28.785</v>
      </c>
      <c r="AQ576" s="61">
        <v>1.2090000000000001</v>
      </c>
      <c r="AR576" s="61">
        <v>0.154</v>
      </c>
      <c r="AS576" s="61" t="s">
        <v>122</v>
      </c>
      <c r="AT576" s="61">
        <v>30</v>
      </c>
      <c r="AU576" s="61">
        <v>-3</v>
      </c>
      <c r="AV576" s="61">
        <v>31.785</v>
      </c>
      <c r="AW576" s="61">
        <v>1.335</v>
      </c>
      <c r="AX576" s="65">
        <v>0.17</v>
      </c>
      <c r="AY576" s="66">
        <v>3.3540000000000001</v>
      </c>
      <c r="AZ576" s="61">
        <v>22.806999999999999</v>
      </c>
      <c r="BA576" s="61">
        <v>37.284999999999997</v>
      </c>
      <c r="BB576" s="61">
        <v>63.445999999999998</v>
      </c>
      <c r="BC576" s="61">
        <v>0.125</v>
      </c>
      <c r="BD576" s="61">
        <v>2.0049999999999999</v>
      </c>
      <c r="BE576" s="61">
        <v>9.2449999999999992</v>
      </c>
      <c r="BF576" s="61">
        <v>0.106</v>
      </c>
      <c r="BG576" s="61">
        <v>6.9189999999999996</v>
      </c>
      <c r="BH576" s="61">
        <v>3.0960000000000001</v>
      </c>
      <c r="BI576" s="61">
        <v>2.1970000000000001</v>
      </c>
      <c r="BJ576" s="61">
        <v>12.212</v>
      </c>
      <c r="BK576" s="66">
        <v>23.693000000000001</v>
      </c>
      <c r="BL576" s="67">
        <v>84.296999999999997</v>
      </c>
      <c r="BM576" s="61">
        <v>20.65</v>
      </c>
      <c r="BN576" s="61">
        <v>6.306</v>
      </c>
      <c r="BO576" s="61">
        <v>0.17</v>
      </c>
      <c r="BP576" s="61">
        <v>111.423</v>
      </c>
      <c r="BQ576" s="61">
        <v>164.32300000000001</v>
      </c>
      <c r="BR576" s="61">
        <v>10.951000000000001</v>
      </c>
      <c r="BS576" s="61">
        <v>61.67</v>
      </c>
      <c r="BT576" s="61">
        <v>251.76</v>
      </c>
      <c r="BU576" s="61">
        <v>14.15</v>
      </c>
      <c r="BV576" s="61">
        <v>19.417999999999999</v>
      </c>
      <c r="BW576" s="61">
        <v>33.567999999999998</v>
      </c>
      <c r="BX576" s="67">
        <v>522.27200000000005</v>
      </c>
      <c r="BY576" s="68">
        <v>130329</v>
      </c>
      <c r="BZ576" s="68">
        <v>125131</v>
      </c>
      <c r="CA576" s="69">
        <v>8680</v>
      </c>
      <c r="CB576" s="68">
        <v>156235</v>
      </c>
      <c r="CC576" s="68">
        <v>32559</v>
      </c>
      <c r="CD576" s="68">
        <v>126271</v>
      </c>
      <c r="CE576" s="72">
        <v>4986.6600000000008</v>
      </c>
      <c r="CF576" s="72">
        <v>5468.4000000000005</v>
      </c>
      <c r="CG576" s="70">
        <f t="shared" si="43"/>
        <v>6561.87</v>
      </c>
      <c r="CH576" s="70">
        <f t="shared" si="44"/>
        <v>364.56</v>
      </c>
      <c r="CI576" s="70">
        <f t="shared" si="45"/>
        <v>1367.4780000000001</v>
      </c>
      <c r="CJ576" s="70">
        <f t="shared" si="46"/>
        <v>5473.8180000000002</v>
      </c>
      <c r="CK576" s="70">
        <f t="shared" si="46"/>
        <v>5255.5020000000004</v>
      </c>
      <c r="CL576" s="70">
        <f t="shared" si="48"/>
        <v>5303.3819999999996</v>
      </c>
      <c r="CM576" s="61"/>
      <c r="CN576" s="61"/>
      <c r="CO576" s="61"/>
      <c r="CP576" s="61"/>
      <c r="CQ576" s="61"/>
      <c r="CR576" s="61"/>
      <c r="CS576" s="61"/>
      <c r="CT576" s="61"/>
      <c r="CU576" s="61"/>
      <c r="CV576" s="61"/>
      <c r="CW576" s="61"/>
      <c r="CX576" s="61"/>
      <c r="CY576" s="61"/>
      <c r="CZ576" s="61"/>
      <c r="DA576" s="61"/>
      <c r="DB576" s="61"/>
      <c r="DC576" s="61"/>
      <c r="DD576" s="61"/>
      <c r="DE576" s="61"/>
      <c r="DF576" s="61"/>
      <c r="DG576" s="61"/>
      <c r="DH576" s="61"/>
      <c r="DI576" s="61"/>
      <c r="DJ576" s="61"/>
      <c r="DK576" s="61"/>
      <c r="DL576" s="61"/>
      <c r="DM576" s="61"/>
      <c r="DN576" s="61"/>
      <c r="DO576" s="61"/>
      <c r="DP576" s="61"/>
      <c r="DQ576" s="61"/>
      <c r="DR576" s="61"/>
      <c r="DS576" s="61"/>
      <c r="DT576" s="61"/>
      <c r="DU576" s="61"/>
      <c r="DV576" s="61"/>
      <c r="DW576" s="61"/>
      <c r="DX576" s="61"/>
      <c r="DY576" s="61"/>
      <c r="DZ576" s="61"/>
      <c r="EA576" s="61"/>
      <c r="EB576" s="61"/>
      <c r="EC576" s="61"/>
      <c r="ED576" s="61"/>
      <c r="EE576" s="61"/>
      <c r="EF576" s="61"/>
      <c r="EG576" s="61"/>
      <c r="EH576" s="61"/>
      <c r="EI576" s="61"/>
      <c r="EJ576" s="61"/>
      <c r="EK576" s="61"/>
      <c r="EL576" s="61"/>
      <c r="EM576" s="61"/>
      <c r="EN576" s="61"/>
      <c r="EO576" s="61"/>
      <c r="EP576" s="61"/>
      <c r="EQ576" s="61"/>
      <c r="ER576" s="61"/>
      <c r="ES576" s="61"/>
      <c r="ET576" s="61"/>
      <c r="EU576" s="61"/>
      <c r="EV576" s="61"/>
      <c r="EW576" s="61"/>
    </row>
    <row r="577" spans="1:153">
      <c r="A577" s="56">
        <v>44136</v>
      </c>
      <c r="B577" s="57">
        <v>2020</v>
      </c>
      <c r="C577" s="71">
        <v>19.670999999999999</v>
      </c>
      <c r="D577" s="61">
        <v>0.26800000000000002</v>
      </c>
      <c r="E577" s="61">
        <v>3620.6309999999999</v>
      </c>
      <c r="F577" s="61">
        <v>152.06700000000001</v>
      </c>
      <c r="G577" s="61">
        <v>19.402999999999999</v>
      </c>
      <c r="H577" s="61">
        <v>448</v>
      </c>
      <c r="I577" s="61">
        <v>72.778999999999996</v>
      </c>
      <c r="J577" s="61">
        <v>375.221</v>
      </c>
      <c r="K577" s="61">
        <v>3741.078</v>
      </c>
      <c r="L577" s="61">
        <v>322.98599999999999</v>
      </c>
      <c r="M577" s="61">
        <v>3672.866</v>
      </c>
      <c r="N577" s="61">
        <v>154.26</v>
      </c>
      <c r="O577" s="71">
        <v>19.683</v>
      </c>
      <c r="P577" s="60">
        <v>179.245</v>
      </c>
      <c r="Q577" s="61">
        <v>196.18700000000001</v>
      </c>
      <c r="R577" s="61">
        <v>411.16199999999998</v>
      </c>
      <c r="S577" s="61">
        <v>980.577</v>
      </c>
      <c r="T577" s="61">
        <v>183.166</v>
      </c>
      <c r="U577" s="61">
        <v>17.468</v>
      </c>
      <c r="V577" s="61">
        <v>78.334999999999994</v>
      </c>
      <c r="W577" s="61">
        <v>290.44499999999999</v>
      </c>
      <c r="X577" s="61">
        <v>170.35900000000001</v>
      </c>
      <c r="Y577" s="61">
        <v>35.729999999999997</v>
      </c>
      <c r="Z577" s="61">
        <v>186.803</v>
      </c>
      <c r="AA577" s="61">
        <v>392.892</v>
      </c>
      <c r="AB577" s="60">
        <v>962.30600000000004</v>
      </c>
      <c r="AC577" s="62">
        <v>1167.9559999999999</v>
      </c>
      <c r="AD577" s="61">
        <v>49.054000000000002</v>
      </c>
      <c r="AE577" s="61">
        <v>6.4169999999999998</v>
      </c>
      <c r="AF577" s="61">
        <v>645</v>
      </c>
      <c r="AG577" s="61">
        <v>1387</v>
      </c>
      <c r="AH577" s="61">
        <v>-39</v>
      </c>
      <c r="AI577" s="61">
        <v>1851.9559999999999</v>
      </c>
      <c r="AJ577" s="61">
        <v>77.781999999999996</v>
      </c>
      <c r="AK577" s="62">
        <v>10.175000000000001</v>
      </c>
      <c r="AL577" s="63">
        <f t="shared" si="47"/>
        <v>77.781999999999996</v>
      </c>
      <c r="AM577" s="64">
        <v>10.175000000000001</v>
      </c>
      <c r="AN577" s="65" t="s">
        <v>121</v>
      </c>
      <c r="AO577" s="61" t="s">
        <v>121</v>
      </c>
      <c r="AP577" s="61">
        <v>61.978999999999999</v>
      </c>
      <c r="AQ577" s="61">
        <v>2.6030000000000002</v>
      </c>
      <c r="AR577" s="61">
        <v>0.33200000000000002</v>
      </c>
      <c r="AS577" s="61" t="s">
        <v>122</v>
      </c>
      <c r="AT577" s="61">
        <v>27</v>
      </c>
      <c r="AU577" s="61">
        <v>-3</v>
      </c>
      <c r="AV577" s="61">
        <v>64.978999999999999</v>
      </c>
      <c r="AW577" s="61">
        <v>2.7290000000000001</v>
      </c>
      <c r="AX577" s="65">
        <v>0.34799999999999998</v>
      </c>
      <c r="AY577" s="66">
        <v>3.246</v>
      </c>
      <c r="AZ577" s="61">
        <v>18.748000000000001</v>
      </c>
      <c r="BA577" s="61">
        <v>36.082999999999998</v>
      </c>
      <c r="BB577" s="61">
        <v>58.076000000000001</v>
      </c>
      <c r="BC577" s="61">
        <v>0.13500000000000001</v>
      </c>
      <c r="BD577" s="61">
        <v>1.9730000000000001</v>
      </c>
      <c r="BE577" s="61">
        <v>7.3639999999999999</v>
      </c>
      <c r="BF577" s="61">
        <v>0.122</v>
      </c>
      <c r="BG577" s="61">
        <v>6.7370000000000001</v>
      </c>
      <c r="BH577" s="61">
        <v>3.0219999999999998</v>
      </c>
      <c r="BI577" s="61">
        <v>2.2559999999999998</v>
      </c>
      <c r="BJ577" s="61">
        <v>12.015000000000001</v>
      </c>
      <c r="BK577" s="66">
        <v>21.609000000000002</v>
      </c>
      <c r="BL577" s="67">
        <v>86.543999999999997</v>
      </c>
      <c r="BM577" s="61">
        <v>19.683</v>
      </c>
      <c r="BN577" s="61">
        <v>10.175000000000001</v>
      </c>
      <c r="BO577" s="61">
        <v>0.34799999999999998</v>
      </c>
      <c r="BP577" s="61">
        <v>116.75</v>
      </c>
      <c r="BQ577" s="61">
        <v>182.446</v>
      </c>
      <c r="BR577" s="61">
        <v>11.904999999999999</v>
      </c>
      <c r="BS577" s="61">
        <v>50.188000000000002</v>
      </c>
      <c r="BT577" s="61">
        <v>289.40300000000002</v>
      </c>
      <c r="BU577" s="61">
        <v>15.476000000000001</v>
      </c>
      <c r="BV577" s="61">
        <v>19.152999999999999</v>
      </c>
      <c r="BW577" s="61">
        <v>34.628999999999998</v>
      </c>
      <c r="BX577" s="67">
        <v>568.57100000000003</v>
      </c>
      <c r="BY577" s="68">
        <v>135660</v>
      </c>
      <c r="BZ577" s="68">
        <v>116384</v>
      </c>
      <c r="CA577" s="69">
        <v>9149</v>
      </c>
      <c r="CB577" s="68">
        <v>157205</v>
      </c>
      <c r="CC577" s="68">
        <v>29848</v>
      </c>
      <c r="CD577" s="68">
        <v>131258</v>
      </c>
      <c r="CE577" s="72">
        <v>4498.2</v>
      </c>
      <c r="CF577" s="72">
        <v>5695.1999999999989</v>
      </c>
      <c r="CG577" s="70">
        <f t="shared" si="43"/>
        <v>6602.61</v>
      </c>
      <c r="CH577" s="70">
        <f t="shared" si="44"/>
        <v>384.25799999999998</v>
      </c>
      <c r="CI577" s="70">
        <f t="shared" si="45"/>
        <v>1253.616</v>
      </c>
      <c r="CJ577" s="70">
        <f t="shared" si="46"/>
        <v>5697.72</v>
      </c>
      <c r="CK577" s="70">
        <f t="shared" si="46"/>
        <v>4888.1279999999997</v>
      </c>
      <c r="CL577" s="70">
        <f t="shared" si="48"/>
        <v>5512.8360000000002</v>
      </c>
      <c r="CM577" s="61"/>
      <c r="CN577" s="61"/>
      <c r="CO577" s="61"/>
      <c r="CP577" s="61"/>
      <c r="CQ577" s="61"/>
      <c r="CR577" s="61"/>
      <c r="CS577" s="61"/>
      <c r="CT577" s="61"/>
      <c r="CU577" s="61"/>
      <c r="CV577" s="61"/>
      <c r="CW577" s="61"/>
      <c r="CX577" s="61"/>
      <c r="CY577" s="61"/>
      <c r="CZ577" s="61"/>
      <c r="DA577" s="61"/>
      <c r="DB577" s="61"/>
      <c r="DC577" s="61"/>
      <c r="DD577" s="61"/>
      <c r="DE577" s="61"/>
      <c r="DF577" s="61"/>
      <c r="DG577" s="61"/>
      <c r="DH577" s="61"/>
      <c r="DI577" s="61"/>
      <c r="DJ577" s="61"/>
      <c r="DK577" s="61"/>
      <c r="DL577" s="61"/>
      <c r="DM577" s="61"/>
      <c r="DN577" s="61"/>
      <c r="DO577" s="61"/>
      <c r="DP577" s="61"/>
      <c r="DQ577" s="61"/>
      <c r="DR577" s="61"/>
      <c r="DS577" s="61"/>
      <c r="DT577" s="61"/>
      <c r="DU577" s="61"/>
      <c r="DV577" s="61"/>
      <c r="DW577" s="61"/>
      <c r="DX577" s="61"/>
      <c r="DY577" s="61"/>
      <c r="DZ577" s="61"/>
      <c r="EA577" s="61"/>
      <c r="EB577" s="61"/>
      <c r="EC577" s="61"/>
      <c r="ED577" s="61"/>
      <c r="EE577" s="61"/>
      <c r="EF577" s="61"/>
      <c r="EG577" s="61"/>
      <c r="EH577" s="61"/>
      <c r="EI577" s="61"/>
      <c r="EJ577" s="61"/>
      <c r="EK577" s="61"/>
      <c r="EL577" s="61"/>
      <c r="EM577" s="61"/>
      <c r="EN577" s="61"/>
      <c r="EO577" s="61"/>
      <c r="EP577" s="61"/>
      <c r="EQ577" s="61"/>
      <c r="ER577" s="61"/>
      <c r="ES577" s="61"/>
      <c r="ET577" s="61"/>
      <c r="EU577" s="61"/>
      <c r="EV577" s="61"/>
      <c r="EW577" s="61"/>
    </row>
    <row r="578" spans="1:153">
      <c r="A578" s="56">
        <v>44166</v>
      </c>
      <c r="B578" s="57">
        <v>2020</v>
      </c>
      <c r="C578" s="71">
        <v>20.434999999999999</v>
      </c>
      <c r="D578" s="61">
        <v>0.27800000000000002</v>
      </c>
      <c r="E578" s="61">
        <v>3761.2739999999999</v>
      </c>
      <c r="F578" s="61">
        <v>157.97399999999999</v>
      </c>
      <c r="G578" s="61">
        <v>20.157</v>
      </c>
      <c r="H578" s="61">
        <v>373</v>
      </c>
      <c r="I578" s="61">
        <v>64.39</v>
      </c>
      <c r="J578" s="61">
        <v>308.61</v>
      </c>
      <c r="K578" s="61">
        <v>3665.3850000000002</v>
      </c>
      <c r="L578" s="61">
        <v>-75.692999999999998</v>
      </c>
      <c r="M578" s="61">
        <v>4145.5770000000002</v>
      </c>
      <c r="N578" s="61">
        <v>174.114</v>
      </c>
      <c r="O578" s="71">
        <v>22.216000000000001</v>
      </c>
      <c r="P578" s="60">
        <v>190.05199999999999</v>
      </c>
      <c r="Q578" s="61">
        <v>199.20699999999999</v>
      </c>
      <c r="R578" s="61">
        <v>427.20299999999997</v>
      </c>
      <c r="S578" s="61">
        <v>984.44799999999998</v>
      </c>
      <c r="T578" s="61">
        <v>188.559</v>
      </c>
      <c r="U578" s="61">
        <v>17.677</v>
      </c>
      <c r="V578" s="61">
        <v>70.370999999999995</v>
      </c>
      <c r="W578" s="61">
        <v>280.637</v>
      </c>
      <c r="X578" s="61">
        <v>178.846</v>
      </c>
      <c r="Y578" s="61">
        <v>37.944000000000003</v>
      </c>
      <c r="Z578" s="61">
        <v>194.07900000000001</v>
      </c>
      <c r="AA578" s="61">
        <v>410.86900000000003</v>
      </c>
      <c r="AB578" s="60">
        <v>968.11300000000006</v>
      </c>
      <c r="AC578" s="62">
        <v>1376.3810000000001</v>
      </c>
      <c r="AD578" s="61">
        <v>57.808</v>
      </c>
      <c r="AE578" s="61">
        <v>7.5620000000000003</v>
      </c>
      <c r="AF578" s="61">
        <v>874</v>
      </c>
      <c r="AG578" s="61">
        <v>1287</v>
      </c>
      <c r="AH578" s="61">
        <v>-100</v>
      </c>
      <c r="AI578" s="61">
        <v>2350.3809999999999</v>
      </c>
      <c r="AJ578" s="61">
        <v>98.715999999999994</v>
      </c>
      <c r="AK578" s="62">
        <v>12.913</v>
      </c>
      <c r="AL578" s="63">
        <f t="shared" si="47"/>
        <v>98.715999999999994</v>
      </c>
      <c r="AM578" s="64">
        <v>12.913</v>
      </c>
      <c r="AN578" s="65" t="s">
        <v>121</v>
      </c>
      <c r="AO578" s="61" t="s">
        <v>121</v>
      </c>
      <c r="AP578" s="61">
        <v>61.683999999999997</v>
      </c>
      <c r="AQ578" s="61">
        <v>2.5910000000000002</v>
      </c>
      <c r="AR578" s="61">
        <v>0.33100000000000002</v>
      </c>
      <c r="AS578" s="61" t="s">
        <v>122</v>
      </c>
      <c r="AT578" s="61">
        <v>27</v>
      </c>
      <c r="AU578" s="61">
        <v>0</v>
      </c>
      <c r="AV578" s="61">
        <v>61.683999999999997</v>
      </c>
      <c r="AW578" s="61">
        <v>2.5910000000000002</v>
      </c>
      <c r="AX578" s="65">
        <v>0.33100000000000002</v>
      </c>
      <c r="AY578" s="66">
        <v>3.3540000000000001</v>
      </c>
      <c r="AZ578" s="61">
        <v>17.167999999999999</v>
      </c>
      <c r="BA578" s="61">
        <v>37.284999999999997</v>
      </c>
      <c r="BB578" s="61">
        <v>57.808</v>
      </c>
      <c r="BC578" s="61">
        <v>0.14099999999999999</v>
      </c>
      <c r="BD578" s="61">
        <v>2.0550000000000002</v>
      </c>
      <c r="BE578" s="61">
        <v>7.0330000000000004</v>
      </c>
      <c r="BF578" s="61">
        <v>0.105</v>
      </c>
      <c r="BG578" s="61">
        <v>7.0019999999999998</v>
      </c>
      <c r="BH578" s="61">
        <v>3.0609999999999999</v>
      </c>
      <c r="BI578" s="61">
        <v>2.2949999999999999</v>
      </c>
      <c r="BJ578" s="61">
        <v>12.359</v>
      </c>
      <c r="BK578" s="66">
        <v>21.693000000000001</v>
      </c>
      <c r="BL578" s="67">
        <v>88.057000000000002</v>
      </c>
      <c r="BM578" s="61">
        <v>22.216000000000001</v>
      </c>
      <c r="BN578" s="61">
        <v>12.913</v>
      </c>
      <c r="BO578" s="61">
        <v>0.33100000000000002</v>
      </c>
      <c r="BP578" s="61">
        <v>123.51600000000001</v>
      </c>
      <c r="BQ578" s="61">
        <v>187.69399999999999</v>
      </c>
      <c r="BR578" s="61">
        <v>11.912000000000001</v>
      </c>
      <c r="BS578" s="61">
        <v>44.344999999999999</v>
      </c>
      <c r="BT578" s="61">
        <v>279.48599999999999</v>
      </c>
      <c r="BU578" s="61">
        <v>16.733000000000001</v>
      </c>
      <c r="BV578" s="61">
        <v>20.693999999999999</v>
      </c>
      <c r="BW578" s="61">
        <v>37.427</v>
      </c>
      <c r="BX578" s="67">
        <v>560.86400000000003</v>
      </c>
      <c r="BY578" s="68">
        <v>143620</v>
      </c>
      <c r="BZ578" s="68">
        <v>120534</v>
      </c>
      <c r="CA578" s="69">
        <v>14371</v>
      </c>
      <c r="CB578" s="68">
        <v>161188</v>
      </c>
      <c r="CC578" s="68">
        <v>36241</v>
      </c>
      <c r="CD578" s="68">
        <v>138223</v>
      </c>
      <c r="CE578" s="72">
        <v>4439.82</v>
      </c>
      <c r="CF578" s="72">
        <v>6028.26</v>
      </c>
      <c r="CG578" s="70">
        <f t="shared" si="43"/>
        <v>6769.8959999999997</v>
      </c>
      <c r="CH578" s="70">
        <f t="shared" si="44"/>
        <v>603.58199999999999</v>
      </c>
      <c r="CI578" s="70">
        <f t="shared" si="45"/>
        <v>1522.1220000000001</v>
      </c>
      <c r="CJ578" s="70">
        <f t="shared" si="46"/>
        <v>6032.04</v>
      </c>
      <c r="CK578" s="70">
        <f t="shared" si="46"/>
        <v>5062.4279999999999</v>
      </c>
      <c r="CL578" s="70">
        <f t="shared" si="48"/>
        <v>5805.366</v>
      </c>
      <c r="CM578" s="61"/>
      <c r="CN578" s="61"/>
      <c r="CO578" s="61"/>
      <c r="CP578" s="61"/>
      <c r="CQ578" s="61"/>
      <c r="CR578" s="61"/>
      <c r="CS578" s="61"/>
      <c r="CT578" s="61"/>
      <c r="CU578" s="61"/>
      <c r="CV578" s="61"/>
      <c r="CW578" s="61"/>
      <c r="CX578" s="61"/>
      <c r="CY578" s="61"/>
      <c r="CZ578" s="61"/>
      <c r="DA578" s="61"/>
      <c r="DB578" s="61"/>
      <c r="DC578" s="61"/>
      <c r="DD578" s="61"/>
      <c r="DE578" s="61"/>
      <c r="DF578" s="61"/>
      <c r="DG578" s="61"/>
      <c r="DH578" s="61"/>
      <c r="DI578" s="61"/>
      <c r="DJ578" s="61"/>
      <c r="DK578" s="61"/>
      <c r="DL578" s="61"/>
      <c r="DM578" s="61"/>
      <c r="DN578" s="61"/>
      <c r="DO578" s="61"/>
      <c r="DP578" s="61"/>
      <c r="DQ578" s="61"/>
      <c r="DR578" s="61"/>
      <c r="DS578" s="61"/>
      <c r="DT578" s="61"/>
      <c r="DU578" s="61"/>
      <c r="DV578" s="61"/>
      <c r="DW578" s="61"/>
      <c r="DX578" s="61"/>
      <c r="DY578" s="61"/>
      <c r="DZ578" s="61"/>
      <c r="EA578" s="61"/>
      <c r="EB578" s="61"/>
      <c r="EC578" s="61"/>
      <c r="ED578" s="61"/>
      <c r="EE578" s="61"/>
      <c r="EF578" s="61"/>
      <c r="EG578" s="61"/>
      <c r="EH578" s="61"/>
      <c r="EI578" s="61"/>
      <c r="EJ578" s="61"/>
      <c r="EK578" s="61"/>
      <c r="EL578" s="61"/>
      <c r="EM578" s="61"/>
      <c r="EN578" s="61"/>
      <c r="EO578" s="61"/>
      <c r="EP578" s="61"/>
      <c r="EQ578" s="61"/>
      <c r="ER578" s="61"/>
      <c r="ES578" s="61"/>
      <c r="ET578" s="61"/>
      <c r="EU578" s="61"/>
      <c r="EV578" s="61"/>
      <c r="EW578" s="61"/>
    </row>
    <row r="579" spans="1:153">
      <c r="A579" s="56">
        <v>44197</v>
      </c>
      <c r="B579" s="57">
        <v>2021</v>
      </c>
      <c r="C579" s="71">
        <v>18.213000000000001</v>
      </c>
      <c r="D579" s="61">
        <v>0.248</v>
      </c>
      <c r="E579" s="61">
        <v>3352.2269999999999</v>
      </c>
      <c r="F579" s="61">
        <v>140.79400000000001</v>
      </c>
      <c r="G579" s="61">
        <v>17.965</v>
      </c>
      <c r="H579" s="61">
        <v>228</v>
      </c>
      <c r="I579" s="61">
        <v>166.09800000000001</v>
      </c>
      <c r="J579" s="61">
        <v>61.902000000000001</v>
      </c>
      <c r="K579" s="61">
        <v>4580.3220000000001</v>
      </c>
      <c r="L579" s="61">
        <v>914.93700000000001</v>
      </c>
      <c r="M579" s="61">
        <v>2499.192</v>
      </c>
      <c r="N579" s="61">
        <v>104.96599999999999</v>
      </c>
      <c r="O579" s="71">
        <v>13.393000000000001</v>
      </c>
      <c r="P579" s="60">
        <v>188.14400000000001</v>
      </c>
      <c r="Q579" s="61">
        <v>190.541</v>
      </c>
      <c r="R579" s="61">
        <v>417.05599999999998</v>
      </c>
      <c r="S579" s="61">
        <v>994.59299999999996</v>
      </c>
      <c r="T579" s="61">
        <v>217.209</v>
      </c>
      <c r="U579" s="61">
        <v>17.303999999999998</v>
      </c>
      <c r="V579" s="61">
        <v>77.168999999999997</v>
      </c>
      <c r="W579" s="61">
        <v>265.85500000000002</v>
      </c>
      <c r="X579" s="61">
        <v>179.601</v>
      </c>
      <c r="Y579" s="61">
        <v>38.371000000000002</v>
      </c>
      <c r="Z579" s="61">
        <v>168.745</v>
      </c>
      <c r="AA579" s="61">
        <v>386.71800000000002</v>
      </c>
      <c r="AB579" s="60">
        <v>964.25400000000002</v>
      </c>
      <c r="AC579" s="62">
        <v>1415.3589999999999</v>
      </c>
      <c r="AD579" s="61">
        <v>59.445</v>
      </c>
      <c r="AE579" s="61">
        <v>7.7759999999999998</v>
      </c>
      <c r="AF579" s="61">
        <v>771</v>
      </c>
      <c r="AG579" s="61">
        <v>1712.9749999999999</v>
      </c>
      <c r="AH579" s="61">
        <v>425.97500000000002</v>
      </c>
      <c r="AI579" s="61">
        <v>1760.384</v>
      </c>
      <c r="AJ579" s="61">
        <v>73.936000000000007</v>
      </c>
      <c r="AK579" s="62">
        <v>9.6720000000000006</v>
      </c>
      <c r="AL579" s="63">
        <f t="shared" si="47"/>
        <v>73.936000000000007</v>
      </c>
      <c r="AM579" s="64">
        <v>9.6720000000000006</v>
      </c>
      <c r="AN579" s="65" t="s">
        <v>121</v>
      </c>
      <c r="AO579" s="61" t="s">
        <v>121</v>
      </c>
      <c r="AP579" s="61">
        <v>178.93700000000001</v>
      </c>
      <c r="AQ579" s="61">
        <v>7.5149999999999997</v>
      </c>
      <c r="AR579" s="61">
        <v>0.95899999999999996</v>
      </c>
      <c r="AS579" s="61" t="s">
        <v>122</v>
      </c>
      <c r="AT579" s="61">
        <v>135.54599999999999</v>
      </c>
      <c r="AU579" s="61">
        <v>108.54600000000001</v>
      </c>
      <c r="AV579" s="61">
        <v>70.391000000000005</v>
      </c>
      <c r="AW579" s="61">
        <v>2.956</v>
      </c>
      <c r="AX579" s="65">
        <v>0.377</v>
      </c>
      <c r="AY579" s="66">
        <v>3.363</v>
      </c>
      <c r="AZ579" s="61">
        <v>18.448</v>
      </c>
      <c r="BA579" s="61">
        <v>37.281999999999996</v>
      </c>
      <c r="BB579" s="61">
        <v>59.093000000000004</v>
      </c>
      <c r="BC579" s="61">
        <v>0.219</v>
      </c>
      <c r="BD579" s="61">
        <v>2.0619999999999998</v>
      </c>
      <c r="BE579" s="61">
        <v>7.9139999999999997</v>
      </c>
      <c r="BF579" s="61">
        <v>0.122</v>
      </c>
      <c r="BG579" s="61">
        <v>6.9820000000000002</v>
      </c>
      <c r="BH579" s="61">
        <v>3.427</v>
      </c>
      <c r="BI579" s="61">
        <v>1.883</v>
      </c>
      <c r="BJ579" s="61">
        <v>12.291</v>
      </c>
      <c r="BK579" s="66">
        <v>22.609000000000002</v>
      </c>
      <c r="BL579" s="67">
        <v>78.468999999999994</v>
      </c>
      <c r="BM579" s="61">
        <v>13.393000000000001</v>
      </c>
      <c r="BN579" s="61">
        <v>9.6720000000000006</v>
      </c>
      <c r="BO579" s="61">
        <v>0.377</v>
      </c>
      <c r="BP579" s="61">
        <v>101.911</v>
      </c>
      <c r="BQ579" s="61">
        <v>216.226</v>
      </c>
      <c r="BR579" s="61">
        <v>11.522</v>
      </c>
      <c r="BS579" s="61">
        <v>48.845999999999997</v>
      </c>
      <c r="BT579" s="61">
        <v>265.65699999999998</v>
      </c>
      <c r="BU579" s="61">
        <v>17.876000000000001</v>
      </c>
      <c r="BV579" s="61">
        <v>20.393000000000001</v>
      </c>
      <c r="BW579" s="61">
        <v>38.268999999999998</v>
      </c>
      <c r="BX579" s="67">
        <v>580.52</v>
      </c>
      <c r="BY579" s="68">
        <v>141365</v>
      </c>
      <c r="BZ579" s="68">
        <v>122030</v>
      </c>
      <c r="CA579" s="69">
        <v>11486</v>
      </c>
      <c r="CB579" s="68">
        <v>164058</v>
      </c>
      <c r="CC579" s="68">
        <v>27949</v>
      </c>
      <c r="CD579" s="68">
        <v>134100</v>
      </c>
      <c r="CE579" s="72">
        <v>4465.8599999999997</v>
      </c>
      <c r="CF579" s="72">
        <v>5937.119999999999</v>
      </c>
      <c r="CG579" s="70">
        <f t="shared" ref="CG579:CG622" si="49">CB579*42/1000</f>
        <v>6890.4359999999997</v>
      </c>
      <c r="CH579" s="70">
        <f t="shared" ref="CH579:CH622" si="50">CA579*42/1000</f>
        <v>482.41199999999998</v>
      </c>
      <c r="CI579" s="70">
        <f t="shared" ref="CI579:CI622" si="51">CC579*42/1000</f>
        <v>1173.8579999999999</v>
      </c>
      <c r="CJ579" s="70">
        <f t="shared" si="46"/>
        <v>5937.33</v>
      </c>
      <c r="CK579" s="70">
        <f t="shared" si="46"/>
        <v>5125.26</v>
      </c>
      <c r="CL579" s="70">
        <f t="shared" si="48"/>
        <v>5632.2</v>
      </c>
      <c r="CM579" s="61"/>
      <c r="CN579" s="61"/>
      <c r="CO579" s="61"/>
      <c r="CP579" s="61"/>
      <c r="CQ579" s="61"/>
      <c r="CR579" s="61"/>
      <c r="CS579" s="61"/>
      <c r="CT579" s="61"/>
      <c r="CU579" s="61"/>
      <c r="CV579" s="61"/>
      <c r="CW579" s="61"/>
      <c r="CX579" s="61"/>
      <c r="CY579" s="61"/>
      <c r="CZ579" s="61"/>
      <c r="DA579" s="61"/>
      <c r="DB579" s="61"/>
      <c r="DC579" s="61"/>
      <c r="DD579" s="61"/>
      <c r="DE579" s="61"/>
      <c r="DF579" s="61"/>
      <c r="DG579" s="61"/>
      <c r="DH579" s="61"/>
      <c r="DI579" s="61"/>
      <c r="DJ579" s="61"/>
      <c r="DK579" s="61"/>
      <c r="DL579" s="61"/>
      <c r="DM579" s="61"/>
      <c r="DN579" s="61"/>
      <c r="DO579" s="61"/>
      <c r="DP579" s="61"/>
      <c r="DQ579" s="61"/>
      <c r="DR579" s="61"/>
      <c r="DS579" s="61"/>
      <c r="DT579" s="61"/>
      <c r="DU579" s="61"/>
      <c r="DV579" s="61"/>
      <c r="DW579" s="61"/>
      <c r="DX579" s="61"/>
      <c r="DY579" s="61"/>
      <c r="DZ579" s="61"/>
      <c r="EA579" s="61"/>
      <c r="EB579" s="61"/>
      <c r="EC579" s="61"/>
      <c r="ED579" s="61"/>
      <c r="EE579" s="61"/>
      <c r="EF579" s="61"/>
      <c r="EG579" s="61"/>
      <c r="EH579" s="61"/>
      <c r="EI579" s="61"/>
      <c r="EJ579" s="61"/>
      <c r="EK579" s="61"/>
      <c r="EL579" s="61"/>
      <c r="EM579" s="61"/>
      <c r="EN579" s="61"/>
      <c r="EO579" s="61"/>
      <c r="EP579" s="61"/>
      <c r="EQ579" s="61"/>
      <c r="ER579" s="61"/>
      <c r="ES579" s="61"/>
      <c r="ET579" s="61"/>
      <c r="EU579" s="61"/>
      <c r="EV579" s="61"/>
      <c r="EW579" s="61"/>
    </row>
    <row r="580" spans="1:153">
      <c r="A580" s="56">
        <v>44228</v>
      </c>
      <c r="B580" s="57">
        <v>2021</v>
      </c>
      <c r="C580" s="71">
        <v>14.006</v>
      </c>
      <c r="D580" s="61">
        <v>0.191</v>
      </c>
      <c r="E580" s="61">
        <v>2577.8609999999999</v>
      </c>
      <c r="F580" s="61">
        <v>108.27</v>
      </c>
      <c r="G580" s="61">
        <v>13.815</v>
      </c>
      <c r="H580" s="61">
        <v>263</v>
      </c>
      <c r="I580" s="61">
        <v>121.71899999999999</v>
      </c>
      <c r="J580" s="61">
        <v>141.28100000000001</v>
      </c>
      <c r="K580" s="61">
        <v>4189.3779999999997</v>
      </c>
      <c r="L580" s="61">
        <v>-390.94400000000002</v>
      </c>
      <c r="M580" s="61">
        <v>3110.0859999999998</v>
      </c>
      <c r="N580" s="61">
        <v>130.624</v>
      </c>
      <c r="O580" s="71">
        <v>16.667000000000002</v>
      </c>
      <c r="P580" s="60">
        <v>169.75</v>
      </c>
      <c r="Q580" s="61">
        <v>151.904</v>
      </c>
      <c r="R580" s="61">
        <v>355.51900000000001</v>
      </c>
      <c r="S580" s="61">
        <v>872.05100000000004</v>
      </c>
      <c r="T580" s="61">
        <v>178.08699999999999</v>
      </c>
      <c r="U580" s="61">
        <v>16.256</v>
      </c>
      <c r="V580" s="61">
        <v>85.917000000000002</v>
      </c>
      <c r="W580" s="61">
        <v>236.27199999999999</v>
      </c>
      <c r="X580" s="61">
        <v>160.86500000000001</v>
      </c>
      <c r="Y580" s="61">
        <v>33.863999999999997</v>
      </c>
      <c r="Z580" s="61">
        <v>154.42400000000001</v>
      </c>
      <c r="AA580" s="61">
        <v>349.154</v>
      </c>
      <c r="AB580" s="60">
        <v>865.68499999999995</v>
      </c>
      <c r="AC580" s="62">
        <v>1268.4780000000001</v>
      </c>
      <c r="AD580" s="61">
        <v>53.276000000000003</v>
      </c>
      <c r="AE580" s="61">
        <v>6.9690000000000003</v>
      </c>
      <c r="AF580" s="61">
        <v>741</v>
      </c>
      <c r="AG580" s="61">
        <v>1978.846</v>
      </c>
      <c r="AH580" s="61">
        <v>265.87099999999998</v>
      </c>
      <c r="AI580" s="61">
        <v>1743.607</v>
      </c>
      <c r="AJ580" s="61">
        <v>73.230999999999995</v>
      </c>
      <c r="AK580" s="62">
        <v>9.5790000000000006</v>
      </c>
      <c r="AL580" s="63">
        <f t="shared" si="47"/>
        <v>73.230999999999995</v>
      </c>
      <c r="AM580" s="64">
        <v>9.5790000000000006</v>
      </c>
      <c r="AN580" s="65" t="s">
        <v>121</v>
      </c>
      <c r="AO580" s="61" t="s">
        <v>121</v>
      </c>
      <c r="AP580" s="61">
        <v>171.90899999999999</v>
      </c>
      <c r="AQ580" s="61">
        <v>7.22</v>
      </c>
      <c r="AR580" s="61">
        <v>0.92100000000000004</v>
      </c>
      <c r="AS580" s="61" t="s">
        <v>122</v>
      </c>
      <c r="AT580" s="61">
        <v>151.155</v>
      </c>
      <c r="AU580" s="61">
        <v>15.609</v>
      </c>
      <c r="AV580" s="61">
        <v>156.30000000000001</v>
      </c>
      <c r="AW580" s="61">
        <v>6.5650000000000004</v>
      </c>
      <c r="AX580" s="65">
        <v>0.83799999999999997</v>
      </c>
      <c r="AY580" s="66">
        <v>3.0379999999999998</v>
      </c>
      <c r="AZ580" s="61">
        <v>19.629000000000001</v>
      </c>
      <c r="BA580" s="61">
        <v>33.673999999999999</v>
      </c>
      <c r="BB580" s="61">
        <v>56.341000000000001</v>
      </c>
      <c r="BC580" s="61">
        <v>0.192</v>
      </c>
      <c r="BD580" s="61">
        <v>1.86</v>
      </c>
      <c r="BE580" s="61">
        <v>8.5359999999999996</v>
      </c>
      <c r="BF580" s="61">
        <v>0.111</v>
      </c>
      <c r="BG580" s="61">
        <v>6.4509999999999996</v>
      </c>
      <c r="BH580" s="61">
        <v>2.895</v>
      </c>
      <c r="BI580" s="61">
        <v>1.77</v>
      </c>
      <c r="BJ580" s="61">
        <v>11.116</v>
      </c>
      <c r="BK580" s="66">
        <v>21.815000000000001</v>
      </c>
      <c r="BL580" s="67">
        <v>73.766000000000005</v>
      </c>
      <c r="BM580" s="61">
        <v>16.667000000000002</v>
      </c>
      <c r="BN580" s="61">
        <v>9.5790000000000006</v>
      </c>
      <c r="BO580" s="61">
        <v>0.83799999999999997</v>
      </c>
      <c r="BP580" s="61">
        <v>100.85</v>
      </c>
      <c r="BQ580" s="61">
        <v>177.34800000000001</v>
      </c>
      <c r="BR580" s="61">
        <v>11.036</v>
      </c>
      <c r="BS580" s="61">
        <v>55.658000000000001</v>
      </c>
      <c r="BT580" s="61">
        <v>236.07300000000001</v>
      </c>
      <c r="BU580" s="61">
        <v>16.997</v>
      </c>
      <c r="BV580" s="61">
        <v>18.2</v>
      </c>
      <c r="BW580" s="61">
        <v>35.197000000000003</v>
      </c>
      <c r="BX580" s="67">
        <v>515.31100000000004</v>
      </c>
      <c r="BY580" s="68">
        <v>105895</v>
      </c>
      <c r="BZ580" s="68">
        <v>111116</v>
      </c>
      <c r="CA580" s="69">
        <v>9872</v>
      </c>
      <c r="CB580" s="68">
        <v>144012</v>
      </c>
      <c r="CC580" s="68">
        <v>24695</v>
      </c>
      <c r="CD580" s="68">
        <v>99180</v>
      </c>
      <c r="CE580" s="72">
        <v>3951.36</v>
      </c>
      <c r="CF580" s="72">
        <v>4445.28</v>
      </c>
      <c r="CG580" s="70">
        <f t="shared" si="49"/>
        <v>6048.5039999999999</v>
      </c>
      <c r="CH580" s="70">
        <f t="shared" si="50"/>
        <v>414.62400000000002</v>
      </c>
      <c r="CI580" s="70">
        <f t="shared" si="51"/>
        <v>1037.19</v>
      </c>
      <c r="CJ580" s="70">
        <f t="shared" si="46"/>
        <v>4447.59</v>
      </c>
      <c r="CK580" s="70">
        <f t="shared" si="46"/>
        <v>4666.8720000000003</v>
      </c>
      <c r="CL580" s="70">
        <f t="shared" si="48"/>
        <v>4165.5600000000004</v>
      </c>
      <c r="CM580" s="61"/>
      <c r="CN580" s="61"/>
      <c r="CO580" s="61"/>
      <c r="CP580" s="61"/>
      <c r="CQ580" s="61"/>
      <c r="CR580" s="61"/>
      <c r="CS580" s="61"/>
      <c r="CT580" s="61"/>
      <c r="CU580" s="61"/>
      <c r="CV580" s="61"/>
      <c r="CW580" s="61"/>
      <c r="CX580" s="61"/>
      <c r="CY580" s="61"/>
      <c r="CZ580" s="61"/>
      <c r="DA580" s="61"/>
      <c r="DB580" s="61"/>
      <c r="DC580" s="61"/>
      <c r="DD580" s="61"/>
      <c r="DE580" s="61"/>
      <c r="DF580" s="61"/>
      <c r="DG580" s="61"/>
      <c r="DH580" s="61"/>
      <c r="DI580" s="61"/>
      <c r="DJ580" s="61"/>
      <c r="DK580" s="61"/>
      <c r="DL580" s="61"/>
      <c r="DM580" s="61"/>
      <c r="DN580" s="61"/>
      <c r="DO580" s="61"/>
      <c r="DP580" s="61"/>
      <c r="DQ580" s="61"/>
      <c r="DR580" s="61"/>
      <c r="DS580" s="61"/>
      <c r="DT580" s="61"/>
      <c r="DU580" s="61"/>
      <c r="DV580" s="61"/>
      <c r="DW580" s="61"/>
      <c r="DX580" s="61"/>
      <c r="DY580" s="61"/>
      <c r="DZ580" s="61"/>
      <c r="EA580" s="61"/>
      <c r="EB580" s="61"/>
      <c r="EC580" s="61"/>
      <c r="ED580" s="61"/>
      <c r="EE580" s="61"/>
      <c r="EF580" s="61"/>
      <c r="EG580" s="61"/>
      <c r="EH580" s="61"/>
      <c r="EI580" s="61"/>
      <c r="EJ580" s="61"/>
      <c r="EK580" s="61"/>
      <c r="EL580" s="61"/>
      <c r="EM580" s="61"/>
      <c r="EN580" s="61"/>
      <c r="EO580" s="61"/>
      <c r="EP580" s="61"/>
      <c r="EQ580" s="61"/>
      <c r="ER580" s="61"/>
      <c r="ES580" s="61"/>
      <c r="ET580" s="61"/>
      <c r="EU580" s="61"/>
      <c r="EV580" s="61"/>
      <c r="EW580" s="61"/>
    </row>
    <row r="581" spans="1:153">
      <c r="A581" s="56">
        <v>44256</v>
      </c>
      <c r="B581" s="57">
        <v>2021</v>
      </c>
      <c r="C581" s="71">
        <v>19.477</v>
      </c>
      <c r="D581" s="61">
        <v>0.26500000000000001</v>
      </c>
      <c r="E581" s="61">
        <v>3585.0309999999999</v>
      </c>
      <c r="F581" s="61">
        <v>150.571</v>
      </c>
      <c r="G581" s="61">
        <v>19.212</v>
      </c>
      <c r="H581" s="61">
        <v>361</v>
      </c>
      <c r="I581" s="61">
        <v>266.779</v>
      </c>
      <c r="J581" s="61">
        <v>94.221000000000004</v>
      </c>
      <c r="K581" s="61">
        <v>4283.78</v>
      </c>
      <c r="L581" s="61">
        <v>94.402000000000001</v>
      </c>
      <c r="M581" s="61">
        <v>3584.85</v>
      </c>
      <c r="N581" s="61">
        <v>150.56399999999999</v>
      </c>
      <c r="O581" s="71">
        <v>19.210999999999999</v>
      </c>
      <c r="P581" s="60">
        <v>186.67099999999999</v>
      </c>
      <c r="Q581" s="61">
        <v>194.31</v>
      </c>
      <c r="R581" s="61">
        <v>418.83600000000001</v>
      </c>
      <c r="S581" s="61">
        <v>1094.1780000000001</v>
      </c>
      <c r="T581" s="61">
        <v>187.67400000000001</v>
      </c>
      <c r="U581" s="61">
        <v>16.376000000000001</v>
      </c>
      <c r="V581" s="61">
        <v>124.56100000000001</v>
      </c>
      <c r="W581" s="61">
        <v>346.73099999999999</v>
      </c>
      <c r="X581" s="61">
        <v>175.51</v>
      </c>
      <c r="Y581" s="61">
        <v>37.854999999999997</v>
      </c>
      <c r="Z581" s="61">
        <v>193.94</v>
      </c>
      <c r="AA581" s="61">
        <v>407.30500000000001</v>
      </c>
      <c r="AB581" s="60">
        <v>1082.6469999999999</v>
      </c>
      <c r="AC581" s="62">
        <v>1356.3679999999999</v>
      </c>
      <c r="AD581" s="61">
        <v>56.966999999999999</v>
      </c>
      <c r="AE581" s="61">
        <v>7.452</v>
      </c>
      <c r="AF581" s="61">
        <v>893</v>
      </c>
      <c r="AG581" s="61">
        <v>1967.45</v>
      </c>
      <c r="AH581" s="61">
        <v>-11.396000000000001</v>
      </c>
      <c r="AI581" s="61">
        <v>2260.7640000000001</v>
      </c>
      <c r="AJ581" s="61">
        <v>94.951999999999998</v>
      </c>
      <c r="AK581" s="62">
        <v>12.420999999999999</v>
      </c>
      <c r="AL581" s="63">
        <f t="shared" si="47"/>
        <v>94.951999999999998</v>
      </c>
      <c r="AM581" s="64">
        <v>12.420999999999999</v>
      </c>
      <c r="AN581" s="65" t="s">
        <v>121</v>
      </c>
      <c r="AO581" s="61" t="s">
        <v>121</v>
      </c>
      <c r="AP581" s="61">
        <v>164.79900000000001</v>
      </c>
      <c r="AQ581" s="61">
        <v>6.9219999999999997</v>
      </c>
      <c r="AR581" s="61">
        <v>0.88300000000000001</v>
      </c>
      <c r="AS581" s="61" t="s">
        <v>122</v>
      </c>
      <c r="AT581" s="61">
        <v>130.738</v>
      </c>
      <c r="AU581" s="61">
        <v>-20.417999999999999</v>
      </c>
      <c r="AV581" s="61">
        <v>185.21700000000001</v>
      </c>
      <c r="AW581" s="61">
        <v>7.7789999999999999</v>
      </c>
      <c r="AX581" s="65">
        <v>0.99299999999999999</v>
      </c>
      <c r="AY581" s="66">
        <v>3.363</v>
      </c>
      <c r="AZ581" s="61">
        <v>28.113</v>
      </c>
      <c r="BA581" s="61">
        <v>37.281999999999996</v>
      </c>
      <c r="BB581" s="61">
        <v>68.757999999999996</v>
      </c>
      <c r="BC581" s="61">
        <v>0.2</v>
      </c>
      <c r="BD581" s="61">
        <v>1.825</v>
      </c>
      <c r="BE581" s="61">
        <v>11.782</v>
      </c>
      <c r="BF581" s="61">
        <v>0.17</v>
      </c>
      <c r="BG581" s="61">
        <v>6.97</v>
      </c>
      <c r="BH581" s="61">
        <v>3.319</v>
      </c>
      <c r="BI581" s="61">
        <v>2.226</v>
      </c>
      <c r="BJ581" s="61">
        <v>12.513999999999999</v>
      </c>
      <c r="BK581" s="66">
        <v>26.491</v>
      </c>
      <c r="BL581" s="67">
        <v>92.754000000000005</v>
      </c>
      <c r="BM581" s="61">
        <v>19.210999999999999</v>
      </c>
      <c r="BN581" s="61">
        <v>12.420999999999999</v>
      </c>
      <c r="BO581" s="61">
        <v>0.99299999999999999</v>
      </c>
      <c r="BP581" s="61">
        <v>125.378</v>
      </c>
      <c r="BQ581" s="61">
        <v>186.56299999999999</v>
      </c>
      <c r="BR581" s="61">
        <v>10.831</v>
      </c>
      <c r="BS581" s="61">
        <v>81.656000000000006</v>
      </c>
      <c r="BT581" s="61">
        <v>346.447</v>
      </c>
      <c r="BU581" s="61">
        <v>16.420999999999999</v>
      </c>
      <c r="BV581" s="61">
        <v>20.288</v>
      </c>
      <c r="BW581" s="61">
        <v>36.71</v>
      </c>
      <c r="BX581" s="67">
        <v>662.20600000000002</v>
      </c>
      <c r="BY581" s="68">
        <v>140097</v>
      </c>
      <c r="BZ581" s="68">
        <v>126392</v>
      </c>
      <c r="CA581" s="69">
        <v>14583</v>
      </c>
      <c r="CB581" s="68">
        <v>146079</v>
      </c>
      <c r="CC581" s="68">
        <v>26224</v>
      </c>
      <c r="CD581" s="68">
        <v>133168</v>
      </c>
      <c r="CE581" s="72">
        <v>4817.4000000000005</v>
      </c>
      <c r="CF581" s="72">
        <v>5885.0399999999991</v>
      </c>
      <c r="CG581" s="70">
        <f t="shared" si="49"/>
        <v>6135.3180000000002</v>
      </c>
      <c r="CH581" s="70">
        <f t="shared" si="50"/>
        <v>612.48599999999999</v>
      </c>
      <c r="CI581" s="70">
        <f t="shared" si="51"/>
        <v>1101.4079999999999</v>
      </c>
      <c r="CJ581" s="70">
        <f t="shared" si="46"/>
        <v>5884.0739999999996</v>
      </c>
      <c r="CK581" s="70">
        <f t="shared" si="46"/>
        <v>5308.4639999999999</v>
      </c>
      <c r="CL581" s="70">
        <f t="shared" si="48"/>
        <v>5593.0559999999996</v>
      </c>
      <c r="CM581" s="61"/>
      <c r="CN581" s="61"/>
      <c r="CO581" s="61"/>
      <c r="CP581" s="61"/>
      <c r="CQ581" s="61"/>
      <c r="CR581" s="61"/>
      <c r="CS581" s="61"/>
      <c r="CT581" s="61"/>
      <c r="CU581" s="61"/>
      <c r="CV581" s="61"/>
      <c r="CW581" s="61"/>
      <c r="CX581" s="61"/>
      <c r="CY581" s="61"/>
      <c r="CZ581" s="61"/>
      <c r="DA581" s="61"/>
      <c r="DB581" s="61"/>
      <c r="DC581" s="61"/>
      <c r="DD581" s="61"/>
      <c r="DE581" s="61"/>
      <c r="DF581" s="61"/>
      <c r="DG581" s="61"/>
      <c r="DH581" s="61"/>
      <c r="DI581" s="61"/>
      <c r="DJ581" s="61"/>
      <c r="DK581" s="61"/>
      <c r="DL581" s="61"/>
      <c r="DM581" s="61"/>
      <c r="DN581" s="61"/>
      <c r="DO581" s="61"/>
      <c r="DP581" s="61"/>
      <c r="DQ581" s="61"/>
      <c r="DR581" s="61"/>
      <c r="DS581" s="61"/>
      <c r="DT581" s="61"/>
      <c r="DU581" s="61"/>
      <c r="DV581" s="61"/>
      <c r="DW581" s="61"/>
      <c r="DX581" s="61"/>
      <c r="DY581" s="61"/>
      <c r="DZ581" s="61"/>
      <c r="EA581" s="61"/>
      <c r="EB581" s="61"/>
      <c r="EC581" s="61"/>
      <c r="ED581" s="61"/>
      <c r="EE581" s="61"/>
      <c r="EF581" s="61"/>
      <c r="EG581" s="61"/>
      <c r="EH581" s="61"/>
      <c r="EI581" s="61"/>
      <c r="EJ581" s="61"/>
      <c r="EK581" s="61"/>
      <c r="EL581" s="61"/>
      <c r="EM581" s="61"/>
      <c r="EN581" s="61"/>
      <c r="EO581" s="61"/>
      <c r="EP581" s="61"/>
      <c r="EQ581" s="61"/>
      <c r="ER581" s="61"/>
      <c r="ES581" s="61"/>
      <c r="ET581" s="61"/>
      <c r="EU581" s="61"/>
      <c r="EV581" s="61"/>
      <c r="EW581" s="61"/>
    </row>
    <row r="582" spans="1:153">
      <c r="A582" s="56">
        <v>44287</v>
      </c>
      <c r="B582" s="57">
        <v>2021</v>
      </c>
      <c r="C582" s="71">
        <v>18.632000000000001</v>
      </c>
      <c r="D582" s="61">
        <v>0.254</v>
      </c>
      <c r="E582" s="61">
        <v>3429.5039999999999</v>
      </c>
      <c r="F582" s="61">
        <v>144.03899999999999</v>
      </c>
      <c r="G582" s="61">
        <v>18.379000000000001</v>
      </c>
      <c r="H582" s="61">
        <v>500</v>
      </c>
      <c r="I582" s="61">
        <v>493.94900000000001</v>
      </c>
      <c r="J582" s="61">
        <v>6.0510000000000002</v>
      </c>
      <c r="K582" s="61">
        <v>4183.1660000000002</v>
      </c>
      <c r="L582" s="61">
        <v>-100.614</v>
      </c>
      <c r="M582" s="61">
        <v>3536.1689999999999</v>
      </c>
      <c r="N582" s="61">
        <v>148.51900000000001</v>
      </c>
      <c r="O582" s="71">
        <v>18.95</v>
      </c>
      <c r="P582" s="60">
        <v>178.73599999999999</v>
      </c>
      <c r="Q582" s="61">
        <v>186.571</v>
      </c>
      <c r="R582" s="61">
        <v>400.822</v>
      </c>
      <c r="S582" s="61">
        <v>1051.96</v>
      </c>
      <c r="T582" s="61">
        <v>171.47499999999999</v>
      </c>
      <c r="U582" s="61">
        <v>16.608000000000001</v>
      </c>
      <c r="V582" s="61">
        <v>143.27500000000001</v>
      </c>
      <c r="W582" s="61">
        <v>319.77999999999997</v>
      </c>
      <c r="X582" s="61">
        <v>169.51300000000001</v>
      </c>
      <c r="Y582" s="61">
        <v>35.515000000000001</v>
      </c>
      <c r="Z582" s="61">
        <v>186.13200000000001</v>
      </c>
      <c r="AA582" s="61">
        <v>391.16</v>
      </c>
      <c r="AB582" s="60">
        <v>1042.298</v>
      </c>
      <c r="AC582" s="62">
        <v>1264.317</v>
      </c>
      <c r="AD582" s="61">
        <v>53.100999999999999</v>
      </c>
      <c r="AE582" s="61">
        <v>6.9459999999999997</v>
      </c>
      <c r="AF582" s="61">
        <v>1013</v>
      </c>
      <c r="AG582" s="61">
        <v>1921.5050000000001</v>
      </c>
      <c r="AH582" s="61">
        <v>-45.945</v>
      </c>
      <c r="AI582" s="61">
        <v>2323.2620000000002</v>
      </c>
      <c r="AJ582" s="61">
        <v>97.576999999999998</v>
      </c>
      <c r="AK582" s="62">
        <v>12.763999999999999</v>
      </c>
      <c r="AL582" s="63">
        <f t="shared" si="47"/>
        <v>97.576999999999998</v>
      </c>
      <c r="AM582" s="64">
        <v>12.763999999999999</v>
      </c>
      <c r="AN582" s="65" t="s">
        <v>121</v>
      </c>
      <c r="AO582" s="61" t="s">
        <v>121</v>
      </c>
      <c r="AP582" s="61">
        <v>139.91900000000001</v>
      </c>
      <c r="AQ582" s="61">
        <v>5.8769999999999998</v>
      </c>
      <c r="AR582" s="61">
        <v>0.75</v>
      </c>
      <c r="AS582" s="61" t="s">
        <v>122</v>
      </c>
      <c r="AT582" s="61">
        <v>101.271</v>
      </c>
      <c r="AU582" s="61">
        <v>-29.466999999999999</v>
      </c>
      <c r="AV582" s="61">
        <v>169.386</v>
      </c>
      <c r="AW582" s="61">
        <v>7.1139999999999999</v>
      </c>
      <c r="AX582" s="65">
        <v>0.90800000000000003</v>
      </c>
      <c r="AY582" s="66">
        <v>3.2549999999999999</v>
      </c>
      <c r="AZ582" s="61">
        <v>31.266999999999999</v>
      </c>
      <c r="BA582" s="61">
        <v>36.08</v>
      </c>
      <c r="BB582" s="61">
        <v>70.600999999999999</v>
      </c>
      <c r="BC582" s="61">
        <v>0.19</v>
      </c>
      <c r="BD582" s="61">
        <v>1.9490000000000001</v>
      </c>
      <c r="BE582" s="61">
        <v>13.067</v>
      </c>
      <c r="BF582" s="61">
        <v>0.14399999999999999</v>
      </c>
      <c r="BG582" s="61">
        <v>6.6820000000000004</v>
      </c>
      <c r="BH582" s="61">
        <v>3.2240000000000002</v>
      </c>
      <c r="BI582" s="61">
        <v>2.1019999999999999</v>
      </c>
      <c r="BJ582" s="61">
        <v>12.007999999999999</v>
      </c>
      <c r="BK582" s="66">
        <v>27.358000000000001</v>
      </c>
      <c r="BL582" s="67">
        <v>87.593999999999994</v>
      </c>
      <c r="BM582" s="61">
        <v>18.95</v>
      </c>
      <c r="BN582" s="61">
        <v>12.763999999999999</v>
      </c>
      <c r="BO582" s="61">
        <v>0.90800000000000003</v>
      </c>
      <c r="BP582" s="61">
        <v>120.21599999999999</v>
      </c>
      <c r="BQ582" s="61">
        <v>170.49700000000001</v>
      </c>
      <c r="BR582" s="61">
        <v>11.058999999999999</v>
      </c>
      <c r="BS582" s="61">
        <v>95.673000000000002</v>
      </c>
      <c r="BT582" s="61">
        <v>319.54399999999998</v>
      </c>
      <c r="BU582" s="61">
        <v>13.494999999999999</v>
      </c>
      <c r="BV582" s="61">
        <v>18.849</v>
      </c>
      <c r="BW582" s="61">
        <v>32.343000000000004</v>
      </c>
      <c r="BX582" s="67">
        <v>629.11599999999999</v>
      </c>
      <c r="BY582" s="68">
        <v>137878</v>
      </c>
      <c r="BZ582" s="68">
        <v>121451</v>
      </c>
      <c r="CA582" s="69">
        <v>5935</v>
      </c>
      <c r="CB582" s="68">
        <v>137218</v>
      </c>
      <c r="CC582" s="68">
        <v>31226</v>
      </c>
      <c r="CD582" s="68">
        <v>129225</v>
      </c>
      <c r="CE582" s="72">
        <v>4838.3999999999996</v>
      </c>
      <c r="CF582" s="72">
        <v>5796</v>
      </c>
      <c r="CG582" s="70">
        <f t="shared" si="49"/>
        <v>5763.1559999999999</v>
      </c>
      <c r="CH582" s="70">
        <f t="shared" si="50"/>
        <v>249.27</v>
      </c>
      <c r="CI582" s="70">
        <f t="shared" si="51"/>
        <v>1311.492</v>
      </c>
      <c r="CJ582" s="70">
        <f t="shared" si="46"/>
        <v>5790.8760000000002</v>
      </c>
      <c r="CK582" s="70">
        <f t="shared" si="46"/>
        <v>5100.942</v>
      </c>
      <c r="CL582" s="70">
        <f t="shared" si="48"/>
        <v>5427.45</v>
      </c>
      <c r="CM582" s="61"/>
      <c r="CN582" s="61"/>
      <c r="CO582" s="61"/>
      <c r="CP582" s="61"/>
      <c r="CQ582" s="61"/>
      <c r="CR582" s="61"/>
      <c r="CS582" s="61"/>
      <c r="CT582" s="61"/>
      <c r="CU582" s="61"/>
      <c r="CV582" s="61"/>
      <c r="CW582" s="61"/>
      <c r="CX582" s="61"/>
      <c r="CY582" s="61"/>
      <c r="CZ582" s="61"/>
      <c r="DA582" s="61"/>
      <c r="DB582" s="61"/>
      <c r="DC582" s="61"/>
      <c r="DD582" s="61"/>
      <c r="DE582" s="61"/>
      <c r="DF582" s="61"/>
      <c r="DG582" s="61"/>
      <c r="DH582" s="61"/>
      <c r="DI582" s="61"/>
      <c r="DJ582" s="61"/>
      <c r="DK582" s="61"/>
      <c r="DL582" s="61"/>
      <c r="DM582" s="61"/>
      <c r="DN582" s="61"/>
      <c r="DO582" s="61"/>
      <c r="DP582" s="61"/>
      <c r="DQ582" s="61"/>
      <c r="DR582" s="61"/>
      <c r="DS582" s="61"/>
      <c r="DT582" s="61"/>
      <c r="DU582" s="61"/>
      <c r="DV582" s="61"/>
      <c r="DW582" s="61"/>
      <c r="DX582" s="61"/>
      <c r="DY582" s="61"/>
      <c r="DZ582" s="61"/>
      <c r="EA582" s="61"/>
      <c r="EB582" s="61"/>
      <c r="EC582" s="61"/>
      <c r="ED582" s="61"/>
      <c r="EE582" s="61"/>
      <c r="EF582" s="61"/>
      <c r="EG582" s="61"/>
      <c r="EH582" s="61"/>
      <c r="EI582" s="61"/>
      <c r="EJ582" s="61"/>
      <c r="EK582" s="61"/>
      <c r="EL582" s="61"/>
      <c r="EM582" s="61"/>
      <c r="EN582" s="61"/>
      <c r="EO582" s="61"/>
      <c r="EP582" s="61"/>
      <c r="EQ582" s="61"/>
      <c r="ER582" s="61"/>
      <c r="ES582" s="61"/>
      <c r="ET582" s="61"/>
      <c r="EU582" s="61"/>
      <c r="EV582" s="61"/>
      <c r="EW582" s="61"/>
    </row>
    <row r="583" spans="1:153">
      <c r="A583" s="56">
        <v>44317</v>
      </c>
      <c r="B583" s="57">
        <v>2021</v>
      </c>
      <c r="C583" s="71">
        <v>19.216000000000001</v>
      </c>
      <c r="D583" s="61">
        <v>0.26200000000000001</v>
      </c>
      <c r="E583" s="61">
        <v>3536.819</v>
      </c>
      <c r="F583" s="61">
        <v>148.54599999999999</v>
      </c>
      <c r="G583" s="61">
        <v>18.954000000000001</v>
      </c>
      <c r="H583" s="61">
        <v>316</v>
      </c>
      <c r="I583" s="61">
        <v>563.89599999999996</v>
      </c>
      <c r="J583" s="61">
        <v>-247.89599999999999</v>
      </c>
      <c r="K583" s="61">
        <v>3804.5039999999999</v>
      </c>
      <c r="L583" s="61">
        <v>-378.66199999999998</v>
      </c>
      <c r="M583" s="61">
        <v>3667.585</v>
      </c>
      <c r="N583" s="61">
        <v>154.03899999999999</v>
      </c>
      <c r="O583" s="71">
        <v>19.655000000000001</v>
      </c>
      <c r="P583" s="60">
        <v>184.03200000000001</v>
      </c>
      <c r="Q583" s="61">
        <v>205.83099999999999</v>
      </c>
      <c r="R583" s="61">
        <v>426.26499999999999</v>
      </c>
      <c r="S583" s="61">
        <v>1110.1400000000001</v>
      </c>
      <c r="T583" s="61">
        <v>206.14400000000001</v>
      </c>
      <c r="U583" s="61">
        <v>17.196000000000002</v>
      </c>
      <c r="V583" s="61">
        <v>161.727</v>
      </c>
      <c r="W583" s="61">
        <v>298.80799999999999</v>
      </c>
      <c r="X583" s="61">
        <v>175.559</v>
      </c>
      <c r="Y583" s="61">
        <v>36.402999999999999</v>
      </c>
      <c r="Z583" s="61">
        <v>206.59100000000001</v>
      </c>
      <c r="AA583" s="61">
        <v>418.55200000000002</v>
      </c>
      <c r="AB583" s="60">
        <v>1102.4269999999999</v>
      </c>
      <c r="AC583" s="62">
        <v>1573.578</v>
      </c>
      <c r="AD583" s="61">
        <v>66.09</v>
      </c>
      <c r="AE583" s="61">
        <v>8.6449999999999996</v>
      </c>
      <c r="AF583" s="61">
        <v>870</v>
      </c>
      <c r="AG583" s="61">
        <v>1759.6120000000001</v>
      </c>
      <c r="AH583" s="61">
        <v>-161.893</v>
      </c>
      <c r="AI583" s="61">
        <v>2605.471</v>
      </c>
      <c r="AJ583" s="61">
        <v>109.43</v>
      </c>
      <c r="AK583" s="62">
        <v>14.314</v>
      </c>
      <c r="AL583" s="63">
        <f t="shared" si="47"/>
        <v>109.43</v>
      </c>
      <c r="AM583" s="64">
        <v>14.314</v>
      </c>
      <c r="AN583" s="65" t="s">
        <v>121</v>
      </c>
      <c r="AO583" s="61" t="s">
        <v>121</v>
      </c>
      <c r="AP583" s="61">
        <v>126.505</v>
      </c>
      <c r="AQ583" s="61">
        <v>5.3129999999999997</v>
      </c>
      <c r="AR583" s="61">
        <v>0.67800000000000005</v>
      </c>
      <c r="AS583" s="61" t="s">
        <v>122</v>
      </c>
      <c r="AT583" s="61">
        <v>119.003</v>
      </c>
      <c r="AU583" s="61">
        <v>17.731999999999999</v>
      </c>
      <c r="AV583" s="61">
        <v>108.773</v>
      </c>
      <c r="AW583" s="61">
        <v>4.5679999999999996</v>
      </c>
      <c r="AX583" s="65">
        <v>0.58299999999999996</v>
      </c>
      <c r="AY583" s="66">
        <v>3.363</v>
      </c>
      <c r="AZ583" s="61">
        <v>34.506</v>
      </c>
      <c r="BA583" s="61">
        <v>37.281999999999996</v>
      </c>
      <c r="BB583" s="61">
        <v>75.150999999999996</v>
      </c>
      <c r="BC583" s="61">
        <v>0.20399999999999999</v>
      </c>
      <c r="BD583" s="61">
        <v>2.1240000000000001</v>
      </c>
      <c r="BE583" s="61">
        <v>14.151999999999999</v>
      </c>
      <c r="BF583" s="61">
        <v>0.123</v>
      </c>
      <c r="BG583" s="61">
        <v>6.8570000000000002</v>
      </c>
      <c r="BH583" s="61">
        <v>3.149</v>
      </c>
      <c r="BI583" s="61">
        <v>2.3759999999999999</v>
      </c>
      <c r="BJ583" s="61">
        <v>12.382</v>
      </c>
      <c r="BK583" s="66">
        <v>28.986000000000001</v>
      </c>
      <c r="BL583" s="67">
        <v>99.040999999999997</v>
      </c>
      <c r="BM583" s="61">
        <v>19.655000000000001</v>
      </c>
      <c r="BN583" s="61">
        <v>14.314</v>
      </c>
      <c r="BO583" s="61">
        <v>0.58299999999999996</v>
      </c>
      <c r="BP583" s="61">
        <v>133.59299999999999</v>
      </c>
      <c r="BQ583" s="61">
        <v>205.19399999999999</v>
      </c>
      <c r="BR583" s="61">
        <v>11.351000000000001</v>
      </c>
      <c r="BS583" s="61">
        <v>109.46299999999999</v>
      </c>
      <c r="BT583" s="61">
        <v>298.61099999999999</v>
      </c>
      <c r="BU583" s="61">
        <v>14.807</v>
      </c>
      <c r="BV583" s="61">
        <v>19.533000000000001</v>
      </c>
      <c r="BW583" s="61">
        <v>34.340000000000003</v>
      </c>
      <c r="BX583" s="67">
        <v>658.95899999999995</v>
      </c>
      <c r="BY583" s="68">
        <v>147095</v>
      </c>
      <c r="BZ583" s="68">
        <v>120905</v>
      </c>
      <c r="CA583" s="69">
        <v>8438</v>
      </c>
      <c r="CB583" s="68">
        <v>139600</v>
      </c>
      <c r="CC583" s="68">
        <v>32252</v>
      </c>
      <c r="CD583" s="68">
        <v>138221</v>
      </c>
      <c r="CE583" s="72">
        <v>4895.5199999999995</v>
      </c>
      <c r="CF583" s="72">
        <v>6184.5</v>
      </c>
      <c r="CG583" s="70">
        <f t="shared" si="49"/>
        <v>5863.2</v>
      </c>
      <c r="CH583" s="70">
        <f t="shared" si="50"/>
        <v>354.39600000000002</v>
      </c>
      <c r="CI583" s="70">
        <f t="shared" si="51"/>
        <v>1354.5840000000001</v>
      </c>
      <c r="CJ583" s="70">
        <f t="shared" ref="CJ583:CK622" si="52">BY583*42/1000</f>
        <v>6177.99</v>
      </c>
      <c r="CK583" s="70">
        <f t="shared" si="52"/>
        <v>5078.01</v>
      </c>
      <c r="CL583" s="70">
        <f t="shared" si="48"/>
        <v>5805.2820000000002</v>
      </c>
      <c r="CM583" s="61"/>
      <c r="CN583" s="61"/>
      <c r="CO583" s="61"/>
      <c r="CP583" s="61"/>
      <c r="CQ583" s="61"/>
      <c r="CR583" s="61"/>
      <c r="CS583" s="61"/>
      <c r="CT583" s="61"/>
      <c r="CU583" s="61"/>
      <c r="CV583" s="61"/>
      <c r="CW583" s="61"/>
      <c r="CX583" s="61"/>
      <c r="CY583" s="61"/>
      <c r="CZ583" s="61"/>
      <c r="DA583" s="61"/>
      <c r="DB583" s="61"/>
      <c r="DC583" s="61"/>
      <c r="DD583" s="61"/>
      <c r="DE583" s="61"/>
      <c r="DF583" s="61"/>
      <c r="DG583" s="61"/>
      <c r="DH583" s="61"/>
      <c r="DI583" s="61"/>
      <c r="DJ583" s="61"/>
      <c r="DK583" s="61"/>
      <c r="DL583" s="61"/>
      <c r="DM583" s="61"/>
      <c r="DN583" s="61"/>
      <c r="DO583" s="61"/>
      <c r="DP583" s="61"/>
      <c r="DQ583" s="61"/>
      <c r="DR583" s="61"/>
      <c r="DS583" s="61"/>
      <c r="DT583" s="61"/>
      <c r="DU583" s="61"/>
      <c r="DV583" s="61"/>
      <c r="DW583" s="61"/>
      <c r="DX583" s="61"/>
      <c r="DY583" s="61"/>
      <c r="DZ583" s="61"/>
      <c r="EA583" s="61"/>
      <c r="EB583" s="61"/>
      <c r="EC583" s="61"/>
      <c r="ED583" s="61"/>
      <c r="EE583" s="61"/>
      <c r="EF583" s="61"/>
      <c r="EG583" s="61"/>
      <c r="EH583" s="61"/>
      <c r="EI583" s="61"/>
      <c r="EJ583" s="61"/>
      <c r="EK583" s="61"/>
      <c r="EL583" s="61"/>
      <c r="EM583" s="61"/>
      <c r="EN583" s="61"/>
      <c r="EO583" s="61"/>
      <c r="EP583" s="61"/>
      <c r="EQ583" s="61"/>
      <c r="ER583" s="61"/>
      <c r="ES583" s="61"/>
      <c r="ET583" s="61"/>
      <c r="EU583" s="61"/>
      <c r="EV583" s="61"/>
      <c r="EW583" s="61"/>
    </row>
    <row r="584" spans="1:153">
      <c r="A584" s="56">
        <v>44348</v>
      </c>
      <c r="B584" s="57">
        <v>2021</v>
      </c>
      <c r="C584" s="71">
        <v>18.553999999999998</v>
      </c>
      <c r="D584" s="61">
        <v>0.253</v>
      </c>
      <c r="E584" s="61">
        <v>3414.9850000000001</v>
      </c>
      <c r="F584" s="61">
        <v>143.429</v>
      </c>
      <c r="G584" s="61">
        <v>18.300999999999998</v>
      </c>
      <c r="H584" s="61">
        <v>446</v>
      </c>
      <c r="I584" s="61">
        <v>658.20600000000002</v>
      </c>
      <c r="J584" s="61">
        <v>-212.20599999999999</v>
      </c>
      <c r="K584" s="61">
        <v>3747.5590000000002</v>
      </c>
      <c r="L584" s="61">
        <v>-56.945999999999998</v>
      </c>
      <c r="M584" s="61">
        <v>3259.7249999999999</v>
      </c>
      <c r="N584" s="61">
        <v>136.90799999999999</v>
      </c>
      <c r="O584" s="71">
        <v>17.469000000000001</v>
      </c>
      <c r="P584" s="60">
        <v>182.83699999999999</v>
      </c>
      <c r="Q584" s="61">
        <v>201.08099999999999</v>
      </c>
      <c r="R584" s="61">
        <v>418.15600000000001</v>
      </c>
      <c r="S584" s="61">
        <v>1037.8589999999999</v>
      </c>
      <c r="T584" s="61">
        <v>207.428</v>
      </c>
      <c r="U584" s="61">
        <v>16.515999999999998</v>
      </c>
      <c r="V584" s="61">
        <v>159.87700000000001</v>
      </c>
      <c r="W584" s="61">
        <v>235.88300000000001</v>
      </c>
      <c r="X584" s="61">
        <v>171.78399999999999</v>
      </c>
      <c r="Y584" s="61">
        <v>34.238</v>
      </c>
      <c r="Z584" s="61">
        <v>200.072</v>
      </c>
      <c r="AA584" s="61">
        <v>406.09399999999999</v>
      </c>
      <c r="AB584" s="60">
        <v>1025.797</v>
      </c>
      <c r="AC584" s="62">
        <v>1470.1120000000001</v>
      </c>
      <c r="AD584" s="61">
        <v>61.744999999999997</v>
      </c>
      <c r="AE584" s="61">
        <v>8.077</v>
      </c>
      <c r="AF584" s="61">
        <v>1092</v>
      </c>
      <c r="AG584" s="61">
        <v>1919.9680000000001</v>
      </c>
      <c r="AH584" s="61">
        <v>160.357</v>
      </c>
      <c r="AI584" s="61">
        <v>2401.7550000000001</v>
      </c>
      <c r="AJ584" s="61">
        <v>100.874</v>
      </c>
      <c r="AK584" s="62">
        <v>13.195</v>
      </c>
      <c r="AL584" s="63">
        <f t="shared" si="47"/>
        <v>100.874</v>
      </c>
      <c r="AM584" s="64">
        <v>13.195</v>
      </c>
      <c r="AN584" s="65" t="s">
        <v>121</v>
      </c>
      <c r="AO584" s="61" t="s">
        <v>121</v>
      </c>
      <c r="AP584" s="61">
        <v>91.066999999999993</v>
      </c>
      <c r="AQ584" s="61">
        <v>3.8250000000000002</v>
      </c>
      <c r="AR584" s="61">
        <v>0.48799999999999999</v>
      </c>
      <c r="AS584" s="61" t="s">
        <v>122</v>
      </c>
      <c r="AT584" s="61">
        <v>74.063000000000002</v>
      </c>
      <c r="AU584" s="61">
        <v>-44.94</v>
      </c>
      <c r="AV584" s="61">
        <v>136.00700000000001</v>
      </c>
      <c r="AW584" s="61">
        <v>5.7119999999999997</v>
      </c>
      <c r="AX584" s="65">
        <v>0.72899999999999998</v>
      </c>
      <c r="AY584" s="66">
        <v>3.2549999999999999</v>
      </c>
      <c r="AZ584" s="61">
        <v>34.795999999999999</v>
      </c>
      <c r="BA584" s="61">
        <v>36.08</v>
      </c>
      <c r="BB584" s="61">
        <v>74.13</v>
      </c>
      <c r="BC584" s="61">
        <v>0.21199999999999999</v>
      </c>
      <c r="BD584" s="61">
        <v>1.976</v>
      </c>
      <c r="BE584" s="61">
        <v>14.282999999999999</v>
      </c>
      <c r="BF584" s="61">
        <v>0.10199999999999999</v>
      </c>
      <c r="BG584" s="61">
        <v>6.8440000000000003</v>
      </c>
      <c r="BH584" s="61">
        <v>3.22</v>
      </c>
      <c r="BI584" s="61">
        <v>2.3290000000000002</v>
      </c>
      <c r="BJ584" s="61">
        <v>12.393000000000001</v>
      </c>
      <c r="BK584" s="66">
        <v>28.965</v>
      </c>
      <c r="BL584" s="67">
        <v>97.061999999999998</v>
      </c>
      <c r="BM584" s="61">
        <v>17.469000000000001</v>
      </c>
      <c r="BN584" s="61">
        <v>13.195</v>
      </c>
      <c r="BO584" s="61">
        <v>0.72899999999999998</v>
      </c>
      <c r="BP584" s="61">
        <v>128.45500000000001</v>
      </c>
      <c r="BQ584" s="61">
        <v>206.685</v>
      </c>
      <c r="BR584" s="61">
        <v>10.94</v>
      </c>
      <c r="BS584" s="61">
        <v>107.182</v>
      </c>
      <c r="BT584" s="61">
        <v>235.70599999999999</v>
      </c>
      <c r="BU584" s="61">
        <v>16.692</v>
      </c>
      <c r="BV584" s="61">
        <v>18.817</v>
      </c>
      <c r="BW584" s="61">
        <v>35.509</v>
      </c>
      <c r="BX584" s="67">
        <v>596.02200000000005</v>
      </c>
      <c r="BY584" s="68">
        <v>149415</v>
      </c>
      <c r="BZ584" s="68">
        <v>118372</v>
      </c>
      <c r="CA584" s="69">
        <v>7207</v>
      </c>
      <c r="CB584" s="68">
        <v>140133</v>
      </c>
      <c r="CC584" s="68">
        <v>37722</v>
      </c>
      <c r="CD584" s="68">
        <v>141504</v>
      </c>
      <c r="CE584" s="72">
        <v>4825.8</v>
      </c>
      <c r="CF584" s="72">
        <v>6274.8000000000011</v>
      </c>
      <c r="CG584" s="70">
        <f t="shared" si="49"/>
        <v>5885.5860000000002</v>
      </c>
      <c r="CH584" s="70">
        <f t="shared" si="50"/>
        <v>302.69400000000002</v>
      </c>
      <c r="CI584" s="70">
        <f t="shared" si="51"/>
        <v>1584.3240000000001</v>
      </c>
      <c r="CJ584" s="70">
        <f t="shared" si="52"/>
        <v>6275.43</v>
      </c>
      <c r="CK584" s="70">
        <f t="shared" si="52"/>
        <v>4971.6239999999998</v>
      </c>
      <c r="CL584" s="70">
        <f t="shared" si="48"/>
        <v>5943.1679999999997</v>
      </c>
      <c r="CM584" s="61"/>
      <c r="CN584" s="61"/>
      <c r="CO584" s="61"/>
      <c r="CP584" s="61"/>
      <c r="CQ584" s="61"/>
      <c r="CR584" s="61"/>
      <c r="CS584" s="61"/>
      <c r="CT584" s="61"/>
      <c r="CU584" s="61"/>
      <c r="CV584" s="61"/>
      <c r="CW584" s="61"/>
      <c r="CX584" s="61"/>
      <c r="CY584" s="61"/>
      <c r="CZ584" s="61"/>
      <c r="DA584" s="61"/>
      <c r="DB584" s="61"/>
      <c r="DC584" s="61"/>
      <c r="DD584" s="61"/>
      <c r="DE584" s="61"/>
      <c r="DF584" s="61"/>
      <c r="DG584" s="61"/>
      <c r="DH584" s="61"/>
      <c r="DI584" s="61"/>
      <c r="DJ584" s="61"/>
      <c r="DK584" s="61"/>
      <c r="DL584" s="61"/>
      <c r="DM584" s="61"/>
      <c r="DN584" s="61"/>
      <c r="DO584" s="61"/>
      <c r="DP584" s="61"/>
      <c r="DQ584" s="61"/>
      <c r="DR584" s="61"/>
      <c r="DS584" s="61"/>
      <c r="DT584" s="61"/>
      <c r="DU584" s="61"/>
      <c r="DV584" s="61"/>
      <c r="DW584" s="61"/>
      <c r="DX584" s="61"/>
      <c r="DY584" s="61"/>
      <c r="DZ584" s="61"/>
      <c r="EA584" s="61"/>
      <c r="EB584" s="61"/>
      <c r="EC584" s="61"/>
      <c r="ED584" s="61"/>
      <c r="EE584" s="61"/>
      <c r="EF584" s="61"/>
      <c r="EG584" s="61"/>
      <c r="EH584" s="61"/>
      <c r="EI584" s="61"/>
      <c r="EJ584" s="61"/>
      <c r="EK584" s="61"/>
      <c r="EL584" s="61"/>
      <c r="EM584" s="61"/>
      <c r="EN584" s="61"/>
      <c r="EO584" s="61"/>
      <c r="EP584" s="61"/>
      <c r="EQ584" s="61"/>
      <c r="ER584" s="61"/>
      <c r="ES584" s="61"/>
      <c r="ET584" s="61"/>
      <c r="EU584" s="61"/>
      <c r="EV584" s="61"/>
      <c r="EW584" s="61"/>
    </row>
    <row r="585" spans="1:153">
      <c r="A585" s="56">
        <v>44378</v>
      </c>
      <c r="B585" s="57">
        <v>2021</v>
      </c>
      <c r="C585" s="71">
        <v>19.295999999999999</v>
      </c>
      <c r="D585" s="61">
        <v>0.26300000000000001</v>
      </c>
      <c r="E585" s="61">
        <v>3551.672</v>
      </c>
      <c r="F585" s="61">
        <v>149.16999999999999</v>
      </c>
      <c r="G585" s="61">
        <v>19.033000000000001</v>
      </c>
      <c r="H585" s="61">
        <v>357</v>
      </c>
      <c r="I585" s="61">
        <v>489.42700000000002</v>
      </c>
      <c r="J585" s="61">
        <v>-132.42699999999999</v>
      </c>
      <c r="K585" s="61">
        <v>3696.92</v>
      </c>
      <c r="L585" s="61">
        <v>-50.639000000000003</v>
      </c>
      <c r="M585" s="61">
        <v>3469.884</v>
      </c>
      <c r="N585" s="61">
        <v>145.73500000000001</v>
      </c>
      <c r="O585" s="71">
        <v>18.594999999999999</v>
      </c>
      <c r="P585" s="60">
        <v>188.99799999999999</v>
      </c>
      <c r="Q585" s="61">
        <v>208.89599999999999</v>
      </c>
      <c r="R585" s="61">
        <v>433.56299999999999</v>
      </c>
      <c r="S585" s="61">
        <v>999.08399999999995</v>
      </c>
      <c r="T585" s="61">
        <v>195.43</v>
      </c>
      <c r="U585" s="61">
        <v>17.338999999999999</v>
      </c>
      <c r="V585" s="61">
        <v>160.69999999999999</v>
      </c>
      <c r="W585" s="61">
        <v>192.05199999999999</v>
      </c>
      <c r="X585" s="61">
        <v>181.11600000000001</v>
      </c>
      <c r="Y585" s="61">
        <v>35.668999999999997</v>
      </c>
      <c r="Z585" s="61">
        <v>204.12</v>
      </c>
      <c r="AA585" s="61">
        <v>420.90499999999997</v>
      </c>
      <c r="AB585" s="60">
        <v>986.42600000000004</v>
      </c>
      <c r="AC585" s="62">
        <v>1889.1980000000001</v>
      </c>
      <c r="AD585" s="61">
        <v>79.346000000000004</v>
      </c>
      <c r="AE585" s="61">
        <v>10.379</v>
      </c>
      <c r="AF585" s="61">
        <v>549</v>
      </c>
      <c r="AG585" s="61">
        <v>2283.0500000000002</v>
      </c>
      <c r="AH585" s="61">
        <v>363.08199999999999</v>
      </c>
      <c r="AI585" s="61">
        <v>2075.116</v>
      </c>
      <c r="AJ585" s="61">
        <v>87.155000000000001</v>
      </c>
      <c r="AK585" s="62">
        <v>11.401</v>
      </c>
      <c r="AL585" s="63">
        <f t="shared" si="47"/>
        <v>87.155000000000001</v>
      </c>
      <c r="AM585" s="64">
        <v>11.401</v>
      </c>
      <c r="AN585" s="65" t="s">
        <v>121</v>
      </c>
      <c r="AO585" s="61" t="s">
        <v>121</v>
      </c>
      <c r="AP585" s="61">
        <v>124.873</v>
      </c>
      <c r="AQ585" s="61">
        <v>5.2450000000000001</v>
      </c>
      <c r="AR585" s="61">
        <v>0.66900000000000004</v>
      </c>
      <c r="AS585" s="61">
        <v>27</v>
      </c>
      <c r="AT585" s="61">
        <v>89.194999999999993</v>
      </c>
      <c r="AU585" s="61">
        <v>15.132</v>
      </c>
      <c r="AV585" s="61">
        <v>136.74100000000001</v>
      </c>
      <c r="AW585" s="61">
        <v>5.7430000000000003</v>
      </c>
      <c r="AX585" s="65">
        <v>0.73299999999999998</v>
      </c>
      <c r="AY585" s="66">
        <v>3.363</v>
      </c>
      <c r="AZ585" s="61">
        <v>35.146999999999998</v>
      </c>
      <c r="BA585" s="61">
        <v>37.281999999999996</v>
      </c>
      <c r="BB585" s="61">
        <v>75.792000000000002</v>
      </c>
      <c r="BC585" s="61">
        <v>0.2</v>
      </c>
      <c r="BD585" s="61">
        <v>2.0209999999999999</v>
      </c>
      <c r="BE585" s="61">
        <v>14.715999999999999</v>
      </c>
      <c r="BF585" s="61">
        <v>7.2999999999999995E-2</v>
      </c>
      <c r="BG585" s="61">
        <v>7.1059999999999999</v>
      </c>
      <c r="BH585" s="61">
        <v>3.52</v>
      </c>
      <c r="BI585" s="61">
        <v>2.3959999999999999</v>
      </c>
      <c r="BJ585" s="61">
        <v>13.022</v>
      </c>
      <c r="BK585" s="66">
        <v>30.032</v>
      </c>
      <c r="BL585" s="67">
        <v>99.870999999999995</v>
      </c>
      <c r="BM585" s="61">
        <v>18.594999999999999</v>
      </c>
      <c r="BN585" s="61">
        <v>11.401</v>
      </c>
      <c r="BO585" s="61">
        <v>0.73299999999999998</v>
      </c>
      <c r="BP585" s="61">
        <v>130.6</v>
      </c>
      <c r="BQ585" s="61">
        <v>194.55500000000001</v>
      </c>
      <c r="BR585" s="61">
        <v>11.598000000000001</v>
      </c>
      <c r="BS585" s="61">
        <v>107.133</v>
      </c>
      <c r="BT585" s="61">
        <v>191.929</v>
      </c>
      <c r="BU585" s="61">
        <v>18.876000000000001</v>
      </c>
      <c r="BV585" s="61">
        <v>19.405000000000001</v>
      </c>
      <c r="BW585" s="61">
        <v>38.281999999999996</v>
      </c>
      <c r="BX585" s="67">
        <v>543.49599999999998</v>
      </c>
      <c r="BY585" s="68">
        <v>150533</v>
      </c>
      <c r="BZ585" s="68">
        <v>113912</v>
      </c>
      <c r="CA585" s="69">
        <v>5103</v>
      </c>
      <c r="CB585" s="68">
        <v>142139</v>
      </c>
      <c r="CC585" s="68">
        <v>39724</v>
      </c>
      <c r="CD585" s="68">
        <v>141987</v>
      </c>
      <c r="CE585" s="72">
        <v>4661.1600000000008</v>
      </c>
      <c r="CF585" s="72">
        <v>6327.72</v>
      </c>
      <c r="CG585" s="70">
        <f t="shared" si="49"/>
        <v>5969.8379999999997</v>
      </c>
      <c r="CH585" s="70">
        <f t="shared" si="50"/>
        <v>214.32599999999999</v>
      </c>
      <c r="CI585" s="70">
        <f t="shared" si="51"/>
        <v>1668.4079999999999</v>
      </c>
      <c r="CJ585" s="70">
        <f t="shared" si="52"/>
        <v>6322.3860000000004</v>
      </c>
      <c r="CK585" s="70">
        <f t="shared" si="52"/>
        <v>4784.3040000000001</v>
      </c>
      <c r="CL585" s="70">
        <f t="shared" si="48"/>
        <v>5963.4539999999997</v>
      </c>
      <c r="CM585" s="61"/>
      <c r="CN585" s="61"/>
      <c r="CO585" s="61"/>
      <c r="CP585" s="61"/>
      <c r="CQ585" s="61"/>
      <c r="CR585" s="61"/>
      <c r="CS585" s="61"/>
      <c r="CT585" s="61"/>
      <c r="CU585" s="61"/>
      <c r="CV585" s="61"/>
      <c r="CW585" s="61"/>
      <c r="CX585" s="61"/>
      <c r="CY585" s="61"/>
      <c r="CZ585" s="61"/>
      <c r="DA585" s="61"/>
      <c r="DB585" s="61"/>
      <c r="DC585" s="61"/>
      <c r="DD585" s="61"/>
      <c r="DE585" s="61"/>
      <c r="DF585" s="61"/>
      <c r="DG585" s="61"/>
      <c r="DH585" s="61"/>
      <c r="DI585" s="61"/>
      <c r="DJ585" s="61"/>
      <c r="DK585" s="61"/>
      <c r="DL585" s="61"/>
      <c r="DM585" s="61"/>
      <c r="DN585" s="61"/>
      <c r="DO585" s="61"/>
      <c r="DP585" s="61"/>
      <c r="DQ585" s="61"/>
      <c r="DR585" s="61"/>
      <c r="DS585" s="61"/>
      <c r="DT585" s="61"/>
      <c r="DU585" s="61"/>
      <c r="DV585" s="61"/>
      <c r="DW585" s="61"/>
      <c r="DX585" s="61"/>
      <c r="DY585" s="61"/>
      <c r="DZ585" s="61"/>
      <c r="EA585" s="61"/>
      <c r="EB585" s="61"/>
      <c r="EC585" s="61"/>
      <c r="ED585" s="61"/>
      <c r="EE585" s="61"/>
      <c r="EF585" s="61"/>
      <c r="EG585" s="61"/>
      <c r="EH585" s="61"/>
      <c r="EI585" s="61"/>
      <c r="EJ585" s="61"/>
      <c r="EK585" s="61"/>
      <c r="EL585" s="61"/>
      <c r="EM585" s="61"/>
      <c r="EN585" s="61"/>
      <c r="EO585" s="61"/>
      <c r="EP585" s="61"/>
      <c r="EQ585" s="61"/>
      <c r="ER585" s="61"/>
      <c r="ES585" s="61"/>
      <c r="ET585" s="61"/>
      <c r="EU585" s="61"/>
      <c r="EV585" s="61"/>
      <c r="EW585" s="61"/>
    </row>
    <row r="586" spans="1:153">
      <c r="A586" s="56">
        <v>44409</v>
      </c>
      <c r="B586" s="57">
        <v>2021</v>
      </c>
      <c r="C586" s="71">
        <v>19.338999999999999</v>
      </c>
      <c r="D586" s="61">
        <v>0.26300000000000001</v>
      </c>
      <c r="E586" s="61">
        <v>3559.5650000000001</v>
      </c>
      <c r="F586" s="61">
        <v>149.50200000000001</v>
      </c>
      <c r="G586" s="61">
        <v>19.076000000000001</v>
      </c>
      <c r="H586" s="61">
        <v>287</v>
      </c>
      <c r="I586" s="61">
        <v>548.88400000000001</v>
      </c>
      <c r="J586" s="61">
        <v>-261.88400000000001</v>
      </c>
      <c r="K586" s="61">
        <v>3368.598</v>
      </c>
      <c r="L586" s="61">
        <v>-328.322</v>
      </c>
      <c r="M586" s="61">
        <v>3626.0030000000002</v>
      </c>
      <c r="N586" s="61">
        <v>152.292</v>
      </c>
      <c r="O586" s="71">
        <v>19.431999999999999</v>
      </c>
      <c r="P586" s="60">
        <v>190.482</v>
      </c>
      <c r="Q586" s="61">
        <v>195.29</v>
      </c>
      <c r="R586" s="61">
        <v>421.04399999999998</v>
      </c>
      <c r="S586" s="61">
        <v>1013.442</v>
      </c>
      <c r="T586" s="61">
        <v>179.78200000000001</v>
      </c>
      <c r="U586" s="61">
        <v>17.216999999999999</v>
      </c>
      <c r="V586" s="61">
        <v>155.982</v>
      </c>
      <c r="W586" s="61">
        <v>239.417</v>
      </c>
      <c r="X586" s="61">
        <v>179.60499999999999</v>
      </c>
      <c r="Y586" s="61">
        <v>35.271999999999998</v>
      </c>
      <c r="Z586" s="61">
        <v>199.87700000000001</v>
      </c>
      <c r="AA586" s="61">
        <v>414.75400000000002</v>
      </c>
      <c r="AB586" s="60">
        <v>1007.152</v>
      </c>
      <c r="AC586" s="62">
        <v>1800.095</v>
      </c>
      <c r="AD586" s="61">
        <v>75.603999999999999</v>
      </c>
      <c r="AE586" s="61">
        <v>9.89</v>
      </c>
      <c r="AF586" s="61">
        <v>597</v>
      </c>
      <c r="AG586" s="61">
        <v>2037.019</v>
      </c>
      <c r="AH586" s="61">
        <v>-246.03200000000001</v>
      </c>
      <c r="AI586" s="61">
        <v>2643.127</v>
      </c>
      <c r="AJ586" s="61">
        <v>111.011</v>
      </c>
      <c r="AK586" s="62">
        <v>14.521000000000001</v>
      </c>
      <c r="AL586" s="63">
        <f t="shared" si="47"/>
        <v>111.011</v>
      </c>
      <c r="AM586" s="64">
        <v>14.521000000000001</v>
      </c>
      <c r="AN586" s="65" t="s">
        <v>121</v>
      </c>
      <c r="AO586" s="61" t="s">
        <v>121</v>
      </c>
      <c r="AP586" s="61">
        <v>139.178</v>
      </c>
      <c r="AQ586" s="61">
        <v>5.8449999999999998</v>
      </c>
      <c r="AR586" s="61">
        <v>0.746</v>
      </c>
      <c r="AS586" s="61" t="s">
        <v>122</v>
      </c>
      <c r="AT586" s="61">
        <v>84.713999999999999</v>
      </c>
      <c r="AU586" s="61">
        <v>-4.4809999999999999</v>
      </c>
      <c r="AV586" s="61">
        <v>143.65899999999999</v>
      </c>
      <c r="AW586" s="61">
        <v>6.0339999999999998</v>
      </c>
      <c r="AX586" s="65">
        <v>0.77</v>
      </c>
      <c r="AY586" s="66">
        <v>3.363</v>
      </c>
      <c r="AZ586" s="61">
        <v>33.076000000000001</v>
      </c>
      <c r="BA586" s="61">
        <v>37.281999999999996</v>
      </c>
      <c r="BB586" s="61">
        <v>73.721000000000004</v>
      </c>
      <c r="BC586" s="61">
        <v>0.189</v>
      </c>
      <c r="BD586" s="61">
        <v>2.04</v>
      </c>
      <c r="BE586" s="61">
        <v>14.143000000000001</v>
      </c>
      <c r="BF586" s="61">
        <v>0.10299999999999999</v>
      </c>
      <c r="BG586" s="61">
        <v>7.1120000000000001</v>
      </c>
      <c r="BH586" s="61">
        <v>3.4870000000000001</v>
      </c>
      <c r="BI586" s="61">
        <v>2.3250000000000002</v>
      </c>
      <c r="BJ586" s="61">
        <v>12.923999999999999</v>
      </c>
      <c r="BK586" s="66">
        <v>29.398</v>
      </c>
      <c r="BL586" s="67">
        <v>96.882999999999996</v>
      </c>
      <c r="BM586" s="61">
        <v>19.431999999999999</v>
      </c>
      <c r="BN586" s="61">
        <v>14.521000000000001</v>
      </c>
      <c r="BO586" s="61">
        <v>0.77</v>
      </c>
      <c r="BP586" s="61">
        <v>131.60599999999999</v>
      </c>
      <c r="BQ586" s="61">
        <v>178.977</v>
      </c>
      <c r="BR586" s="61">
        <v>11.457000000000001</v>
      </c>
      <c r="BS586" s="61">
        <v>105.15900000000001</v>
      </c>
      <c r="BT586" s="61">
        <v>239.26900000000001</v>
      </c>
      <c r="BU586" s="61">
        <v>18.713000000000001</v>
      </c>
      <c r="BV586" s="61">
        <v>19.030999999999999</v>
      </c>
      <c r="BW586" s="61">
        <v>37.744</v>
      </c>
      <c r="BX586" s="67">
        <v>572.60599999999999</v>
      </c>
      <c r="BY586" s="68">
        <v>146990</v>
      </c>
      <c r="BZ586" s="68">
        <v>123516</v>
      </c>
      <c r="CA586" s="69">
        <v>7954</v>
      </c>
      <c r="CB586" s="68">
        <v>137625</v>
      </c>
      <c r="CC586" s="68">
        <v>35946</v>
      </c>
      <c r="CD586" s="68">
        <v>139300</v>
      </c>
      <c r="CE586" s="72">
        <v>5038.74</v>
      </c>
      <c r="CF586" s="72">
        <v>6171.4800000000005</v>
      </c>
      <c r="CG586" s="70">
        <f t="shared" si="49"/>
        <v>5780.25</v>
      </c>
      <c r="CH586" s="70">
        <f t="shared" si="50"/>
        <v>334.06799999999998</v>
      </c>
      <c r="CI586" s="70">
        <f t="shared" si="51"/>
        <v>1509.732</v>
      </c>
      <c r="CJ586" s="70">
        <f t="shared" si="52"/>
        <v>6173.58</v>
      </c>
      <c r="CK586" s="70">
        <f t="shared" si="52"/>
        <v>5187.6719999999996</v>
      </c>
      <c r="CL586" s="70">
        <f t="shared" si="48"/>
        <v>5850.6</v>
      </c>
      <c r="CM586" s="61"/>
      <c r="CN586" s="61"/>
      <c r="CO586" s="61"/>
      <c r="CP586" s="61"/>
      <c r="CQ586" s="61"/>
      <c r="CR586" s="61"/>
      <c r="CS586" s="61"/>
      <c r="CT586" s="61"/>
      <c r="CU586" s="61"/>
      <c r="CV586" s="61"/>
      <c r="CW586" s="61"/>
      <c r="CX586" s="61"/>
      <c r="CY586" s="61"/>
      <c r="CZ586" s="61"/>
      <c r="DA586" s="61"/>
      <c r="DB586" s="61"/>
      <c r="DC586" s="61"/>
      <c r="DD586" s="61"/>
      <c r="DE586" s="61"/>
      <c r="DF586" s="61"/>
      <c r="DG586" s="61"/>
      <c r="DH586" s="61"/>
      <c r="DI586" s="61"/>
      <c r="DJ586" s="61"/>
      <c r="DK586" s="61"/>
      <c r="DL586" s="61"/>
      <c r="DM586" s="61"/>
      <c r="DN586" s="61"/>
      <c r="DO586" s="61"/>
      <c r="DP586" s="61"/>
      <c r="DQ586" s="61"/>
      <c r="DR586" s="61"/>
      <c r="DS586" s="61"/>
      <c r="DT586" s="61"/>
      <c r="DU586" s="61"/>
      <c r="DV586" s="61"/>
      <c r="DW586" s="61"/>
      <c r="DX586" s="61"/>
      <c r="DY586" s="61"/>
      <c r="DZ586" s="61"/>
      <c r="EA586" s="61"/>
      <c r="EB586" s="61"/>
      <c r="EC586" s="61"/>
      <c r="ED586" s="61"/>
      <c r="EE586" s="61"/>
      <c r="EF586" s="61"/>
      <c r="EG586" s="61"/>
      <c r="EH586" s="61"/>
      <c r="EI586" s="61"/>
      <c r="EJ586" s="61"/>
      <c r="EK586" s="61"/>
      <c r="EL586" s="61"/>
      <c r="EM586" s="61"/>
      <c r="EN586" s="61"/>
      <c r="EO586" s="61"/>
      <c r="EP586" s="61"/>
      <c r="EQ586" s="61"/>
      <c r="ER586" s="61"/>
      <c r="ES586" s="61"/>
      <c r="ET586" s="61"/>
      <c r="EU586" s="61"/>
      <c r="EV586" s="61"/>
      <c r="EW586" s="61"/>
    </row>
    <row r="587" spans="1:153">
      <c r="A587" s="56">
        <v>44440</v>
      </c>
      <c r="B587" s="57">
        <v>2021</v>
      </c>
      <c r="C587" s="71">
        <v>17.303000000000001</v>
      </c>
      <c r="D587" s="61">
        <v>0.23599999999999999</v>
      </c>
      <c r="E587" s="61">
        <v>3184.8760000000002</v>
      </c>
      <c r="F587" s="61">
        <v>133.76499999999999</v>
      </c>
      <c r="G587" s="61">
        <v>17.068000000000001</v>
      </c>
      <c r="H587" s="61">
        <v>418</v>
      </c>
      <c r="I587" s="61">
        <v>473.66899999999998</v>
      </c>
      <c r="J587" s="61">
        <v>-55.668999999999997</v>
      </c>
      <c r="K587" s="61">
        <v>3229.5250000000001</v>
      </c>
      <c r="L587" s="61">
        <v>-139.07300000000001</v>
      </c>
      <c r="M587" s="61">
        <v>3268.28</v>
      </c>
      <c r="N587" s="61">
        <v>137.268</v>
      </c>
      <c r="O587" s="71">
        <v>17.515000000000001</v>
      </c>
      <c r="P587" s="60">
        <v>182.83699999999999</v>
      </c>
      <c r="Q587" s="61">
        <v>185.399</v>
      </c>
      <c r="R587" s="61">
        <v>402.714</v>
      </c>
      <c r="S587" s="61">
        <v>970.49199999999996</v>
      </c>
      <c r="T587" s="61">
        <v>150.54499999999999</v>
      </c>
      <c r="U587" s="61">
        <v>17.099</v>
      </c>
      <c r="V587" s="61">
        <v>143.678</v>
      </c>
      <c r="W587" s="61">
        <v>256.45699999999999</v>
      </c>
      <c r="X587" s="61">
        <v>171.798</v>
      </c>
      <c r="Y587" s="61">
        <v>34.478000000000002</v>
      </c>
      <c r="Z587" s="61">
        <v>186.209</v>
      </c>
      <c r="AA587" s="61">
        <v>392.48500000000001</v>
      </c>
      <c r="AB587" s="60">
        <v>960.26300000000003</v>
      </c>
      <c r="AC587" s="62">
        <v>1463.3</v>
      </c>
      <c r="AD587" s="61">
        <v>61.459000000000003</v>
      </c>
      <c r="AE587" s="61">
        <v>8.0389999999999997</v>
      </c>
      <c r="AF587" s="61">
        <v>636</v>
      </c>
      <c r="AG587" s="61">
        <v>2174.357</v>
      </c>
      <c r="AH587" s="61">
        <v>137.339</v>
      </c>
      <c r="AI587" s="61">
        <v>1961.961</v>
      </c>
      <c r="AJ587" s="61">
        <v>82.402000000000001</v>
      </c>
      <c r="AK587" s="62">
        <v>10.779</v>
      </c>
      <c r="AL587" s="63">
        <f t="shared" ref="AL587:AM638" si="53">AJ587</f>
        <v>82.402000000000001</v>
      </c>
      <c r="AM587" s="64">
        <v>10.779</v>
      </c>
      <c r="AN587" s="65" t="s">
        <v>121</v>
      </c>
      <c r="AO587" s="61" t="s">
        <v>121</v>
      </c>
      <c r="AP587" s="61">
        <v>98.319000000000003</v>
      </c>
      <c r="AQ587" s="61">
        <v>4.1289999999999996</v>
      </c>
      <c r="AR587" s="61">
        <v>0.52700000000000002</v>
      </c>
      <c r="AS587" s="61" t="s">
        <v>122</v>
      </c>
      <c r="AT587" s="61">
        <v>71.366</v>
      </c>
      <c r="AU587" s="61">
        <v>-13.349</v>
      </c>
      <c r="AV587" s="61">
        <v>111.66800000000001</v>
      </c>
      <c r="AW587" s="61">
        <v>4.6900000000000004</v>
      </c>
      <c r="AX587" s="65">
        <v>0.59799999999999998</v>
      </c>
      <c r="AY587" s="66">
        <v>3.2549999999999999</v>
      </c>
      <c r="AZ587" s="61">
        <v>29.222999999999999</v>
      </c>
      <c r="BA587" s="61">
        <v>36.08</v>
      </c>
      <c r="BB587" s="61">
        <v>68.557000000000002</v>
      </c>
      <c r="BC587" s="61">
        <v>0.16400000000000001</v>
      </c>
      <c r="BD587" s="61">
        <v>1.998</v>
      </c>
      <c r="BE587" s="61">
        <v>12.63</v>
      </c>
      <c r="BF587" s="61">
        <v>0.11799999999999999</v>
      </c>
      <c r="BG587" s="61">
        <v>6.8769999999999998</v>
      </c>
      <c r="BH587" s="61">
        <v>3.363</v>
      </c>
      <c r="BI587" s="61">
        <v>2.1960000000000002</v>
      </c>
      <c r="BJ587" s="61">
        <v>12.436</v>
      </c>
      <c r="BK587" s="66">
        <v>27.344999999999999</v>
      </c>
      <c r="BL587" s="67">
        <v>91.534000000000006</v>
      </c>
      <c r="BM587" s="61">
        <v>17.515000000000001</v>
      </c>
      <c r="BN587" s="61">
        <v>10.779</v>
      </c>
      <c r="BO587" s="61">
        <v>0.59799999999999998</v>
      </c>
      <c r="BP587" s="61">
        <v>120.426</v>
      </c>
      <c r="BQ587" s="61">
        <v>149.714</v>
      </c>
      <c r="BR587" s="61">
        <v>11.500999999999999</v>
      </c>
      <c r="BS587" s="61">
        <v>98.561999999999998</v>
      </c>
      <c r="BT587" s="61">
        <v>256.25799999999998</v>
      </c>
      <c r="BU587" s="61">
        <v>16.257999999999999</v>
      </c>
      <c r="BV587" s="61">
        <v>18.614999999999998</v>
      </c>
      <c r="BW587" s="61">
        <v>34.872999999999998</v>
      </c>
      <c r="BX587" s="67">
        <v>550.90800000000002</v>
      </c>
      <c r="BY587" s="68">
        <v>136655</v>
      </c>
      <c r="BZ587" s="68">
        <v>120960</v>
      </c>
      <c r="CA587" s="69">
        <v>6732</v>
      </c>
      <c r="CB587" s="68">
        <v>132095</v>
      </c>
      <c r="CC587" s="68">
        <v>27965</v>
      </c>
      <c r="CD587" s="68">
        <v>130778</v>
      </c>
      <c r="CE587" s="72">
        <v>4888.8</v>
      </c>
      <c r="CF587" s="72">
        <v>5745.5999999999995</v>
      </c>
      <c r="CG587" s="70">
        <f t="shared" si="49"/>
        <v>5547.99</v>
      </c>
      <c r="CH587" s="70">
        <f t="shared" si="50"/>
        <v>282.74400000000003</v>
      </c>
      <c r="CI587" s="70">
        <f t="shared" si="51"/>
        <v>1174.53</v>
      </c>
      <c r="CJ587" s="70">
        <f t="shared" si="52"/>
        <v>5739.51</v>
      </c>
      <c r="CK587" s="70">
        <f t="shared" si="52"/>
        <v>5080.32</v>
      </c>
      <c r="CL587" s="70">
        <f t="shared" si="48"/>
        <v>5492.6760000000004</v>
      </c>
      <c r="CM587" s="61"/>
      <c r="CN587" s="61"/>
      <c r="CO587" s="61"/>
      <c r="CP587" s="61"/>
      <c r="CQ587" s="61"/>
      <c r="CR587" s="61"/>
      <c r="CS587" s="61"/>
      <c r="CT587" s="61"/>
      <c r="CU587" s="61"/>
      <c r="CV587" s="61"/>
      <c r="CW587" s="61"/>
      <c r="CX587" s="61"/>
      <c r="CY587" s="61"/>
      <c r="CZ587" s="61"/>
      <c r="DA587" s="61"/>
      <c r="DB587" s="61"/>
      <c r="DC587" s="61"/>
      <c r="DD587" s="61"/>
      <c r="DE587" s="61"/>
      <c r="DF587" s="61"/>
      <c r="DG587" s="61"/>
      <c r="DH587" s="61"/>
      <c r="DI587" s="61"/>
      <c r="DJ587" s="61"/>
      <c r="DK587" s="61"/>
      <c r="DL587" s="61"/>
      <c r="DM587" s="61"/>
      <c r="DN587" s="61"/>
      <c r="DO587" s="61"/>
      <c r="DP587" s="61"/>
      <c r="DQ587" s="61"/>
      <c r="DR587" s="61"/>
      <c r="DS587" s="61"/>
      <c r="DT587" s="61"/>
      <c r="DU587" s="61"/>
      <c r="DV587" s="61"/>
      <c r="DW587" s="61"/>
      <c r="DX587" s="61"/>
      <c r="DY587" s="61"/>
      <c r="DZ587" s="61"/>
      <c r="EA587" s="61"/>
      <c r="EB587" s="61"/>
      <c r="EC587" s="61"/>
      <c r="ED587" s="61"/>
      <c r="EE587" s="61"/>
      <c r="EF587" s="61"/>
      <c r="EG587" s="61"/>
      <c r="EH587" s="61"/>
      <c r="EI587" s="61"/>
      <c r="EJ587" s="61"/>
      <c r="EK587" s="61"/>
      <c r="EL587" s="61"/>
      <c r="EM587" s="61"/>
      <c r="EN587" s="61"/>
      <c r="EO587" s="61"/>
      <c r="EP587" s="61"/>
      <c r="EQ587" s="61"/>
      <c r="ER587" s="61"/>
      <c r="ES587" s="61"/>
      <c r="ET587" s="61"/>
      <c r="EU587" s="61"/>
      <c r="EV587" s="61"/>
      <c r="EW587" s="61"/>
    </row>
    <row r="588" spans="1:153">
      <c r="A588" s="56">
        <v>44470</v>
      </c>
      <c r="B588" s="57">
        <v>2021</v>
      </c>
      <c r="C588" s="71">
        <v>18.87</v>
      </c>
      <c r="D588" s="61">
        <v>0.25700000000000001</v>
      </c>
      <c r="E588" s="61">
        <v>3473.1390000000001</v>
      </c>
      <c r="F588" s="61">
        <v>145.87200000000001</v>
      </c>
      <c r="G588" s="61">
        <v>18.613</v>
      </c>
      <c r="H588" s="61">
        <v>473</v>
      </c>
      <c r="I588" s="61">
        <v>213.4</v>
      </c>
      <c r="J588" s="61">
        <v>259.60000000000002</v>
      </c>
      <c r="K588" s="61">
        <v>3339.652</v>
      </c>
      <c r="L588" s="61">
        <v>110.127</v>
      </c>
      <c r="M588" s="61">
        <v>3622.6120000000001</v>
      </c>
      <c r="N588" s="61">
        <v>152.15</v>
      </c>
      <c r="O588" s="71">
        <v>19.414000000000001</v>
      </c>
      <c r="P588" s="60">
        <v>180.34200000000001</v>
      </c>
      <c r="Q588" s="61">
        <v>214.43600000000001</v>
      </c>
      <c r="R588" s="61">
        <v>430.15199999999999</v>
      </c>
      <c r="S588" s="61">
        <v>1004.52</v>
      </c>
      <c r="T588" s="61">
        <v>151.524</v>
      </c>
      <c r="U588" s="61">
        <v>17.056999999999999</v>
      </c>
      <c r="V588" s="61">
        <v>120.877</v>
      </c>
      <c r="W588" s="61">
        <v>284.91000000000003</v>
      </c>
      <c r="X588" s="61">
        <v>171.839</v>
      </c>
      <c r="Y588" s="61">
        <v>35.374000000000002</v>
      </c>
      <c r="Z588" s="61">
        <v>214.011</v>
      </c>
      <c r="AA588" s="61">
        <v>421.22500000000002</v>
      </c>
      <c r="AB588" s="60">
        <v>995.59299999999996</v>
      </c>
      <c r="AC588" s="62">
        <v>2027.492</v>
      </c>
      <c r="AD588" s="61">
        <v>85.155000000000001</v>
      </c>
      <c r="AE588" s="61">
        <v>11.138999999999999</v>
      </c>
      <c r="AF588" s="61">
        <v>795</v>
      </c>
      <c r="AG588" s="61">
        <v>1883.127</v>
      </c>
      <c r="AH588" s="61">
        <v>-291.23</v>
      </c>
      <c r="AI588" s="61">
        <v>3113.7220000000002</v>
      </c>
      <c r="AJ588" s="61">
        <v>130.77600000000001</v>
      </c>
      <c r="AK588" s="62">
        <v>17.106999999999999</v>
      </c>
      <c r="AL588" s="63">
        <f t="shared" si="53"/>
        <v>130.77600000000001</v>
      </c>
      <c r="AM588" s="64">
        <v>17.106999999999999</v>
      </c>
      <c r="AN588" s="65" t="s">
        <v>121</v>
      </c>
      <c r="AO588" s="61" t="s">
        <v>121</v>
      </c>
      <c r="AP588" s="61">
        <v>190.935</v>
      </c>
      <c r="AQ588" s="61">
        <v>8.0190000000000001</v>
      </c>
      <c r="AR588" s="61">
        <v>1.0229999999999999</v>
      </c>
      <c r="AS588" s="61" t="s">
        <v>122</v>
      </c>
      <c r="AT588" s="61">
        <v>89.587000000000003</v>
      </c>
      <c r="AU588" s="61">
        <v>18.221</v>
      </c>
      <c r="AV588" s="61">
        <v>172.714</v>
      </c>
      <c r="AW588" s="61">
        <v>7.2539999999999996</v>
      </c>
      <c r="AX588" s="65">
        <v>0.92600000000000005</v>
      </c>
      <c r="AY588" s="66">
        <v>3.363</v>
      </c>
      <c r="AZ588" s="61">
        <v>25.529</v>
      </c>
      <c r="BA588" s="61">
        <v>37.281999999999996</v>
      </c>
      <c r="BB588" s="61">
        <v>66.174000000000007</v>
      </c>
      <c r="BC588" s="61">
        <v>0.154</v>
      </c>
      <c r="BD588" s="61">
        <v>2.1</v>
      </c>
      <c r="BE588" s="61">
        <v>10.962</v>
      </c>
      <c r="BF588" s="61">
        <v>0.129</v>
      </c>
      <c r="BG588" s="61">
        <v>6.98</v>
      </c>
      <c r="BH588" s="61">
        <v>3.113</v>
      </c>
      <c r="BI588" s="61">
        <v>2.4260000000000002</v>
      </c>
      <c r="BJ588" s="61">
        <v>12.52</v>
      </c>
      <c r="BK588" s="66">
        <v>25.864000000000001</v>
      </c>
      <c r="BL588" s="67">
        <v>101.12</v>
      </c>
      <c r="BM588" s="61">
        <v>19.414000000000001</v>
      </c>
      <c r="BN588" s="61">
        <v>17.106999999999999</v>
      </c>
      <c r="BO588" s="61">
        <v>0.92600000000000005</v>
      </c>
      <c r="BP588" s="61">
        <v>138.566</v>
      </c>
      <c r="BQ588" s="61">
        <v>150.69499999999999</v>
      </c>
      <c r="BR588" s="61">
        <v>11.237</v>
      </c>
      <c r="BS588" s="61">
        <v>81.459999999999994</v>
      </c>
      <c r="BT588" s="61">
        <v>284.702</v>
      </c>
      <c r="BU588" s="61">
        <v>14.29</v>
      </c>
      <c r="BV588" s="61">
        <v>18.228000000000002</v>
      </c>
      <c r="BW588" s="61">
        <v>32.518000000000001</v>
      </c>
      <c r="BX588" s="67">
        <v>560.61199999999997</v>
      </c>
      <c r="BY588" s="68">
        <v>146545</v>
      </c>
      <c r="BZ588" s="68">
        <v>122989</v>
      </c>
      <c r="CA588" s="69">
        <v>9008</v>
      </c>
      <c r="CB588" s="68">
        <v>132811</v>
      </c>
      <c r="CC588" s="68">
        <v>31856</v>
      </c>
      <c r="CD588" s="68">
        <v>139412</v>
      </c>
      <c r="CE588" s="72">
        <v>4856.46</v>
      </c>
      <c r="CF588" s="72">
        <v>6158.4600000000009</v>
      </c>
      <c r="CG588" s="70">
        <f t="shared" si="49"/>
        <v>5578.0619999999999</v>
      </c>
      <c r="CH588" s="70">
        <f t="shared" si="50"/>
        <v>378.33600000000001</v>
      </c>
      <c r="CI588" s="70">
        <f t="shared" si="51"/>
        <v>1337.952</v>
      </c>
      <c r="CJ588" s="70">
        <f t="shared" si="52"/>
        <v>6154.89</v>
      </c>
      <c r="CK588" s="70">
        <f t="shared" si="52"/>
        <v>5165.5379999999996</v>
      </c>
      <c r="CL588" s="70">
        <f t="shared" si="48"/>
        <v>5855.3040000000001</v>
      </c>
      <c r="CM588" s="61"/>
      <c r="CN588" s="61"/>
      <c r="CO588" s="61"/>
      <c r="CP588" s="61"/>
      <c r="CQ588" s="61"/>
      <c r="CR588" s="61"/>
      <c r="CS588" s="61"/>
      <c r="CT588" s="61"/>
      <c r="CU588" s="61"/>
      <c r="CV588" s="61"/>
      <c r="CW588" s="61"/>
      <c r="CX588" s="61"/>
      <c r="CY588" s="61"/>
      <c r="CZ588" s="61"/>
      <c r="DA588" s="61"/>
      <c r="DB588" s="61"/>
      <c r="DC588" s="61"/>
      <c r="DD588" s="61"/>
      <c r="DE588" s="61"/>
      <c r="DF588" s="61"/>
      <c r="DG588" s="61"/>
      <c r="DH588" s="61"/>
      <c r="DI588" s="61"/>
      <c r="DJ588" s="61"/>
      <c r="DK588" s="61"/>
      <c r="DL588" s="61"/>
      <c r="DM588" s="61"/>
      <c r="DN588" s="61"/>
      <c r="DO588" s="61"/>
      <c r="DP588" s="61"/>
      <c r="DQ588" s="61"/>
      <c r="DR588" s="61"/>
      <c r="DS588" s="61"/>
      <c r="DT588" s="61"/>
      <c r="DU588" s="61"/>
      <c r="DV588" s="61"/>
      <c r="DW588" s="61"/>
      <c r="DX588" s="61"/>
      <c r="DY588" s="61"/>
      <c r="DZ588" s="61"/>
      <c r="EA588" s="61"/>
      <c r="EB588" s="61"/>
      <c r="EC588" s="61"/>
      <c r="ED588" s="61"/>
      <c r="EE588" s="61"/>
      <c r="EF588" s="61"/>
      <c r="EG588" s="61"/>
      <c r="EH588" s="61"/>
      <c r="EI588" s="61"/>
      <c r="EJ588" s="61"/>
      <c r="EK588" s="61"/>
      <c r="EL588" s="61"/>
      <c r="EM588" s="61"/>
      <c r="EN588" s="61"/>
      <c r="EO588" s="61"/>
      <c r="EP588" s="61"/>
      <c r="EQ588" s="61"/>
      <c r="ER588" s="61"/>
      <c r="ES588" s="61"/>
      <c r="ET588" s="61"/>
      <c r="EU588" s="61"/>
      <c r="EV588" s="61"/>
      <c r="EW588" s="61"/>
    </row>
    <row r="589" spans="1:153">
      <c r="A589" s="56">
        <v>44501</v>
      </c>
      <c r="B589" s="57">
        <v>2021</v>
      </c>
      <c r="C589" s="71">
        <v>18.253</v>
      </c>
      <c r="D589" s="61">
        <v>0.249</v>
      </c>
      <c r="E589" s="61">
        <v>3359.6219999999998</v>
      </c>
      <c r="F589" s="61">
        <v>141.10400000000001</v>
      </c>
      <c r="G589" s="61">
        <v>18.004000000000001</v>
      </c>
      <c r="H589" s="61">
        <v>660</v>
      </c>
      <c r="I589" s="61">
        <v>165.79599999999999</v>
      </c>
      <c r="J589" s="61">
        <v>494.20400000000001</v>
      </c>
      <c r="K589" s="61">
        <v>3746.8980000000001</v>
      </c>
      <c r="L589" s="61">
        <v>407.24599999999998</v>
      </c>
      <c r="M589" s="61">
        <v>3446.58</v>
      </c>
      <c r="N589" s="61">
        <v>144.756</v>
      </c>
      <c r="O589" s="71">
        <v>18.47</v>
      </c>
      <c r="P589" s="60">
        <v>180.36799999999999</v>
      </c>
      <c r="Q589" s="61">
        <v>215.768</v>
      </c>
      <c r="R589" s="61">
        <v>431.37099999999998</v>
      </c>
      <c r="S589" s="61">
        <v>1038.3150000000001</v>
      </c>
      <c r="T589" s="61">
        <v>171.33699999999999</v>
      </c>
      <c r="U589" s="61">
        <v>17.295999999999999</v>
      </c>
      <c r="V589" s="61">
        <v>102.128</v>
      </c>
      <c r="W589" s="61">
        <v>316.18299999999999</v>
      </c>
      <c r="X589" s="61">
        <v>168.37899999999999</v>
      </c>
      <c r="Y589" s="61">
        <v>35.234000000000002</v>
      </c>
      <c r="Z589" s="61">
        <v>207.39099999999999</v>
      </c>
      <c r="AA589" s="61">
        <v>411.005</v>
      </c>
      <c r="AB589" s="60">
        <v>1017.949</v>
      </c>
      <c r="AC589" s="62">
        <v>2254.6750000000002</v>
      </c>
      <c r="AD589" s="61">
        <v>94.695999999999998</v>
      </c>
      <c r="AE589" s="61">
        <v>12.387</v>
      </c>
      <c r="AF589" s="61">
        <v>890</v>
      </c>
      <c r="AG589" s="61">
        <v>2106.6030000000001</v>
      </c>
      <c r="AH589" s="61">
        <v>223.476</v>
      </c>
      <c r="AI589" s="61">
        <v>2921.1990000000001</v>
      </c>
      <c r="AJ589" s="61">
        <v>122.69</v>
      </c>
      <c r="AK589" s="62">
        <v>16.048999999999999</v>
      </c>
      <c r="AL589" s="63">
        <f t="shared" si="53"/>
        <v>122.69</v>
      </c>
      <c r="AM589" s="64">
        <v>16.048999999999999</v>
      </c>
      <c r="AN589" s="65" t="s">
        <v>121</v>
      </c>
      <c r="AO589" s="61" t="s">
        <v>121</v>
      </c>
      <c r="AP589" s="61">
        <v>226.97399999999999</v>
      </c>
      <c r="AQ589" s="61">
        <v>9.5329999999999995</v>
      </c>
      <c r="AR589" s="61">
        <v>1.216</v>
      </c>
      <c r="AS589" s="61" t="s">
        <v>122</v>
      </c>
      <c r="AT589" s="61">
        <v>68.762</v>
      </c>
      <c r="AU589" s="61">
        <v>-20.824000000000002</v>
      </c>
      <c r="AV589" s="61">
        <v>247.798</v>
      </c>
      <c r="AW589" s="61">
        <v>10.407999999999999</v>
      </c>
      <c r="AX589" s="65">
        <v>1.3280000000000001</v>
      </c>
      <c r="AY589" s="66">
        <v>3.2549999999999999</v>
      </c>
      <c r="AZ589" s="61">
        <v>22.652999999999999</v>
      </c>
      <c r="BA589" s="61">
        <v>36.08</v>
      </c>
      <c r="BB589" s="61">
        <v>61.988</v>
      </c>
      <c r="BC589" s="61">
        <v>0.16</v>
      </c>
      <c r="BD589" s="61">
        <v>2.008</v>
      </c>
      <c r="BE589" s="61">
        <v>8.6959999999999997</v>
      </c>
      <c r="BF589" s="61">
        <v>0.14699999999999999</v>
      </c>
      <c r="BG589" s="61">
        <v>6.7539999999999996</v>
      </c>
      <c r="BH589" s="61">
        <v>3.218</v>
      </c>
      <c r="BI589" s="61">
        <v>2.306</v>
      </c>
      <c r="BJ589" s="61">
        <v>12.278</v>
      </c>
      <c r="BK589" s="66">
        <v>23.289000000000001</v>
      </c>
      <c r="BL589" s="67">
        <v>96.114999999999995</v>
      </c>
      <c r="BM589" s="61">
        <v>18.47</v>
      </c>
      <c r="BN589" s="61">
        <v>16.048999999999999</v>
      </c>
      <c r="BO589" s="61">
        <v>1.3280000000000001</v>
      </c>
      <c r="BP589" s="61">
        <v>131.96199999999999</v>
      </c>
      <c r="BQ589" s="61">
        <v>170.44300000000001</v>
      </c>
      <c r="BR589" s="61">
        <v>11.688000000000001</v>
      </c>
      <c r="BS589" s="61">
        <v>68.507000000000005</v>
      </c>
      <c r="BT589" s="61">
        <v>315.93700000000001</v>
      </c>
      <c r="BU589" s="61">
        <v>15.476000000000001</v>
      </c>
      <c r="BV589" s="61">
        <v>18.099</v>
      </c>
      <c r="BW589" s="61">
        <v>33.575000000000003</v>
      </c>
      <c r="BX589" s="67">
        <v>600.15</v>
      </c>
      <c r="BY589" s="68">
        <v>148507</v>
      </c>
      <c r="BZ589" s="68">
        <v>125711</v>
      </c>
      <c r="CA589" s="69">
        <v>9906</v>
      </c>
      <c r="CB589" s="68">
        <v>131692</v>
      </c>
      <c r="CC589" s="68">
        <v>33823</v>
      </c>
      <c r="CD589" s="68">
        <v>141715</v>
      </c>
      <c r="CE589" s="72">
        <v>4851.0000000000009</v>
      </c>
      <c r="CF589" s="72">
        <v>6237</v>
      </c>
      <c r="CG589" s="70">
        <f t="shared" si="49"/>
        <v>5531.0640000000003</v>
      </c>
      <c r="CH589" s="70">
        <f t="shared" si="50"/>
        <v>416.05200000000002</v>
      </c>
      <c r="CI589" s="70">
        <f t="shared" si="51"/>
        <v>1420.566</v>
      </c>
      <c r="CJ589" s="70">
        <f t="shared" si="52"/>
        <v>6237.2939999999999</v>
      </c>
      <c r="CK589" s="70">
        <f t="shared" si="52"/>
        <v>5279.8620000000001</v>
      </c>
      <c r="CL589" s="70">
        <f t="shared" si="48"/>
        <v>5952.03</v>
      </c>
      <c r="CM589" s="61"/>
      <c r="CN589" s="61"/>
      <c r="CO589" s="61"/>
      <c r="CP589" s="61"/>
      <c r="CQ589" s="61"/>
      <c r="CR589" s="61"/>
      <c r="CS589" s="61"/>
      <c r="CT589" s="61"/>
      <c r="CU589" s="61"/>
      <c r="CV589" s="61"/>
      <c r="CW589" s="61"/>
      <c r="CX589" s="61"/>
      <c r="CY589" s="61"/>
      <c r="CZ589" s="61"/>
      <c r="DA589" s="61"/>
      <c r="DB589" s="61"/>
      <c r="DC589" s="61"/>
      <c r="DD589" s="61"/>
      <c r="DE589" s="61"/>
      <c r="DF589" s="61"/>
      <c r="DG589" s="61"/>
      <c r="DH589" s="61"/>
      <c r="DI589" s="61"/>
      <c r="DJ589" s="61"/>
      <c r="DK589" s="61"/>
      <c r="DL589" s="61"/>
      <c r="DM589" s="61"/>
      <c r="DN589" s="61"/>
      <c r="DO589" s="61"/>
      <c r="DP589" s="61"/>
      <c r="DQ589" s="61"/>
      <c r="DR589" s="61"/>
      <c r="DS589" s="61"/>
      <c r="DT589" s="61"/>
      <c r="DU589" s="61"/>
      <c r="DV589" s="61"/>
      <c r="DW589" s="61"/>
      <c r="DX589" s="61"/>
      <c r="DY589" s="61"/>
      <c r="DZ589" s="61"/>
      <c r="EA589" s="61"/>
      <c r="EB589" s="61"/>
      <c r="EC589" s="61"/>
      <c r="ED589" s="61"/>
      <c r="EE589" s="61"/>
      <c r="EF589" s="61"/>
      <c r="EG589" s="61"/>
      <c r="EH589" s="61"/>
      <c r="EI589" s="61"/>
      <c r="EJ589" s="61"/>
      <c r="EK589" s="61"/>
      <c r="EL589" s="61"/>
      <c r="EM589" s="61"/>
      <c r="EN589" s="61"/>
      <c r="EO589" s="61"/>
      <c r="EP589" s="61"/>
      <c r="EQ589" s="61"/>
      <c r="ER589" s="61"/>
      <c r="ES589" s="61"/>
      <c r="ET589" s="61"/>
      <c r="EU589" s="61"/>
      <c r="EV589" s="61"/>
      <c r="EW589" s="61"/>
    </row>
    <row r="590" spans="1:153">
      <c r="A590" s="56">
        <v>44531</v>
      </c>
      <c r="B590" s="57">
        <v>2021</v>
      </c>
      <c r="C590" s="71">
        <v>19.89</v>
      </c>
      <c r="D590" s="61">
        <v>0.27100000000000002</v>
      </c>
      <c r="E590" s="61">
        <v>3661.0239999999999</v>
      </c>
      <c r="F590" s="61">
        <v>153.76300000000001</v>
      </c>
      <c r="G590" s="61">
        <v>19.619</v>
      </c>
      <c r="H590" s="61">
        <v>696</v>
      </c>
      <c r="I590" s="61">
        <v>290.63299999999998</v>
      </c>
      <c r="J590" s="61">
        <v>405.36700000000002</v>
      </c>
      <c r="K590" s="61">
        <v>4187.4989999999998</v>
      </c>
      <c r="L590" s="61">
        <v>440.601</v>
      </c>
      <c r="M590" s="61">
        <v>3625.79</v>
      </c>
      <c r="N590" s="61">
        <v>152.28299999999999</v>
      </c>
      <c r="O590" s="71">
        <v>19.431000000000001</v>
      </c>
      <c r="P590" s="60">
        <v>190.881</v>
      </c>
      <c r="Q590" s="61">
        <v>224.09200000000001</v>
      </c>
      <c r="R590" s="61">
        <v>452.96699999999998</v>
      </c>
      <c r="S590" s="61">
        <v>1116.4090000000001</v>
      </c>
      <c r="T590" s="61">
        <v>208.381</v>
      </c>
      <c r="U590" s="61">
        <v>18.521000000000001</v>
      </c>
      <c r="V590" s="61">
        <v>84.114999999999995</v>
      </c>
      <c r="W590" s="61">
        <v>352.42500000000001</v>
      </c>
      <c r="X590" s="61">
        <v>178.708</v>
      </c>
      <c r="Y590" s="61">
        <v>37.994</v>
      </c>
      <c r="Z590" s="61">
        <v>209.36</v>
      </c>
      <c r="AA590" s="61">
        <v>426.06200000000001</v>
      </c>
      <c r="AB590" s="60">
        <v>1089.5039999999999</v>
      </c>
      <c r="AC590" s="62">
        <v>2719.9070000000002</v>
      </c>
      <c r="AD590" s="61">
        <v>114.236</v>
      </c>
      <c r="AE590" s="61">
        <v>14.943</v>
      </c>
      <c r="AF590" s="61">
        <v>493</v>
      </c>
      <c r="AG590" s="61">
        <v>2352.752</v>
      </c>
      <c r="AH590" s="61">
        <v>246.149</v>
      </c>
      <c r="AI590" s="61">
        <v>2966.7579999999998</v>
      </c>
      <c r="AJ590" s="61">
        <v>124.604</v>
      </c>
      <c r="AK590" s="62">
        <v>16.298999999999999</v>
      </c>
      <c r="AL590" s="63">
        <f t="shared" si="53"/>
        <v>124.604</v>
      </c>
      <c r="AM590" s="64">
        <v>16.298999999999999</v>
      </c>
      <c r="AN590" s="65" t="s">
        <v>121</v>
      </c>
      <c r="AO590" s="61" t="s">
        <v>121</v>
      </c>
      <c r="AP590" s="61">
        <v>260.57299999999998</v>
      </c>
      <c r="AQ590" s="61">
        <v>10.944000000000001</v>
      </c>
      <c r="AR590" s="61">
        <v>1.3959999999999999</v>
      </c>
      <c r="AS590" s="61" t="s">
        <v>122</v>
      </c>
      <c r="AT590" s="61">
        <v>82.546000000000006</v>
      </c>
      <c r="AU590" s="61">
        <v>13.784000000000001</v>
      </c>
      <c r="AV590" s="61">
        <v>246.78899999999999</v>
      </c>
      <c r="AW590" s="61">
        <v>10.365</v>
      </c>
      <c r="AX590" s="65">
        <v>1.323</v>
      </c>
      <c r="AY590" s="66">
        <v>3.363</v>
      </c>
      <c r="AZ590" s="61">
        <v>20.399999999999999</v>
      </c>
      <c r="BA590" s="61">
        <v>37.281999999999996</v>
      </c>
      <c r="BB590" s="61">
        <v>61.045000000000002</v>
      </c>
      <c r="BC590" s="61">
        <v>0.19700000000000001</v>
      </c>
      <c r="BD590" s="61">
        <v>2.1749999999999998</v>
      </c>
      <c r="BE590" s="61">
        <v>8.1690000000000005</v>
      </c>
      <c r="BF590" s="61">
        <v>0.14099999999999999</v>
      </c>
      <c r="BG590" s="61">
        <v>7.0880000000000001</v>
      </c>
      <c r="BH590" s="61">
        <v>3.3730000000000002</v>
      </c>
      <c r="BI590" s="61">
        <v>2.2879999999999998</v>
      </c>
      <c r="BJ590" s="61">
        <v>12.749000000000001</v>
      </c>
      <c r="BK590" s="66">
        <v>23.431000000000001</v>
      </c>
      <c r="BL590" s="67">
        <v>95.356999999999999</v>
      </c>
      <c r="BM590" s="61">
        <v>19.431000000000001</v>
      </c>
      <c r="BN590" s="61">
        <v>16.298999999999999</v>
      </c>
      <c r="BO590" s="61">
        <v>1.323</v>
      </c>
      <c r="BP590" s="61">
        <v>132.41</v>
      </c>
      <c r="BQ590" s="61">
        <v>207.56100000000001</v>
      </c>
      <c r="BR590" s="61">
        <v>12.627000000000001</v>
      </c>
      <c r="BS590" s="61">
        <v>53.543999999999997</v>
      </c>
      <c r="BT590" s="61">
        <v>352.17</v>
      </c>
      <c r="BU590" s="61">
        <v>16.844999999999999</v>
      </c>
      <c r="BV590" s="61">
        <v>20.007000000000001</v>
      </c>
      <c r="BW590" s="61">
        <v>36.853000000000002</v>
      </c>
      <c r="BX590" s="67">
        <v>662.755</v>
      </c>
      <c r="BY590" s="68">
        <v>152713</v>
      </c>
      <c r="BZ590" s="68">
        <v>122453</v>
      </c>
      <c r="CA590" s="69">
        <v>9038</v>
      </c>
      <c r="CB590" s="68">
        <v>130039</v>
      </c>
      <c r="CC590" s="68">
        <v>40950</v>
      </c>
      <c r="CD590" s="68">
        <v>145591</v>
      </c>
      <c r="CE590" s="72">
        <v>4491.9000000000005</v>
      </c>
      <c r="CF590" s="72">
        <v>6418.86</v>
      </c>
      <c r="CG590" s="70">
        <f t="shared" si="49"/>
        <v>5461.6379999999999</v>
      </c>
      <c r="CH590" s="70">
        <f t="shared" si="50"/>
        <v>379.596</v>
      </c>
      <c r="CI590" s="70">
        <f t="shared" si="51"/>
        <v>1719.9</v>
      </c>
      <c r="CJ590" s="70">
        <f t="shared" si="52"/>
        <v>6413.9459999999999</v>
      </c>
      <c r="CK590" s="70">
        <f t="shared" si="52"/>
        <v>5143.0259999999998</v>
      </c>
      <c r="CL590" s="70">
        <f t="shared" si="48"/>
        <v>6114.8220000000001</v>
      </c>
      <c r="CM590" s="61"/>
      <c r="CN590" s="61"/>
      <c r="CO590" s="61"/>
      <c r="CP590" s="61"/>
      <c r="CQ590" s="61"/>
      <c r="CR590" s="61"/>
      <c r="CS590" s="61"/>
      <c r="CT590" s="61"/>
      <c r="CU590" s="61"/>
      <c r="CV590" s="61"/>
      <c r="CW590" s="61"/>
      <c r="CX590" s="61"/>
      <c r="CY590" s="61"/>
      <c r="CZ590" s="61"/>
      <c r="DA590" s="61"/>
      <c r="DB590" s="61"/>
      <c r="DC590" s="61"/>
      <c r="DD590" s="61"/>
      <c r="DE590" s="61"/>
      <c r="DF590" s="61"/>
      <c r="DG590" s="61"/>
      <c r="DH590" s="61"/>
      <c r="DI590" s="61"/>
      <c r="DJ590" s="61"/>
      <c r="DK590" s="61"/>
      <c r="DL590" s="61"/>
      <c r="DM590" s="61"/>
      <c r="DN590" s="61"/>
      <c r="DO590" s="61"/>
      <c r="DP590" s="61"/>
      <c r="DQ590" s="61"/>
      <c r="DR590" s="61"/>
      <c r="DS590" s="61"/>
      <c r="DT590" s="61"/>
      <c r="DU590" s="61"/>
      <c r="DV590" s="61"/>
      <c r="DW590" s="61"/>
      <c r="DX590" s="61"/>
      <c r="DY590" s="61"/>
      <c r="DZ590" s="61"/>
      <c r="EA590" s="61"/>
      <c r="EB590" s="61"/>
      <c r="EC590" s="61"/>
      <c r="ED590" s="61"/>
      <c r="EE590" s="61"/>
      <c r="EF590" s="61"/>
      <c r="EG590" s="61"/>
      <c r="EH590" s="61"/>
      <c r="EI590" s="61"/>
      <c r="EJ590" s="61"/>
      <c r="EK590" s="61"/>
      <c r="EL590" s="61"/>
      <c r="EM590" s="61"/>
      <c r="EN590" s="61"/>
      <c r="EO590" s="61"/>
      <c r="EP590" s="61"/>
      <c r="EQ590" s="61"/>
      <c r="ER590" s="61"/>
      <c r="ES590" s="61"/>
      <c r="ET590" s="61"/>
      <c r="EU590" s="61"/>
      <c r="EV590" s="61"/>
      <c r="EW590" s="61"/>
    </row>
    <row r="591" spans="1:153">
      <c r="A591" s="56">
        <v>44562</v>
      </c>
      <c r="B591" s="57">
        <v>2022</v>
      </c>
      <c r="C591" s="71">
        <v>15.521000000000001</v>
      </c>
      <c r="D591" s="61">
        <v>0.21099999999999999</v>
      </c>
      <c r="E591" s="61">
        <v>2856.828</v>
      </c>
      <c r="F591" s="61">
        <v>119.98699999999999</v>
      </c>
      <c r="G591" s="61">
        <v>15.31</v>
      </c>
      <c r="H591" s="61">
        <v>388</v>
      </c>
      <c r="I591" s="61">
        <v>208.91</v>
      </c>
      <c r="J591" s="61">
        <v>179.09</v>
      </c>
      <c r="K591" s="61">
        <v>4543.5609999999997</v>
      </c>
      <c r="L591" s="61">
        <v>356.06299999999999</v>
      </c>
      <c r="M591" s="61">
        <v>2679.855</v>
      </c>
      <c r="N591" s="61">
        <v>112.554</v>
      </c>
      <c r="O591" s="71">
        <v>14.361000000000001</v>
      </c>
      <c r="P591" s="60">
        <v>184.39400000000001</v>
      </c>
      <c r="Q591" s="61">
        <v>214.13399999999999</v>
      </c>
      <c r="R591" s="61">
        <v>435.12400000000002</v>
      </c>
      <c r="S591" s="61">
        <v>697.54200000000003</v>
      </c>
      <c r="T591" s="61">
        <v>82.561999999999998</v>
      </c>
      <c r="U591" s="61">
        <v>10.409000000000001</v>
      </c>
      <c r="V591" s="61">
        <v>41.781999999999996</v>
      </c>
      <c r="W591" s="61">
        <v>127.664</v>
      </c>
      <c r="X591" s="61">
        <v>174.51400000000001</v>
      </c>
      <c r="Y591" s="61">
        <v>36.595999999999997</v>
      </c>
      <c r="Z591" s="61">
        <v>192.65299999999999</v>
      </c>
      <c r="AA591" s="61">
        <v>403.76299999999998</v>
      </c>
      <c r="AB591" s="60">
        <v>666.18100000000004</v>
      </c>
      <c r="AC591" s="62">
        <v>2632.4169999999999</v>
      </c>
      <c r="AD591" s="61">
        <v>110.562</v>
      </c>
      <c r="AE591" s="61">
        <v>14.462</v>
      </c>
      <c r="AF591" s="61">
        <v>632</v>
      </c>
      <c r="AG591" s="61">
        <v>2709.7170000000001</v>
      </c>
      <c r="AH591" s="61">
        <v>356.96499999999997</v>
      </c>
      <c r="AI591" s="61">
        <v>2907.4520000000002</v>
      </c>
      <c r="AJ591" s="61">
        <v>122.113</v>
      </c>
      <c r="AK591" s="62">
        <v>15.974</v>
      </c>
      <c r="AL591" s="63">
        <f t="shared" si="53"/>
        <v>122.113</v>
      </c>
      <c r="AM591" s="64">
        <v>15.974</v>
      </c>
      <c r="AN591" s="65" t="s">
        <v>121</v>
      </c>
      <c r="AO591" s="61" t="s">
        <v>121</v>
      </c>
      <c r="AP591" s="61">
        <v>307.82400000000001</v>
      </c>
      <c r="AQ591" s="61">
        <v>12.929</v>
      </c>
      <c r="AR591" s="61">
        <v>1.65</v>
      </c>
      <c r="AS591" s="61" t="s">
        <v>122</v>
      </c>
      <c r="AT591" s="61">
        <v>211.101</v>
      </c>
      <c r="AU591" s="61">
        <v>128.55500000000001</v>
      </c>
      <c r="AV591" s="61">
        <v>179.26900000000001</v>
      </c>
      <c r="AW591" s="61">
        <v>7.5289999999999999</v>
      </c>
      <c r="AX591" s="65">
        <v>0.96099999999999997</v>
      </c>
      <c r="AY591" s="66">
        <v>3.363</v>
      </c>
      <c r="AZ591" s="61">
        <v>21.646999999999998</v>
      </c>
      <c r="BA591" s="61">
        <v>45.771999999999998</v>
      </c>
      <c r="BB591" s="61">
        <v>70.783000000000001</v>
      </c>
      <c r="BC591" s="61">
        <v>0.255</v>
      </c>
      <c r="BD591" s="61">
        <v>2.173</v>
      </c>
      <c r="BE591" s="61">
        <v>9.0069999999999997</v>
      </c>
      <c r="BF591" s="61">
        <v>0.152</v>
      </c>
      <c r="BG591" s="61">
        <v>7.0759999999999996</v>
      </c>
      <c r="BH591" s="61">
        <v>3.24</v>
      </c>
      <c r="BI591" s="61">
        <v>2.0630000000000002</v>
      </c>
      <c r="BJ591" s="61">
        <v>12.378</v>
      </c>
      <c r="BK591" s="66">
        <v>23.965</v>
      </c>
      <c r="BL591" s="67">
        <v>85.96</v>
      </c>
      <c r="BM591" s="61">
        <v>10.555999999999999</v>
      </c>
      <c r="BN591" s="61">
        <v>15.974</v>
      </c>
      <c r="BO591" s="61">
        <v>0.96099999999999997</v>
      </c>
      <c r="BP591" s="61">
        <v>113.45</v>
      </c>
      <c r="BQ591" s="61">
        <v>230.85</v>
      </c>
      <c r="BR591" s="61">
        <v>13.35</v>
      </c>
      <c r="BS591" s="61">
        <v>71.756</v>
      </c>
      <c r="BT591" s="61">
        <v>336.53</v>
      </c>
      <c r="BU591" s="61">
        <v>16.527999999999999</v>
      </c>
      <c r="BV591" s="61">
        <v>18.850999999999999</v>
      </c>
      <c r="BW591" s="61">
        <v>35.378999999999998</v>
      </c>
      <c r="BX591" s="67">
        <v>687.86400000000003</v>
      </c>
      <c r="BY591" s="68">
        <v>144783</v>
      </c>
      <c r="BZ591" s="68">
        <v>127991</v>
      </c>
      <c r="CA591" s="69">
        <v>7496</v>
      </c>
      <c r="CB591" s="68">
        <v>125282</v>
      </c>
      <c r="CC591" s="68">
        <v>29044</v>
      </c>
      <c r="CD591" s="68">
        <v>137197</v>
      </c>
      <c r="CE591" s="72">
        <v>4557</v>
      </c>
      <c r="CF591" s="72">
        <v>6080.3399999999992</v>
      </c>
      <c r="CG591" s="70">
        <f t="shared" si="49"/>
        <v>5261.8440000000001</v>
      </c>
      <c r="CH591" s="70">
        <f t="shared" si="50"/>
        <v>314.83199999999999</v>
      </c>
      <c r="CI591" s="70">
        <f t="shared" si="51"/>
        <v>1219.848</v>
      </c>
      <c r="CJ591" s="70">
        <f t="shared" si="52"/>
        <v>6080.8860000000004</v>
      </c>
      <c r="CK591" s="70">
        <f t="shared" si="52"/>
        <v>5375.6220000000003</v>
      </c>
      <c r="CL591" s="70">
        <f t="shared" si="48"/>
        <v>5762.2740000000003</v>
      </c>
      <c r="CM591" s="61"/>
      <c r="CN591" s="61"/>
      <c r="CO591" s="61"/>
      <c r="CP591" s="61"/>
      <c r="CQ591" s="61"/>
      <c r="CR591" s="61"/>
      <c r="CS591" s="61"/>
      <c r="CT591" s="61"/>
      <c r="CU591" s="61"/>
      <c r="CV591" s="61"/>
      <c r="CW591" s="61"/>
      <c r="CX591" s="61"/>
      <c r="CY591" s="61"/>
      <c r="CZ591" s="61"/>
      <c r="DA591" s="61"/>
      <c r="DB591" s="61"/>
      <c r="DC591" s="61"/>
      <c r="DD591" s="61"/>
      <c r="DE591" s="61"/>
      <c r="DF591" s="61"/>
      <c r="DG591" s="61"/>
      <c r="DH591" s="61"/>
      <c r="DI591" s="61"/>
      <c r="DJ591" s="61"/>
      <c r="DK591" s="61"/>
      <c r="DL591" s="61"/>
      <c r="DM591" s="61"/>
      <c r="DN591" s="61"/>
      <c r="DO591" s="61"/>
      <c r="DP591" s="61"/>
      <c r="DQ591" s="61"/>
      <c r="DR591" s="61"/>
      <c r="DS591" s="61"/>
      <c r="DT591" s="61"/>
      <c r="DU591" s="61"/>
      <c r="DV591" s="61"/>
      <c r="DW591" s="61"/>
      <c r="DX591" s="61"/>
      <c r="DY591" s="61"/>
      <c r="DZ591" s="61"/>
      <c r="EA591" s="61"/>
      <c r="EB591" s="61"/>
      <c r="EC591" s="61"/>
      <c r="ED591" s="61"/>
      <c r="EE591" s="61"/>
      <c r="EF591" s="61"/>
      <c r="EG591" s="61"/>
      <c r="EH591" s="61"/>
      <c r="EI591" s="61"/>
      <c r="EJ591" s="61"/>
      <c r="EK591" s="61"/>
      <c r="EL591" s="61"/>
      <c r="EM591" s="61"/>
      <c r="EN591" s="61"/>
      <c r="EO591" s="61"/>
      <c r="EP591" s="61"/>
      <c r="EQ591" s="61"/>
      <c r="ER591" s="61"/>
      <c r="ES591" s="61"/>
      <c r="ET591" s="61"/>
      <c r="EU591" s="61"/>
      <c r="EV591" s="61"/>
      <c r="EW591" s="61"/>
    </row>
    <row r="592" spans="1:153">
      <c r="A592" s="56">
        <v>44593</v>
      </c>
      <c r="B592" s="57">
        <v>2022</v>
      </c>
      <c r="C592" s="71">
        <v>14.706</v>
      </c>
      <c r="D592" s="61">
        <v>0.2</v>
      </c>
      <c r="E592" s="61">
        <v>2706.7950000000001</v>
      </c>
      <c r="F592" s="61">
        <v>113.685</v>
      </c>
      <c r="G592" s="61">
        <v>14.506</v>
      </c>
      <c r="H592" s="61">
        <v>121</v>
      </c>
      <c r="I592" s="61">
        <v>123.807</v>
      </c>
      <c r="J592" s="61">
        <v>-2.8069999999999999</v>
      </c>
      <c r="K592" s="61">
        <v>4457.3140000000003</v>
      </c>
      <c r="L592" s="61">
        <v>-86.247</v>
      </c>
      <c r="M592" s="61">
        <v>2790.2350000000001</v>
      </c>
      <c r="N592" s="61">
        <v>117.19</v>
      </c>
      <c r="O592" s="71">
        <v>14.952999999999999</v>
      </c>
      <c r="P592" s="60">
        <v>171.215</v>
      </c>
      <c r="Q592" s="61">
        <v>189.673</v>
      </c>
      <c r="R592" s="61">
        <v>394.15100000000001</v>
      </c>
      <c r="S592" s="61">
        <v>651.86800000000005</v>
      </c>
      <c r="T592" s="61">
        <v>72.745999999999995</v>
      </c>
      <c r="U592" s="61">
        <v>9.1120000000000001</v>
      </c>
      <c r="V592" s="61">
        <v>47.414999999999999</v>
      </c>
      <c r="W592" s="61">
        <v>128.44300000000001</v>
      </c>
      <c r="X592" s="61">
        <v>159.46199999999999</v>
      </c>
      <c r="Y592" s="61">
        <v>33.262999999999998</v>
      </c>
      <c r="Z592" s="61">
        <v>177.31200000000001</v>
      </c>
      <c r="AA592" s="61">
        <v>370.036</v>
      </c>
      <c r="AB592" s="60">
        <v>627.75300000000004</v>
      </c>
      <c r="AC592" s="62">
        <v>2299.5349999999999</v>
      </c>
      <c r="AD592" s="61">
        <v>96.58</v>
      </c>
      <c r="AE592" s="61">
        <v>12.634</v>
      </c>
      <c r="AF592" s="61">
        <v>359</v>
      </c>
      <c r="AG592" s="61">
        <v>2748.0439999999999</v>
      </c>
      <c r="AH592" s="61">
        <v>38.326999999999998</v>
      </c>
      <c r="AI592" s="61">
        <v>2620.2080000000001</v>
      </c>
      <c r="AJ592" s="61">
        <v>110.04900000000001</v>
      </c>
      <c r="AK592" s="62">
        <v>14.395</v>
      </c>
      <c r="AL592" s="63">
        <f t="shared" si="53"/>
        <v>110.04900000000001</v>
      </c>
      <c r="AM592" s="64">
        <v>14.395</v>
      </c>
      <c r="AN592" s="65" t="s">
        <v>121</v>
      </c>
      <c r="AO592" s="61" t="s">
        <v>121</v>
      </c>
      <c r="AP592" s="61">
        <v>305.93299999999999</v>
      </c>
      <c r="AQ592" s="61">
        <v>12.849</v>
      </c>
      <c r="AR592" s="61">
        <v>1.639</v>
      </c>
      <c r="AS592" s="61" t="s">
        <v>122</v>
      </c>
      <c r="AT592" s="61">
        <v>290.27999999999997</v>
      </c>
      <c r="AU592" s="61">
        <v>79.179000000000002</v>
      </c>
      <c r="AV592" s="61">
        <v>226.75399999999999</v>
      </c>
      <c r="AW592" s="61">
        <v>9.5239999999999991</v>
      </c>
      <c r="AX592" s="65">
        <v>1.2150000000000001</v>
      </c>
      <c r="AY592" s="66">
        <v>3.0379999999999998</v>
      </c>
      <c r="AZ592" s="61">
        <v>23.911000000000001</v>
      </c>
      <c r="BA592" s="61">
        <v>41.343000000000004</v>
      </c>
      <c r="BB592" s="61">
        <v>68.292000000000002</v>
      </c>
      <c r="BC592" s="61">
        <v>0.218</v>
      </c>
      <c r="BD592" s="61">
        <v>1.9370000000000001</v>
      </c>
      <c r="BE592" s="61">
        <v>9.9350000000000005</v>
      </c>
      <c r="BF592" s="61">
        <v>0.153</v>
      </c>
      <c r="BG592" s="61">
        <v>6.4189999999999996</v>
      </c>
      <c r="BH592" s="61">
        <v>2.8940000000000001</v>
      </c>
      <c r="BI592" s="61">
        <v>1.94</v>
      </c>
      <c r="BJ592" s="61">
        <v>11.252000000000001</v>
      </c>
      <c r="BK592" s="66">
        <v>23.495000000000001</v>
      </c>
      <c r="BL592" s="67">
        <v>80.834999999999994</v>
      </c>
      <c r="BM592" s="61">
        <v>14.265000000000001</v>
      </c>
      <c r="BN592" s="61">
        <v>14.395</v>
      </c>
      <c r="BO592" s="61">
        <v>1.2150000000000001</v>
      </c>
      <c r="BP592" s="61">
        <v>110.711</v>
      </c>
      <c r="BQ592" s="61">
        <v>201.68899999999999</v>
      </c>
      <c r="BR592" s="61">
        <v>11.163</v>
      </c>
      <c r="BS592" s="61">
        <v>81.977999999999994</v>
      </c>
      <c r="BT592" s="61">
        <v>335.67700000000002</v>
      </c>
      <c r="BU592" s="61">
        <v>18.001999999999999</v>
      </c>
      <c r="BV592" s="61">
        <v>17.375</v>
      </c>
      <c r="BW592" s="61">
        <v>35.377000000000002</v>
      </c>
      <c r="BX592" s="67">
        <v>665.88499999999999</v>
      </c>
      <c r="BY592" s="68">
        <v>131100</v>
      </c>
      <c r="BZ592" s="68">
        <v>122217</v>
      </c>
      <c r="CA592" s="69">
        <v>11177</v>
      </c>
      <c r="CB592" s="68">
        <v>120610</v>
      </c>
      <c r="CC592" s="68">
        <v>24735</v>
      </c>
      <c r="CD592" s="68">
        <v>124616</v>
      </c>
      <c r="CE592" s="72">
        <v>4421.7599999999993</v>
      </c>
      <c r="CF592" s="72">
        <v>5503.68</v>
      </c>
      <c r="CG592" s="70">
        <f t="shared" si="49"/>
        <v>5065.62</v>
      </c>
      <c r="CH592" s="70">
        <f t="shared" si="50"/>
        <v>469.43400000000003</v>
      </c>
      <c r="CI592" s="70">
        <f t="shared" si="51"/>
        <v>1038.8699999999999</v>
      </c>
      <c r="CJ592" s="70">
        <f t="shared" si="52"/>
        <v>5506.2</v>
      </c>
      <c r="CK592" s="70">
        <f t="shared" si="52"/>
        <v>5133.1139999999996</v>
      </c>
      <c r="CL592" s="70">
        <f t="shared" si="48"/>
        <v>5233.8720000000003</v>
      </c>
      <c r="CM592" s="61"/>
      <c r="CN592" s="61"/>
      <c r="CO592" s="61"/>
      <c r="CP592" s="61"/>
      <c r="CQ592" s="61"/>
      <c r="CR592" s="61"/>
      <c r="CS592" s="61"/>
      <c r="CT592" s="61"/>
      <c r="CU592" s="61"/>
      <c r="CV592" s="61"/>
      <c r="CW592" s="61"/>
      <c r="CX592" s="61"/>
      <c r="CY592" s="61"/>
      <c r="CZ592" s="61"/>
      <c r="DA592" s="61"/>
      <c r="DB592" s="61"/>
      <c r="DC592" s="61"/>
      <c r="DD592" s="61"/>
      <c r="DE592" s="61"/>
      <c r="DF592" s="61"/>
      <c r="DG592" s="61"/>
      <c r="DH592" s="61"/>
      <c r="DI592" s="61"/>
      <c r="DJ592" s="61"/>
      <c r="DK592" s="61"/>
      <c r="DL592" s="61"/>
      <c r="DM592" s="61"/>
      <c r="DN592" s="61"/>
      <c r="DO592" s="61"/>
      <c r="DP592" s="61"/>
      <c r="DQ592" s="61"/>
      <c r="DR592" s="61"/>
      <c r="DS592" s="61"/>
      <c r="DT592" s="61"/>
      <c r="DU592" s="61"/>
      <c r="DV592" s="61"/>
      <c r="DW592" s="61"/>
      <c r="DX592" s="61"/>
      <c r="DY592" s="61"/>
      <c r="DZ592" s="61"/>
      <c r="EA592" s="61"/>
      <c r="EB592" s="61"/>
      <c r="EC592" s="61"/>
      <c r="ED592" s="61"/>
      <c r="EE592" s="61"/>
      <c r="EF592" s="61"/>
      <c r="EG592" s="61"/>
      <c r="EH592" s="61"/>
      <c r="EI592" s="61"/>
      <c r="EJ592" s="61"/>
      <c r="EK592" s="61"/>
      <c r="EL592" s="61"/>
      <c r="EM592" s="61"/>
      <c r="EN592" s="61"/>
      <c r="EO592" s="61"/>
      <c r="EP592" s="61"/>
      <c r="EQ592" s="61"/>
      <c r="ER592" s="61"/>
      <c r="ES592" s="61"/>
      <c r="ET592" s="61"/>
      <c r="EU592" s="61"/>
      <c r="EV592" s="61"/>
      <c r="EW592" s="61"/>
    </row>
    <row r="593" spans="1:153">
      <c r="A593" s="56">
        <v>44621</v>
      </c>
      <c r="B593" s="57">
        <v>2022</v>
      </c>
      <c r="C593" s="71">
        <v>17.172999999999998</v>
      </c>
      <c r="D593" s="61">
        <v>0.23400000000000001</v>
      </c>
      <c r="E593" s="61">
        <v>3160.8330000000001</v>
      </c>
      <c r="F593" s="61">
        <v>132.755</v>
      </c>
      <c r="G593" s="61">
        <v>16.939</v>
      </c>
      <c r="H593" s="61">
        <v>636</v>
      </c>
      <c r="I593" s="61">
        <v>170.934</v>
      </c>
      <c r="J593" s="61">
        <v>465.06599999999997</v>
      </c>
      <c r="K593" s="61">
        <v>4691.7960000000003</v>
      </c>
      <c r="L593" s="61">
        <v>234.482</v>
      </c>
      <c r="M593" s="61">
        <v>3391.4169999999999</v>
      </c>
      <c r="N593" s="61">
        <v>142.44</v>
      </c>
      <c r="O593" s="71">
        <v>18.175000000000001</v>
      </c>
      <c r="P593" s="60">
        <v>181.26900000000001</v>
      </c>
      <c r="Q593" s="61">
        <v>212.36600000000001</v>
      </c>
      <c r="R593" s="61">
        <v>430.40300000000002</v>
      </c>
      <c r="S593" s="61">
        <v>733.17700000000002</v>
      </c>
      <c r="T593" s="61">
        <v>83.376999999999995</v>
      </c>
      <c r="U593" s="61">
        <v>9.782</v>
      </c>
      <c r="V593" s="61">
        <v>62.793999999999997</v>
      </c>
      <c r="W593" s="61">
        <v>146.82</v>
      </c>
      <c r="X593" s="61">
        <v>168.67</v>
      </c>
      <c r="Y593" s="61">
        <v>36.768000000000001</v>
      </c>
      <c r="Z593" s="61">
        <v>206.87799999999999</v>
      </c>
      <c r="AA593" s="61">
        <v>412.31599999999997</v>
      </c>
      <c r="AB593" s="60">
        <v>715.08900000000006</v>
      </c>
      <c r="AC593" s="62">
        <v>2596.0149999999999</v>
      </c>
      <c r="AD593" s="61">
        <v>109.033</v>
      </c>
      <c r="AE593" s="61">
        <v>14.263</v>
      </c>
      <c r="AF593" s="61">
        <v>555</v>
      </c>
      <c r="AG593" s="61">
        <v>2705.375</v>
      </c>
      <c r="AH593" s="61">
        <v>-42.668999999999997</v>
      </c>
      <c r="AI593" s="61">
        <v>3193.6840000000002</v>
      </c>
      <c r="AJ593" s="61">
        <v>134.13499999999999</v>
      </c>
      <c r="AK593" s="62">
        <v>17.545999999999999</v>
      </c>
      <c r="AL593" s="63">
        <f t="shared" si="53"/>
        <v>134.13499999999999</v>
      </c>
      <c r="AM593" s="64">
        <v>17.545999999999999</v>
      </c>
      <c r="AN593" s="65" t="s">
        <v>121</v>
      </c>
      <c r="AO593" s="61" t="s">
        <v>121</v>
      </c>
      <c r="AP593" s="61">
        <v>278.67500000000001</v>
      </c>
      <c r="AQ593" s="61">
        <v>11.704000000000001</v>
      </c>
      <c r="AR593" s="61">
        <v>1.4930000000000001</v>
      </c>
      <c r="AS593" s="61" t="s">
        <v>122</v>
      </c>
      <c r="AT593" s="61">
        <v>292.08499999999998</v>
      </c>
      <c r="AU593" s="61">
        <v>1.8049999999999999</v>
      </c>
      <c r="AV593" s="61">
        <v>276.87</v>
      </c>
      <c r="AW593" s="61">
        <v>11.629</v>
      </c>
      <c r="AX593" s="65">
        <v>1.484</v>
      </c>
      <c r="AY593" s="66">
        <v>3.363</v>
      </c>
      <c r="AZ593" s="61">
        <v>32.694000000000003</v>
      </c>
      <c r="BA593" s="61">
        <v>45.771999999999998</v>
      </c>
      <c r="BB593" s="61">
        <v>81.83</v>
      </c>
      <c r="BC593" s="61" t="s">
        <v>143</v>
      </c>
      <c r="BD593" s="61">
        <v>2.0819999999999999</v>
      </c>
      <c r="BE593" s="61">
        <v>13.505000000000001</v>
      </c>
      <c r="BF593" s="61">
        <v>0.16500000000000001</v>
      </c>
      <c r="BG593" s="61">
        <v>6.99</v>
      </c>
      <c r="BH593" s="61">
        <v>3.2719999999999998</v>
      </c>
      <c r="BI593" s="61">
        <v>2.2829999999999999</v>
      </c>
      <c r="BJ593" s="61">
        <v>12.545</v>
      </c>
      <c r="BK593" s="66">
        <v>28.516999999999999</v>
      </c>
      <c r="BL593" s="67">
        <v>95.153999999999996</v>
      </c>
      <c r="BM593" s="61">
        <v>17.486999999999998</v>
      </c>
      <c r="BN593" s="61">
        <v>17.545999999999999</v>
      </c>
      <c r="BO593" s="61">
        <v>1.484</v>
      </c>
      <c r="BP593" s="61">
        <v>131.67099999999999</v>
      </c>
      <c r="BQ593" s="61">
        <v>223.28299999999999</v>
      </c>
      <c r="BR593" s="61">
        <v>11.762</v>
      </c>
      <c r="BS593" s="61">
        <v>104.515</v>
      </c>
      <c r="BT593" s="61">
        <v>380.14</v>
      </c>
      <c r="BU593" s="61">
        <v>16.452000000000002</v>
      </c>
      <c r="BV593" s="61">
        <v>18.872</v>
      </c>
      <c r="BW593" s="61">
        <v>35.323999999999998</v>
      </c>
      <c r="BX593" s="67">
        <v>755.02300000000002</v>
      </c>
      <c r="BY593" s="68">
        <v>155127</v>
      </c>
      <c r="BZ593" s="68">
        <v>129680</v>
      </c>
      <c r="CA593" s="69">
        <v>5855</v>
      </c>
      <c r="CB593" s="68">
        <v>114658</v>
      </c>
      <c r="CC593" s="68">
        <v>37257</v>
      </c>
      <c r="CD593" s="68">
        <v>146641</v>
      </c>
      <c r="CE593" s="72">
        <v>4973.6400000000003</v>
      </c>
      <c r="CF593" s="72">
        <v>6510</v>
      </c>
      <c r="CG593" s="70">
        <f t="shared" si="49"/>
        <v>4815.6360000000004</v>
      </c>
      <c r="CH593" s="70">
        <f t="shared" si="50"/>
        <v>245.91</v>
      </c>
      <c r="CI593" s="70">
        <f t="shared" si="51"/>
        <v>1564.7940000000001</v>
      </c>
      <c r="CJ593" s="70">
        <f t="shared" si="52"/>
        <v>6515.3339999999998</v>
      </c>
      <c r="CK593" s="70">
        <f t="shared" si="52"/>
        <v>5446.56</v>
      </c>
      <c r="CL593" s="70">
        <f t="shared" si="48"/>
        <v>6158.9219999999996</v>
      </c>
      <c r="CM593" s="61"/>
      <c r="CN593" s="61"/>
      <c r="CO593" s="61"/>
      <c r="CP593" s="61"/>
      <c r="CQ593" s="61"/>
      <c r="CR593" s="61"/>
      <c r="CS593" s="61"/>
      <c r="CT593" s="61"/>
      <c r="CU593" s="61"/>
      <c r="CV593" s="61"/>
      <c r="CW593" s="61"/>
      <c r="CX593" s="61"/>
      <c r="CY593" s="61"/>
      <c r="CZ593" s="61"/>
      <c r="DA593" s="61"/>
      <c r="DB593" s="61"/>
      <c r="DC593" s="61"/>
      <c r="DD593" s="61"/>
      <c r="DE593" s="61"/>
      <c r="DF593" s="61"/>
      <c r="DG593" s="61"/>
      <c r="DH593" s="61"/>
      <c r="DI593" s="61"/>
      <c r="DJ593" s="61"/>
      <c r="DK593" s="61"/>
      <c r="DL593" s="61"/>
      <c r="DM593" s="61"/>
      <c r="DN593" s="61"/>
      <c r="DO593" s="61"/>
      <c r="DP593" s="61"/>
      <c r="DQ593" s="61"/>
      <c r="DR593" s="61"/>
      <c r="DS593" s="61"/>
      <c r="DT593" s="61"/>
      <c r="DU593" s="61"/>
      <c r="DV593" s="61"/>
      <c r="DW593" s="61"/>
      <c r="DX593" s="61"/>
      <c r="DY593" s="61"/>
      <c r="DZ593" s="61"/>
      <c r="EA593" s="61"/>
      <c r="EB593" s="61"/>
      <c r="EC593" s="61"/>
      <c r="ED593" s="61"/>
      <c r="EE593" s="61"/>
      <c r="EF593" s="61"/>
      <c r="EG593" s="61"/>
      <c r="EH593" s="61"/>
      <c r="EI593" s="61"/>
      <c r="EJ593" s="61"/>
      <c r="EK593" s="61"/>
      <c r="EL593" s="61"/>
      <c r="EM593" s="61"/>
      <c r="EN593" s="61"/>
      <c r="EO593" s="61"/>
      <c r="EP593" s="61"/>
      <c r="EQ593" s="61"/>
      <c r="ER593" s="61"/>
      <c r="ES593" s="61"/>
      <c r="ET593" s="61"/>
      <c r="EU593" s="61"/>
      <c r="EV593" s="61"/>
      <c r="EW593" s="61"/>
    </row>
    <row r="594" spans="1:153">
      <c r="A594" s="56">
        <v>44652</v>
      </c>
      <c r="B594" s="57">
        <v>2022</v>
      </c>
      <c r="C594" s="71">
        <v>16.395</v>
      </c>
      <c r="D594" s="61">
        <v>0.223</v>
      </c>
      <c r="E594" s="61">
        <v>3017.6770000000001</v>
      </c>
      <c r="F594" s="61">
        <v>126.742</v>
      </c>
      <c r="G594" s="61">
        <v>16.172000000000001</v>
      </c>
      <c r="H594" s="61">
        <v>672</v>
      </c>
      <c r="I594" s="61">
        <v>632.46299999999997</v>
      </c>
      <c r="J594" s="61">
        <v>39.536999999999999</v>
      </c>
      <c r="K594" s="61">
        <v>4212.4979999999996</v>
      </c>
      <c r="L594" s="61">
        <v>-479.298</v>
      </c>
      <c r="M594" s="61">
        <v>3536.5120000000002</v>
      </c>
      <c r="N594" s="61">
        <v>148.53399999999999</v>
      </c>
      <c r="O594" s="71">
        <v>18.952000000000002</v>
      </c>
      <c r="P594" s="60">
        <v>173.226</v>
      </c>
      <c r="Q594" s="61">
        <v>198.5</v>
      </c>
      <c r="R594" s="61">
        <v>405.815</v>
      </c>
      <c r="S594" s="61">
        <v>712.47400000000005</v>
      </c>
      <c r="T594" s="61">
        <v>68.465000000000003</v>
      </c>
      <c r="U594" s="61">
        <v>9.5939999999999994</v>
      </c>
      <c r="V594" s="61">
        <v>71.078000000000003</v>
      </c>
      <c r="W594" s="61">
        <v>157.52199999999999</v>
      </c>
      <c r="X594" s="61">
        <v>163.904</v>
      </c>
      <c r="Y594" s="61">
        <v>34.088999999999999</v>
      </c>
      <c r="Z594" s="61">
        <v>195.256</v>
      </c>
      <c r="AA594" s="61">
        <v>393.24900000000002</v>
      </c>
      <c r="AB594" s="60">
        <v>699.90700000000004</v>
      </c>
      <c r="AC594" s="62">
        <v>2837.0349999999999</v>
      </c>
      <c r="AD594" s="61">
        <v>119.155</v>
      </c>
      <c r="AE594" s="61">
        <v>15.587</v>
      </c>
      <c r="AF594" s="61">
        <v>392</v>
      </c>
      <c r="AG594" s="61">
        <v>2872.1909999999998</v>
      </c>
      <c r="AH594" s="61">
        <v>166.81700000000001</v>
      </c>
      <c r="AI594" s="61">
        <v>3062.2179999999998</v>
      </c>
      <c r="AJ594" s="61">
        <v>128.613</v>
      </c>
      <c r="AK594" s="62">
        <v>16.824000000000002</v>
      </c>
      <c r="AL594" s="63">
        <f t="shared" si="53"/>
        <v>128.613</v>
      </c>
      <c r="AM594" s="64">
        <v>16.824000000000002</v>
      </c>
      <c r="AN594" s="65" t="s">
        <v>121</v>
      </c>
      <c r="AO594" s="61" t="s">
        <v>121</v>
      </c>
      <c r="AP594" s="61">
        <v>326.77300000000002</v>
      </c>
      <c r="AQ594" s="61">
        <v>13.724</v>
      </c>
      <c r="AR594" s="61">
        <v>1.7509999999999999</v>
      </c>
      <c r="AS594" s="61">
        <v>50</v>
      </c>
      <c r="AT594" s="61">
        <v>258.32799999999997</v>
      </c>
      <c r="AU594" s="61">
        <v>-33.756999999999998</v>
      </c>
      <c r="AV594" s="61">
        <v>410.53</v>
      </c>
      <c r="AW594" s="61">
        <v>17.242000000000001</v>
      </c>
      <c r="AX594" s="65">
        <v>2.2000000000000002</v>
      </c>
      <c r="AY594" s="66">
        <v>3.2549999999999999</v>
      </c>
      <c r="AZ594" s="61">
        <v>36.290999999999997</v>
      </c>
      <c r="BA594" s="61">
        <v>44.295999999999999</v>
      </c>
      <c r="BB594" s="61">
        <v>83.841999999999999</v>
      </c>
      <c r="BC594" s="61" t="s">
        <v>143</v>
      </c>
      <c r="BD594" s="61">
        <v>2.0529999999999999</v>
      </c>
      <c r="BE594" s="61">
        <v>14.782</v>
      </c>
      <c r="BF594" s="61">
        <v>0.16600000000000001</v>
      </c>
      <c r="BG594" s="61">
        <v>6.72</v>
      </c>
      <c r="BH594" s="61">
        <v>2.964</v>
      </c>
      <c r="BI594" s="61">
        <v>2.1629999999999998</v>
      </c>
      <c r="BJ594" s="61">
        <v>11.847</v>
      </c>
      <c r="BK594" s="66">
        <v>29.023</v>
      </c>
      <c r="BL594" s="67">
        <v>90.138999999999996</v>
      </c>
      <c r="BM594" s="61">
        <v>19.335999999999999</v>
      </c>
      <c r="BN594" s="61">
        <v>16.824000000000002</v>
      </c>
      <c r="BO594" s="61">
        <v>2.2000000000000002</v>
      </c>
      <c r="BP594" s="61">
        <v>128.499</v>
      </c>
      <c r="BQ594" s="61">
        <v>172.26400000000001</v>
      </c>
      <c r="BR594" s="61">
        <v>11.353999999999999</v>
      </c>
      <c r="BS594" s="61">
        <v>118.379</v>
      </c>
      <c r="BT594" s="61">
        <v>406.19299999999998</v>
      </c>
      <c r="BU594" s="61">
        <v>12.855</v>
      </c>
      <c r="BV594" s="61">
        <v>17.155000000000001</v>
      </c>
      <c r="BW594" s="61">
        <v>30.01</v>
      </c>
      <c r="BX594" s="67">
        <v>738.19899999999996</v>
      </c>
      <c r="BY594" s="68">
        <v>145058</v>
      </c>
      <c r="BZ594" s="68">
        <v>119268</v>
      </c>
      <c r="CA594" s="69">
        <v>3858</v>
      </c>
      <c r="CB594" s="68">
        <v>106291</v>
      </c>
      <c r="CC594" s="68">
        <v>38015</v>
      </c>
      <c r="CD594" s="68">
        <v>137285</v>
      </c>
      <c r="CE594" s="72">
        <v>4712.4000000000005</v>
      </c>
      <c r="CF594" s="72">
        <v>6098.4</v>
      </c>
      <c r="CG594" s="70">
        <f t="shared" si="49"/>
        <v>4464.2219999999998</v>
      </c>
      <c r="CH594" s="70">
        <f t="shared" si="50"/>
        <v>162.036</v>
      </c>
      <c r="CI594" s="70">
        <f t="shared" si="51"/>
        <v>1596.63</v>
      </c>
      <c r="CJ594" s="70">
        <f t="shared" si="52"/>
        <v>6092.4359999999997</v>
      </c>
      <c r="CK594" s="70">
        <f t="shared" si="52"/>
        <v>5009.2560000000003</v>
      </c>
      <c r="CL594" s="70">
        <f t="shared" si="48"/>
        <v>5765.97</v>
      </c>
      <c r="CM594" s="61"/>
      <c r="CN594" s="61"/>
      <c r="CO594" s="61"/>
      <c r="CP594" s="61"/>
      <c r="CQ594" s="61"/>
      <c r="CR594" s="61"/>
      <c r="CS594" s="61"/>
      <c r="CT594" s="61"/>
      <c r="CU594" s="61"/>
      <c r="CV594" s="61"/>
      <c r="CW594" s="61"/>
      <c r="CX594" s="61"/>
      <c r="CY594" s="61"/>
      <c r="CZ594" s="61"/>
      <c r="DA594" s="61"/>
      <c r="DB594" s="61"/>
      <c r="DC594" s="61"/>
      <c r="DD594" s="61"/>
      <c r="DE594" s="61"/>
      <c r="DF594" s="61"/>
      <c r="DG594" s="61"/>
      <c r="DH594" s="61"/>
      <c r="DI594" s="61"/>
      <c r="DJ594" s="61"/>
      <c r="DK594" s="61"/>
      <c r="DL594" s="61"/>
      <c r="DM594" s="61"/>
      <c r="DN594" s="61"/>
      <c r="DO594" s="61"/>
      <c r="DP594" s="61"/>
      <c r="DQ594" s="61"/>
      <c r="DR594" s="61"/>
      <c r="DS594" s="61"/>
      <c r="DT594" s="61"/>
      <c r="DU594" s="61"/>
      <c r="DV594" s="61"/>
      <c r="DW594" s="61"/>
      <c r="DX594" s="61"/>
      <c r="DY594" s="61"/>
      <c r="DZ594" s="61"/>
      <c r="EA594" s="61"/>
      <c r="EB594" s="61"/>
      <c r="EC594" s="61"/>
      <c r="ED594" s="61"/>
      <c r="EE594" s="61"/>
      <c r="EF594" s="61"/>
      <c r="EG594" s="61"/>
      <c r="EH594" s="61"/>
      <c r="EI594" s="61"/>
      <c r="EJ594" s="61"/>
      <c r="EK594" s="61"/>
      <c r="EL594" s="61"/>
      <c r="EM594" s="61"/>
      <c r="EN594" s="61"/>
      <c r="EO594" s="61"/>
      <c r="EP594" s="61"/>
      <c r="EQ594" s="61"/>
      <c r="ER594" s="61"/>
      <c r="ES594" s="61"/>
      <c r="ET594" s="61"/>
      <c r="EU594" s="61"/>
      <c r="EV594" s="61"/>
      <c r="EW594" s="61"/>
    </row>
    <row r="595" spans="1:153">
      <c r="A595" s="56">
        <v>44682</v>
      </c>
      <c r="B595" s="57">
        <v>2022</v>
      </c>
      <c r="C595" s="71">
        <v>17.611999999999998</v>
      </c>
      <c r="D595" s="61">
        <v>0.24</v>
      </c>
      <c r="E595" s="61">
        <v>3241.614</v>
      </c>
      <c r="F595" s="61">
        <v>136.148</v>
      </c>
      <c r="G595" s="61">
        <v>17.372</v>
      </c>
      <c r="H595" s="61">
        <v>315</v>
      </c>
      <c r="I595" s="61">
        <v>699.39300000000003</v>
      </c>
      <c r="J595" s="61">
        <v>-384.39299999999997</v>
      </c>
      <c r="K595" s="61">
        <v>3839.241</v>
      </c>
      <c r="L595" s="61">
        <v>-373.25700000000001</v>
      </c>
      <c r="M595" s="61">
        <v>3230.4780000000001</v>
      </c>
      <c r="N595" s="61">
        <v>135.68</v>
      </c>
      <c r="O595" s="71">
        <v>17.312000000000001</v>
      </c>
      <c r="P595" s="60">
        <v>181.55</v>
      </c>
      <c r="Q595" s="61">
        <v>213.80500000000001</v>
      </c>
      <c r="R595" s="61">
        <v>429.947</v>
      </c>
      <c r="S595" s="61">
        <v>742.76099999999997</v>
      </c>
      <c r="T595" s="61">
        <v>79.7</v>
      </c>
      <c r="U595" s="61">
        <v>9.9209999999999994</v>
      </c>
      <c r="V595" s="61">
        <v>79.466999999999999</v>
      </c>
      <c r="W595" s="61">
        <v>143.726</v>
      </c>
      <c r="X595" s="61">
        <v>169.673</v>
      </c>
      <c r="Y595" s="61">
        <v>34.591000000000001</v>
      </c>
      <c r="Z595" s="61">
        <v>207.636</v>
      </c>
      <c r="AA595" s="61">
        <v>411.9</v>
      </c>
      <c r="AB595" s="60">
        <v>724.71500000000003</v>
      </c>
      <c r="AC595" s="62">
        <v>3008.39</v>
      </c>
      <c r="AD595" s="61">
        <v>126.352</v>
      </c>
      <c r="AE595" s="61">
        <v>16.527999999999999</v>
      </c>
      <c r="AF595" s="61">
        <v>649</v>
      </c>
      <c r="AG595" s="61">
        <v>3273.4319999999998</v>
      </c>
      <c r="AH595" s="61">
        <v>401.24</v>
      </c>
      <c r="AI595" s="61">
        <v>3256.15</v>
      </c>
      <c r="AJ595" s="61">
        <v>136.75800000000001</v>
      </c>
      <c r="AK595" s="62">
        <v>17.888999999999999</v>
      </c>
      <c r="AL595" s="63">
        <f t="shared" si="53"/>
        <v>136.75800000000001</v>
      </c>
      <c r="AM595" s="64">
        <v>17.89</v>
      </c>
      <c r="AN595" s="65" t="s">
        <v>121</v>
      </c>
      <c r="AO595" s="61" t="s">
        <v>121</v>
      </c>
      <c r="AP595" s="61">
        <v>335.30399999999997</v>
      </c>
      <c r="AQ595" s="61">
        <v>14.083</v>
      </c>
      <c r="AR595" s="61">
        <v>1.7969999999999999</v>
      </c>
      <c r="AS595" s="61" t="s">
        <v>122</v>
      </c>
      <c r="AT595" s="61">
        <v>216.74100000000001</v>
      </c>
      <c r="AU595" s="61">
        <v>-41.588000000000001</v>
      </c>
      <c r="AV595" s="61">
        <v>376.892</v>
      </c>
      <c r="AW595" s="61">
        <v>15.829000000000001</v>
      </c>
      <c r="AX595" s="65">
        <v>2.02</v>
      </c>
      <c r="AY595" s="66">
        <v>3.363</v>
      </c>
      <c r="AZ595" s="61">
        <v>40.014000000000003</v>
      </c>
      <c r="BA595" s="61">
        <v>45.771999999999998</v>
      </c>
      <c r="BB595" s="61">
        <v>89.15</v>
      </c>
      <c r="BC595" s="61" t="s">
        <v>143</v>
      </c>
      <c r="BD595" s="61">
        <v>2.0840000000000001</v>
      </c>
      <c r="BE595" s="61">
        <v>16.12</v>
      </c>
      <c r="BF595" s="61">
        <v>0.14199999999999999</v>
      </c>
      <c r="BG595" s="61">
        <v>7.0730000000000004</v>
      </c>
      <c r="BH595" s="61">
        <v>2.9870000000000001</v>
      </c>
      <c r="BI595" s="61">
        <v>2.3220000000000001</v>
      </c>
      <c r="BJ595" s="61">
        <v>12.381</v>
      </c>
      <c r="BK595" s="66">
        <v>30.975000000000001</v>
      </c>
      <c r="BL595" s="67">
        <v>96.762</v>
      </c>
      <c r="BM595" s="61">
        <v>16.669</v>
      </c>
      <c r="BN595" s="61">
        <v>17.89</v>
      </c>
      <c r="BO595" s="61">
        <v>2.02</v>
      </c>
      <c r="BP595" s="61">
        <v>133.34</v>
      </c>
      <c r="BQ595" s="61">
        <v>203.12299999999999</v>
      </c>
      <c r="BR595" s="61">
        <v>11.829000000000001</v>
      </c>
      <c r="BS595" s="61">
        <v>133.55000000000001</v>
      </c>
      <c r="BT595" s="61">
        <v>368.26299999999998</v>
      </c>
      <c r="BU595" s="61">
        <v>15.808</v>
      </c>
      <c r="BV595" s="61">
        <v>17.832999999999998</v>
      </c>
      <c r="BW595" s="61">
        <v>33.64</v>
      </c>
      <c r="BX595" s="67">
        <v>750.40499999999997</v>
      </c>
      <c r="BY595" s="68">
        <v>154625</v>
      </c>
      <c r="BZ595" s="68">
        <v>120148</v>
      </c>
      <c r="CA595" s="69">
        <v>5568</v>
      </c>
      <c r="CB595" s="68">
        <v>109712</v>
      </c>
      <c r="CC595" s="68">
        <v>36627</v>
      </c>
      <c r="CD595" s="68">
        <v>146521</v>
      </c>
      <c r="CE595" s="72">
        <v>4843.4400000000005</v>
      </c>
      <c r="CF595" s="72">
        <v>6496.9800000000005</v>
      </c>
      <c r="CG595" s="70">
        <f t="shared" si="49"/>
        <v>4607.9040000000005</v>
      </c>
      <c r="CH595" s="70">
        <f t="shared" si="50"/>
        <v>233.85599999999999</v>
      </c>
      <c r="CI595" s="70">
        <f t="shared" si="51"/>
        <v>1538.3340000000001</v>
      </c>
      <c r="CJ595" s="70">
        <f t="shared" si="52"/>
        <v>6494.25</v>
      </c>
      <c r="CK595" s="70">
        <f t="shared" si="52"/>
        <v>5046.2160000000003</v>
      </c>
      <c r="CL595" s="70">
        <f t="shared" si="48"/>
        <v>6153.8819999999996</v>
      </c>
      <c r="CM595" s="61"/>
      <c r="CN595" s="61"/>
      <c r="CO595" s="61"/>
      <c r="CP595" s="61"/>
      <c r="CQ595" s="61"/>
      <c r="CR595" s="61"/>
      <c r="CS595" s="61"/>
      <c r="CT595" s="61"/>
      <c r="CU595" s="61"/>
      <c r="CV595" s="61"/>
      <c r="CW595" s="61"/>
      <c r="CX595" s="61"/>
      <c r="CY595" s="61"/>
      <c r="CZ595" s="61"/>
      <c r="DA595" s="61"/>
      <c r="DB595" s="61"/>
      <c r="DC595" s="61"/>
      <c r="DD595" s="61"/>
      <c r="DE595" s="61"/>
      <c r="DF595" s="61"/>
      <c r="DG595" s="61"/>
      <c r="DH595" s="61"/>
      <c r="DI595" s="61"/>
      <c r="DJ595" s="61"/>
      <c r="DK595" s="61"/>
      <c r="DL595" s="61"/>
      <c r="DM595" s="61"/>
      <c r="DN595" s="61"/>
      <c r="DO595" s="61"/>
      <c r="DP595" s="61"/>
      <c r="DQ595" s="61"/>
      <c r="DR595" s="61"/>
      <c r="DS595" s="61"/>
      <c r="DT595" s="61"/>
      <c r="DU595" s="61"/>
      <c r="DV595" s="61"/>
      <c r="DW595" s="61"/>
      <c r="DX595" s="61"/>
      <c r="DY595" s="61"/>
      <c r="DZ595" s="61"/>
      <c r="EA595" s="61"/>
      <c r="EB595" s="61"/>
      <c r="EC595" s="61"/>
      <c r="ED595" s="61"/>
      <c r="EE595" s="61"/>
      <c r="EF595" s="61"/>
      <c r="EG595" s="61"/>
      <c r="EH595" s="61"/>
      <c r="EI595" s="61"/>
      <c r="EJ595" s="61"/>
      <c r="EK595" s="61"/>
      <c r="EL595" s="61"/>
      <c r="EM595" s="61"/>
      <c r="EN595" s="61"/>
      <c r="EO595" s="61"/>
      <c r="EP595" s="61"/>
      <c r="EQ595" s="61"/>
      <c r="ER595" s="61"/>
      <c r="ES595" s="61"/>
      <c r="ET595" s="61"/>
      <c r="EU595" s="61"/>
      <c r="EV595" s="61"/>
      <c r="EW595" s="61"/>
    </row>
    <row r="596" spans="1:153">
      <c r="A596" s="56">
        <v>44713</v>
      </c>
      <c r="B596" s="57">
        <v>2022</v>
      </c>
      <c r="C596" s="71">
        <v>17.741</v>
      </c>
      <c r="D596" s="61">
        <v>0.24199999999999999</v>
      </c>
      <c r="E596" s="61">
        <v>3265.4450000000002</v>
      </c>
      <c r="F596" s="61">
        <v>137.149</v>
      </c>
      <c r="G596" s="61">
        <v>17.5</v>
      </c>
      <c r="H596" s="61">
        <v>346</v>
      </c>
      <c r="I596" s="61">
        <v>588.548</v>
      </c>
      <c r="J596" s="61">
        <v>-242.548</v>
      </c>
      <c r="K596" s="61">
        <v>3404.402</v>
      </c>
      <c r="L596" s="61">
        <v>-434.839</v>
      </c>
      <c r="M596" s="61">
        <v>3457.7359999999999</v>
      </c>
      <c r="N596" s="61">
        <v>145.22499999999999</v>
      </c>
      <c r="O596" s="71">
        <v>18.53</v>
      </c>
      <c r="P596" s="60">
        <v>182.34700000000001</v>
      </c>
      <c r="Q596" s="61">
        <v>213.84100000000001</v>
      </c>
      <c r="R596" s="61">
        <v>429.50799999999998</v>
      </c>
      <c r="S596" s="61">
        <v>725.58600000000001</v>
      </c>
      <c r="T596" s="61">
        <v>88.67</v>
      </c>
      <c r="U596" s="61">
        <v>9.5739999999999998</v>
      </c>
      <c r="V596" s="61">
        <v>82.617999999999995</v>
      </c>
      <c r="W596" s="61">
        <v>115.215</v>
      </c>
      <c r="X596" s="61">
        <v>168.02799999999999</v>
      </c>
      <c r="Y596" s="61">
        <v>33.32</v>
      </c>
      <c r="Z596" s="61">
        <v>212.79900000000001</v>
      </c>
      <c r="AA596" s="61">
        <v>414.14800000000002</v>
      </c>
      <c r="AB596" s="60">
        <v>710.22500000000002</v>
      </c>
      <c r="AC596" s="62">
        <v>2948.04</v>
      </c>
      <c r="AD596" s="61">
        <v>123.818</v>
      </c>
      <c r="AE596" s="61">
        <v>16.196999999999999</v>
      </c>
      <c r="AF596" s="61">
        <v>536</v>
      </c>
      <c r="AG596" s="61">
        <v>2741.6329999999998</v>
      </c>
      <c r="AH596" s="61">
        <v>-531.798</v>
      </c>
      <c r="AI596" s="61">
        <v>4015.8380000000002</v>
      </c>
      <c r="AJ596" s="61">
        <v>168.66499999999999</v>
      </c>
      <c r="AK596" s="62">
        <v>22.062999999999999</v>
      </c>
      <c r="AL596" s="63">
        <f t="shared" si="53"/>
        <v>168.66499999999999</v>
      </c>
      <c r="AM596" s="64">
        <v>22.04</v>
      </c>
      <c r="AN596" s="65" t="s">
        <v>121</v>
      </c>
      <c r="AO596" s="61" t="s">
        <v>121</v>
      </c>
      <c r="AP596" s="61">
        <v>365.34199999999998</v>
      </c>
      <c r="AQ596" s="61">
        <v>15.343999999999999</v>
      </c>
      <c r="AR596" s="61">
        <v>1.958</v>
      </c>
      <c r="AS596" s="61" t="s">
        <v>122</v>
      </c>
      <c r="AT596" s="61">
        <v>190.756</v>
      </c>
      <c r="AU596" s="61">
        <v>-25.984000000000002</v>
      </c>
      <c r="AV596" s="61">
        <v>391.32600000000002</v>
      </c>
      <c r="AW596" s="61">
        <v>16.436</v>
      </c>
      <c r="AX596" s="65">
        <v>2.097</v>
      </c>
      <c r="AY596" s="66">
        <v>3.2549999999999999</v>
      </c>
      <c r="AZ596" s="61">
        <v>39.948999999999998</v>
      </c>
      <c r="BA596" s="61">
        <v>44.295999999999999</v>
      </c>
      <c r="BB596" s="61">
        <v>87.498999999999995</v>
      </c>
      <c r="BC596" s="61" t="s">
        <v>143</v>
      </c>
      <c r="BD596" s="61">
        <v>1.9339999999999999</v>
      </c>
      <c r="BE596" s="61">
        <v>16.178999999999998</v>
      </c>
      <c r="BF596" s="61">
        <v>0.112</v>
      </c>
      <c r="BG596" s="61">
        <v>6.968</v>
      </c>
      <c r="BH596" s="61">
        <v>3.16</v>
      </c>
      <c r="BI596" s="61">
        <v>2.331</v>
      </c>
      <c r="BJ596" s="61">
        <v>12.458</v>
      </c>
      <c r="BK596" s="66">
        <v>30.957000000000001</v>
      </c>
      <c r="BL596" s="67">
        <v>97.14</v>
      </c>
      <c r="BM596" s="61">
        <v>17.486999999999998</v>
      </c>
      <c r="BN596" s="61">
        <v>22.04</v>
      </c>
      <c r="BO596" s="61">
        <v>2.097</v>
      </c>
      <c r="BP596" s="61">
        <v>138.76499999999999</v>
      </c>
      <c r="BQ596" s="61">
        <v>236.898</v>
      </c>
      <c r="BR596" s="61">
        <v>11.743</v>
      </c>
      <c r="BS596" s="61">
        <v>141.06100000000001</v>
      </c>
      <c r="BT596" s="61">
        <v>295.93</v>
      </c>
      <c r="BU596" s="61">
        <v>17.754000000000001</v>
      </c>
      <c r="BV596" s="61">
        <v>18.03</v>
      </c>
      <c r="BW596" s="61">
        <v>35.784999999999997</v>
      </c>
      <c r="BX596" s="67">
        <v>721.41700000000003</v>
      </c>
      <c r="BY596" s="68">
        <v>155895</v>
      </c>
      <c r="BZ596" s="68">
        <v>121477</v>
      </c>
      <c r="CA596" s="69">
        <v>3500</v>
      </c>
      <c r="CB596" s="68">
        <v>111329</v>
      </c>
      <c r="CC596" s="68">
        <v>36304</v>
      </c>
      <c r="CD596" s="68">
        <v>148374</v>
      </c>
      <c r="CE596" s="72">
        <v>4951.8</v>
      </c>
      <c r="CF596" s="72">
        <v>6552</v>
      </c>
      <c r="CG596" s="70">
        <f t="shared" si="49"/>
        <v>4675.8180000000002</v>
      </c>
      <c r="CH596" s="70">
        <f t="shared" si="50"/>
        <v>147</v>
      </c>
      <c r="CI596" s="70">
        <f t="shared" si="51"/>
        <v>1524.768</v>
      </c>
      <c r="CJ596" s="70">
        <f t="shared" si="52"/>
        <v>6547.59</v>
      </c>
      <c r="CK596" s="70">
        <f t="shared" si="52"/>
        <v>5102.0339999999997</v>
      </c>
      <c r="CL596" s="70">
        <f t="shared" si="48"/>
        <v>6231.7079999999996</v>
      </c>
      <c r="CM596" s="61"/>
      <c r="CN596" s="61"/>
      <c r="CO596" s="61"/>
      <c r="CP596" s="61"/>
      <c r="CQ596" s="61"/>
      <c r="CR596" s="61"/>
      <c r="CS596" s="61"/>
      <c r="CT596" s="61"/>
      <c r="CU596" s="61"/>
      <c r="CV596" s="61"/>
      <c r="CW596" s="61"/>
      <c r="CX596" s="61"/>
      <c r="CY596" s="61"/>
      <c r="CZ596" s="61"/>
      <c r="DA596" s="61"/>
      <c r="DB596" s="61"/>
      <c r="DC596" s="61"/>
      <c r="DD596" s="61"/>
      <c r="DE596" s="61"/>
      <c r="DF596" s="61"/>
      <c r="DG596" s="61"/>
      <c r="DH596" s="61"/>
      <c r="DI596" s="61"/>
      <c r="DJ596" s="61"/>
      <c r="DK596" s="61"/>
      <c r="DL596" s="61"/>
      <c r="DM596" s="61"/>
      <c r="DN596" s="61"/>
      <c r="DO596" s="61"/>
      <c r="DP596" s="61"/>
      <c r="DQ596" s="61"/>
      <c r="DR596" s="61"/>
      <c r="DS596" s="61"/>
      <c r="DT596" s="61"/>
      <c r="DU596" s="61"/>
      <c r="DV596" s="61"/>
      <c r="DW596" s="61"/>
      <c r="DX596" s="61"/>
      <c r="DY596" s="61"/>
      <c r="DZ596" s="61"/>
      <c r="EA596" s="61"/>
      <c r="EB596" s="61"/>
      <c r="EC596" s="61"/>
      <c r="ED596" s="61"/>
      <c r="EE596" s="61"/>
      <c r="EF596" s="61"/>
      <c r="EG596" s="61"/>
      <c r="EH596" s="61"/>
      <c r="EI596" s="61"/>
      <c r="EJ596" s="61"/>
      <c r="EK596" s="61"/>
      <c r="EL596" s="61"/>
      <c r="EM596" s="61"/>
      <c r="EN596" s="61"/>
      <c r="EO596" s="61"/>
      <c r="EP596" s="61"/>
      <c r="EQ596" s="61"/>
      <c r="ER596" s="61"/>
      <c r="ES596" s="61"/>
      <c r="ET596" s="61"/>
      <c r="EU596" s="61"/>
      <c r="EV596" s="61"/>
      <c r="EW596" s="61"/>
    </row>
    <row r="597" spans="1:153">
      <c r="A597" s="56">
        <v>44743</v>
      </c>
      <c r="B597" s="57">
        <v>2022</v>
      </c>
      <c r="C597" s="71">
        <v>18.960999999999999</v>
      </c>
      <c r="D597" s="61">
        <v>0.25800000000000001</v>
      </c>
      <c r="E597" s="61">
        <v>3490.009</v>
      </c>
      <c r="F597" s="61">
        <v>146.58000000000001</v>
      </c>
      <c r="G597" s="61">
        <v>18.702999999999999</v>
      </c>
      <c r="H597" s="61">
        <v>284</v>
      </c>
      <c r="I597" s="61">
        <v>624.56899999999996</v>
      </c>
      <c r="J597" s="61">
        <v>-340.56900000000002</v>
      </c>
      <c r="K597" s="61">
        <v>3240.4609999999998</v>
      </c>
      <c r="L597" s="61">
        <v>-163.941</v>
      </c>
      <c r="M597" s="61">
        <v>3313.3809999999999</v>
      </c>
      <c r="N597" s="61">
        <v>139.16200000000001</v>
      </c>
      <c r="O597" s="71">
        <v>17.756</v>
      </c>
      <c r="P597" s="60">
        <v>184.816</v>
      </c>
      <c r="Q597" s="61">
        <v>217.50899999999999</v>
      </c>
      <c r="R597" s="61">
        <v>436.315</v>
      </c>
      <c r="S597" s="61">
        <v>713.25</v>
      </c>
      <c r="T597" s="61">
        <v>83.823999999999998</v>
      </c>
      <c r="U597" s="61">
        <v>9.9700000000000006</v>
      </c>
      <c r="V597" s="61">
        <v>82.572000000000003</v>
      </c>
      <c r="W597" s="61">
        <v>100.569</v>
      </c>
      <c r="X597" s="61">
        <v>175.22399999999999</v>
      </c>
      <c r="Y597" s="61">
        <v>33.99</v>
      </c>
      <c r="Z597" s="61">
        <v>205.64</v>
      </c>
      <c r="AA597" s="61">
        <v>414.85399999999998</v>
      </c>
      <c r="AB597" s="60">
        <v>691.78899999999999</v>
      </c>
      <c r="AC597" s="62">
        <v>3085.7890000000002</v>
      </c>
      <c r="AD597" s="61">
        <v>129.60300000000001</v>
      </c>
      <c r="AE597" s="61">
        <v>16.952999999999999</v>
      </c>
      <c r="AF597" s="61">
        <v>593</v>
      </c>
      <c r="AG597" s="61">
        <v>3148.4160000000002</v>
      </c>
      <c r="AH597" s="61">
        <v>406.78199999999998</v>
      </c>
      <c r="AI597" s="61">
        <v>3272.0070000000001</v>
      </c>
      <c r="AJ597" s="61">
        <v>137.42400000000001</v>
      </c>
      <c r="AK597" s="62">
        <v>17.975999999999999</v>
      </c>
      <c r="AL597" s="63">
        <f t="shared" si="53"/>
        <v>137.42400000000001</v>
      </c>
      <c r="AM597" s="64">
        <v>17.895</v>
      </c>
      <c r="AN597" s="65" t="s">
        <v>121</v>
      </c>
      <c r="AO597" s="61" t="s">
        <v>121</v>
      </c>
      <c r="AP597" s="61">
        <v>436.971</v>
      </c>
      <c r="AQ597" s="61">
        <v>18.353000000000002</v>
      </c>
      <c r="AR597" s="61">
        <v>2.3420000000000001</v>
      </c>
      <c r="AS597" s="61" t="s">
        <v>122</v>
      </c>
      <c r="AT597" s="61">
        <v>189.72900000000001</v>
      </c>
      <c r="AU597" s="61">
        <v>-1.0269999999999999</v>
      </c>
      <c r="AV597" s="61">
        <v>437.99799999999999</v>
      </c>
      <c r="AW597" s="61">
        <v>18.396000000000001</v>
      </c>
      <c r="AX597" s="65">
        <v>2.347</v>
      </c>
      <c r="AY597" s="66">
        <v>3.363</v>
      </c>
      <c r="AZ597" s="61">
        <v>41.356000000000002</v>
      </c>
      <c r="BA597" s="61">
        <v>45.771999999999998</v>
      </c>
      <c r="BB597" s="61">
        <v>90.492000000000004</v>
      </c>
      <c r="BC597" s="61">
        <v>0.27400000000000002</v>
      </c>
      <c r="BD597" s="61">
        <v>1.9950000000000001</v>
      </c>
      <c r="BE597" s="61">
        <v>16.797000000000001</v>
      </c>
      <c r="BF597" s="61">
        <v>8.5000000000000006E-2</v>
      </c>
      <c r="BG597" s="61">
        <v>7.1340000000000003</v>
      </c>
      <c r="BH597" s="61">
        <v>3.161</v>
      </c>
      <c r="BI597" s="61">
        <v>2.2530000000000001</v>
      </c>
      <c r="BJ597" s="61">
        <v>12.548999999999999</v>
      </c>
      <c r="BK597" s="66">
        <v>31.699000000000002</v>
      </c>
      <c r="BL597" s="67">
        <v>93.915999999999997</v>
      </c>
      <c r="BM597" s="61">
        <v>18.029</v>
      </c>
      <c r="BN597" s="61">
        <v>17.895</v>
      </c>
      <c r="BO597" s="61">
        <v>2.347</v>
      </c>
      <c r="BP597" s="61">
        <v>132.18799999999999</v>
      </c>
      <c r="BQ597" s="61">
        <v>213.13300000000001</v>
      </c>
      <c r="BR597" s="61">
        <v>12.397</v>
      </c>
      <c r="BS597" s="61">
        <v>138.364</v>
      </c>
      <c r="BT597" s="61">
        <v>258.98399999999998</v>
      </c>
      <c r="BU597" s="61">
        <v>19.605</v>
      </c>
      <c r="BV597" s="61">
        <v>18.376999999999999</v>
      </c>
      <c r="BW597" s="61">
        <v>37.981999999999999</v>
      </c>
      <c r="BX597" s="67">
        <v>660.86</v>
      </c>
      <c r="BY597" s="68">
        <v>158859</v>
      </c>
      <c r="BZ597" s="68">
        <v>115367</v>
      </c>
      <c r="CA597" s="69">
        <v>5260</v>
      </c>
      <c r="CB597" s="68">
        <v>112591</v>
      </c>
      <c r="CC597" s="68">
        <v>47491</v>
      </c>
      <c r="CD597" s="68">
        <v>150377</v>
      </c>
      <c r="CE597" s="72">
        <v>4635.12</v>
      </c>
      <c r="CF597" s="72">
        <v>6666.24</v>
      </c>
      <c r="CG597" s="70">
        <f t="shared" si="49"/>
        <v>4728.8220000000001</v>
      </c>
      <c r="CH597" s="70">
        <f t="shared" si="50"/>
        <v>220.92</v>
      </c>
      <c r="CI597" s="70">
        <f t="shared" si="51"/>
        <v>1994.6220000000001</v>
      </c>
      <c r="CJ597" s="70">
        <f t="shared" si="52"/>
        <v>6672.0780000000004</v>
      </c>
      <c r="CK597" s="70">
        <f t="shared" si="52"/>
        <v>4845.4139999999998</v>
      </c>
      <c r="CL597" s="70">
        <f t="shared" si="48"/>
        <v>6315.8339999999998</v>
      </c>
      <c r="CM597" s="61"/>
      <c r="CN597" s="61"/>
      <c r="CO597" s="61"/>
      <c r="CP597" s="61"/>
      <c r="CQ597" s="61"/>
      <c r="CR597" s="61"/>
      <c r="CS597" s="61"/>
      <c r="CT597" s="61"/>
      <c r="CU597" s="61"/>
      <c r="CV597" s="61"/>
      <c r="CW597" s="61"/>
      <c r="CX597" s="61"/>
      <c r="CY597" s="61"/>
      <c r="CZ597" s="61"/>
      <c r="DA597" s="61"/>
      <c r="DB597" s="61"/>
      <c r="DC597" s="61"/>
      <c r="DD597" s="61"/>
      <c r="DE597" s="61"/>
      <c r="DF597" s="61"/>
      <c r="DG597" s="61"/>
      <c r="DH597" s="61"/>
      <c r="DI597" s="61"/>
      <c r="DJ597" s="61"/>
      <c r="DK597" s="61"/>
      <c r="DL597" s="61"/>
      <c r="DM597" s="61"/>
      <c r="DN597" s="61"/>
      <c r="DO597" s="61"/>
      <c r="DP597" s="61"/>
      <c r="DQ597" s="61"/>
      <c r="DR597" s="61"/>
      <c r="DS597" s="61"/>
      <c r="DT597" s="61"/>
      <c r="DU597" s="61"/>
      <c r="DV597" s="61"/>
      <c r="DW597" s="61"/>
      <c r="DX597" s="61"/>
      <c r="DY597" s="61"/>
      <c r="DZ597" s="61"/>
      <c r="EA597" s="61"/>
      <c r="EB597" s="61"/>
      <c r="EC597" s="61"/>
      <c r="ED597" s="61"/>
      <c r="EE597" s="61"/>
      <c r="EF597" s="61"/>
      <c r="EG597" s="61"/>
      <c r="EH597" s="61"/>
      <c r="EI597" s="61"/>
      <c r="EJ597" s="61"/>
      <c r="EK597" s="61"/>
      <c r="EL597" s="61"/>
      <c r="EM597" s="61"/>
      <c r="EN597" s="61"/>
      <c r="EO597" s="61"/>
      <c r="EP597" s="61"/>
      <c r="EQ597" s="61"/>
      <c r="ER597" s="61"/>
      <c r="ES597" s="61"/>
      <c r="ET597" s="61"/>
      <c r="EU597" s="61"/>
      <c r="EV597" s="61"/>
      <c r="EW597" s="61"/>
    </row>
    <row r="598" spans="1:153">
      <c r="A598" s="56">
        <v>44774</v>
      </c>
      <c r="B598" s="57">
        <v>2022</v>
      </c>
      <c r="C598" s="71">
        <v>19.117000000000001</v>
      </c>
      <c r="D598" s="61">
        <v>0.26</v>
      </c>
      <c r="E598" s="61">
        <v>3518.7489999999998</v>
      </c>
      <c r="F598" s="61">
        <v>147.78700000000001</v>
      </c>
      <c r="G598" s="61">
        <v>18.856999999999999</v>
      </c>
      <c r="H598" s="61">
        <v>371</v>
      </c>
      <c r="I598" s="61">
        <v>831.29200000000003</v>
      </c>
      <c r="J598" s="61">
        <v>-460.29199999999997</v>
      </c>
      <c r="K598" s="61">
        <v>2893.7510000000002</v>
      </c>
      <c r="L598" s="61">
        <v>-346.71100000000001</v>
      </c>
      <c r="M598" s="61">
        <v>3405.1680000000001</v>
      </c>
      <c r="N598" s="61">
        <v>143.017</v>
      </c>
      <c r="O598" s="71">
        <v>18.248000000000001</v>
      </c>
      <c r="P598" s="60">
        <v>184.33500000000001</v>
      </c>
      <c r="Q598" s="61">
        <v>210.72900000000001</v>
      </c>
      <c r="R598" s="61">
        <v>428.86799999999999</v>
      </c>
      <c r="S598" s="61">
        <v>672.49900000000002</v>
      </c>
      <c r="T598" s="61">
        <v>72.105999999999995</v>
      </c>
      <c r="U598" s="61">
        <v>10.013</v>
      </c>
      <c r="V598" s="61">
        <v>77.174000000000007</v>
      </c>
      <c r="W598" s="61">
        <v>84.338999999999999</v>
      </c>
      <c r="X598" s="61">
        <v>173.959</v>
      </c>
      <c r="Y598" s="61">
        <v>33.804000000000002</v>
      </c>
      <c r="Z598" s="61">
        <v>213.1</v>
      </c>
      <c r="AA598" s="61">
        <v>420.86399999999998</v>
      </c>
      <c r="AB598" s="60">
        <v>664.495</v>
      </c>
      <c r="AC598" s="62">
        <v>2831.616</v>
      </c>
      <c r="AD598" s="61">
        <v>118.928</v>
      </c>
      <c r="AE598" s="61">
        <v>15.557</v>
      </c>
      <c r="AF598" s="61">
        <v>421</v>
      </c>
      <c r="AG598" s="61">
        <v>2553.9949999999999</v>
      </c>
      <c r="AH598" s="61">
        <v>-594.42100000000005</v>
      </c>
      <c r="AI598" s="61">
        <v>3847.0369999999998</v>
      </c>
      <c r="AJ598" s="61">
        <v>161.57599999999999</v>
      </c>
      <c r="AK598" s="62">
        <v>21.135999999999999</v>
      </c>
      <c r="AL598" s="63">
        <f t="shared" si="53"/>
        <v>161.57599999999999</v>
      </c>
      <c r="AM598" s="64">
        <v>20.875</v>
      </c>
      <c r="AN598" s="65" t="s">
        <v>121</v>
      </c>
      <c r="AO598" s="61" t="s">
        <v>121</v>
      </c>
      <c r="AP598" s="61">
        <v>445.78</v>
      </c>
      <c r="AQ598" s="61">
        <v>18.722999999999999</v>
      </c>
      <c r="AR598" s="61">
        <v>2.3889999999999998</v>
      </c>
      <c r="AS598" s="61">
        <v>12</v>
      </c>
      <c r="AT598" s="61">
        <v>178.90799999999999</v>
      </c>
      <c r="AU598" s="61">
        <v>-10.821</v>
      </c>
      <c r="AV598" s="61">
        <v>468.601</v>
      </c>
      <c r="AW598" s="61">
        <v>19.681000000000001</v>
      </c>
      <c r="AX598" s="65">
        <v>2.5110000000000001</v>
      </c>
      <c r="AY598" s="66">
        <v>3.363</v>
      </c>
      <c r="AZ598" s="61">
        <v>39.802</v>
      </c>
      <c r="BA598" s="61">
        <v>45.771999999999998</v>
      </c>
      <c r="BB598" s="61">
        <v>88.938000000000002</v>
      </c>
      <c r="BC598" s="61" t="s">
        <v>143</v>
      </c>
      <c r="BD598" s="61">
        <v>2.0190000000000001</v>
      </c>
      <c r="BE598" s="61">
        <v>15.976000000000001</v>
      </c>
      <c r="BF598" s="61">
        <v>6.7000000000000004E-2</v>
      </c>
      <c r="BG598" s="61">
        <v>7.2329999999999997</v>
      </c>
      <c r="BH598" s="61">
        <v>3.081</v>
      </c>
      <c r="BI598" s="61">
        <v>2.399</v>
      </c>
      <c r="BJ598" s="61">
        <v>12.714</v>
      </c>
      <c r="BK598" s="66">
        <v>31.007999999999999</v>
      </c>
      <c r="BL598" s="67">
        <v>99.998000000000005</v>
      </c>
      <c r="BM598" s="61">
        <v>18.231999999999999</v>
      </c>
      <c r="BN598" s="61">
        <v>20.875</v>
      </c>
      <c r="BO598" s="61">
        <v>2.5110000000000001</v>
      </c>
      <c r="BP598" s="61">
        <v>141.61600000000001</v>
      </c>
      <c r="BQ598" s="61">
        <v>191.16200000000001</v>
      </c>
      <c r="BR598" s="61">
        <v>12.409000000000001</v>
      </c>
      <c r="BS598" s="61">
        <v>126.858</v>
      </c>
      <c r="BT598" s="61">
        <v>215.262</v>
      </c>
      <c r="BU598" s="61">
        <v>19.061</v>
      </c>
      <c r="BV598" s="61">
        <v>17.763999999999999</v>
      </c>
      <c r="BW598" s="61">
        <v>36.825000000000003</v>
      </c>
      <c r="BX598" s="67">
        <v>582.51599999999996</v>
      </c>
      <c r="BY598" s="68">
        <v>159414</v>
      </c>
      <c r="BZ598" s="68">
        <v>122155</v>
      </c>
      <c r="CA598" s="69">
        <v>5457</v>
      </c>
      <c r="CB598" s="68">
        <v>113122</v>
      </c>
      <c r="CC598" s="68">
        <v>42186</v>
      </c>
      <c r="CD598" s="68">
        <v>151695</v>
      </c>
      <c r="CE598" s="72">
        <v>5090.82</v>
      </c>
      <c r="CF598" s="72">
        <v>6692.28</v>
      </c>
      <c r="CG598" s="70">
        <f t="shared" si="49"/>
        <v>4751.1239999999998</v>
      </c>
      <c r="CH598" s="70">
        <f t="shared" si="50"/>
        <v>229.19399999999999</v>
      </c>
      <c r="CI598" s="70">
        <f t="shared" si="51"/>
        <v>1771.8119999999999</v>
      </c>
      <c r="CJ598" s="70">
        <f t="shared" si="52"/>
        <v>6695.3879999999999</v>
      </c>
      <c r="CK598" s="70">
        <f t="shared" si="52"/>
        <v>5130.51</v>
      </c>
      <c r="CL598" s="70">
        <f t="shared" si="48"/>
        <v>6371.19</v>
      </c>
      <c r="CM598" s="61"/>
      <c r="CN598" s="61"/>
      <c r="CO598" s="61"/>
      <c r="CP598" s="61"/>
      <c r="CQ598" s="61"/>
      <c r="CR598" s="61"/>
      <c r="CS598" s="61"/>
      <c r="CT598" s="61"/>
      <c r="CU598" s="61"/>
      <c r="CV598" s="61"/>
      <c r="CW598" s="61"/>
      <c r="CX598" s="61"/>
      <c r="CY598" s="61"/>
      <c r="CZ598" s="61"/>
      <c r="DA598" s="61"/>
      <c r="DB598" s="61"/>
      <c r="DC598" s="61"/>
      <c r="DD598" s="61"/>
      <c r="DE598" s="61"/>
      <c r="DF598" s="61"/>
      <c r="DG598" s="61"/>
      <c r="DH598" s="61"/>
      <c r="DI598" s="61"/>
      <c r="DJ598" s="61"/>
      <c r="DK598" s="61"/>
      <c r="DL598" s="61"/>
      <c r="DM598" s="61"/>
      <c r="DN598" s="61"/>
      <c r="DO598" s="61"/>
      <c r="DP598" s="61"/>
      <c r="DQ598" s="61"/>
      <c r="DR598" s="61"/>
      <c r="DS598" s="61"/>
      <c r="DT598" s="61"/>
      <c r="DU598" s="61"/>
      <c r="DV598" s="61"/>
      <c r="DW598" s="61"/>
      <c r="DX598" s="61"/>
      <c r="DY598" s="61"/>
      <c r="DZ598" s="61"/>
      <c r="EA598" s="61"/>
      <c r="EB598" s="61"/>
      <c r="EC598" s="61"/>
      <c r="ED598" s="61"/>
      <c r="EE598" s="61"/>
      <c r="EF598" s="61"/>
      <c r="EG598" s="61"/>
      <c r="EH598" s="61"/>
      <c r="EI598" s="61"/>
      <c r="EJ598" s="61"/>
      <c r="EK598" s="61"/>
      <c r="EL598" s="61"/>
      <c r="EM598" s="61"/>
      <c r="EN598" s="61"/>
      <c r="EO598" s="61"/>
      <c r="EP598" s="61"/>
      <c r="EQ598" s="61"/>
      <c r="ER598" s="61"/>
      <c r="ES598" s="61"/>
      <c r="ET598" s="61"/>
      <c r="EU598" s="61"/>
      <c r="EV598" s="61"/>
      <c r="EW598" s="61"/>
    </row>
    <row r="599" spans="1:153">
      <c r="A599" s="56">
        <v>44805</v>
      </c>
      <c r="B599" s="57">
        <v>2022</v>
      </c>
      <c r="C599" s="71">
        <v>18.202000000000002</v>
      </c>
      <c r="D599" s="61">
        <v>0.248</v>
      </c>
      <c r="E599" s="61">
        <v>3350.2220000000002</v>
      </c>
      <c r="F599" s="61">
        <v>140.709</v>
      </c>
      <c r="G599" s="61">
        <v>17.954000000000001</v>
      </c>
      <c r="H599" s="61">
        <v>405</v>
      </c>
      <c r="I599" s="61">
        <v>640.64499999999998</v>
      </c>
      <c r="J599" s="61">
        <v>-235.64500000000001</v>
      </c>
      <c r="K599" s="61">
        <v>2826.2809999999999</v>
      </c>
      <c r="L599" s="61">
        <v>-67.47</v>
      </c>
      <c r="M599" s="61">
        <v>3182.047</v>
      </c>
      <c r="N599" s="61">
        <v>133.64599999999999</v>
      </c>
      <c r="O599" s="71">
        <v>17.053000000000001</v>
      </c>
      <c r="P599" s="60">
        <v>176.542</v>
      </c>
      <c r="Q599" s="61">
        <v>192.75299999999999</v>
      </c>
      <c r="R599" s="61">
        <v>401.52199999999999</v>
      </c>
      <c r="S599" s="61">
        <v>632.74199999999996</v>
      </c>
      <c r="T599" s="61">
        <v>58.093000000000004</v>
      </c>
      <c r="U599" s="61">
        <v>9.7550000000000008</v>
      </c>
      <c r="V599" s="61">
        <v>70.117999999999995</v>
      </c>
      <c r="W599" s="61">
        <v>93.254000000000005</v>
      </c>
      <c r="X599" s="61">
        <v>162.40199999999999</v>
      </c>
      <c r="Y599" s="61">
        <v>32.226999999999997</v>
      </c>
      <c r="Z599" s="61">
        <v>192.137</v>
      </c>
      <c r="AA599" s="61">
        <v>386.76600000000002</v>
      </c>
      <c r="AB599" s="60">
        <v>617.98599999999999</v>
      </c>
      <c r="AC599" s="62">
        <v>3289.33</v>
      </c>
      <c r="AD599" s="61">
        <v>138.15199999999999</v>
      </c>
      <c r="AE599" s="61">
        <v>18.071999999999999</v>
      </c>
      <c r="AF599" s="61">
        <v>304</v>
      </c>
      <c r="AG599" s="61">
        <v>2697.6759999999999</v>
      </c>
      <c r="AH599" s="61">
        <v>143.68199999999999</v>
      </c>
      <c r="AI599" s="61">
        <v>3449.6480000000001</v>
      </c>
      <c r="AJ599" s="61">
        <v>144.88499999999999</v>
      </c>
      <c r="AK599" s="62">
        <v>18.952000000000002</v>
      </c>
      <c r="AL599" s="63">
        <f t="shared" si="53"/>
        <v>144.88499999999999</v>
      </c>
      <c r="AM599" s="64">
        <v>18.503</v>
      </c>
      <c r="AN599" s="65" t="s">
        <v>121</v>
      </c>
      <c r="AO599" s="61" t="s">
        <v>121</v>
      </c>
      <c r="AP599" s="61">
        <v>445.11599999999999</v>
      </c>
      <c r="AQ599" s="61">
        <v>18.695</v>
      </c>
      <c r="AR599" s="61">
        <v>2.3849999999999998</v>
      </c>
      <c r="AS599" s="61" t="s">
        <v>122</v>
      </c>
      <c r="AT599" s="61">
        <v>176.07599999999999</v>
      </c>
      <c r="AU599" s="61">
        <v>-2.8319999999999999</v>
      </c>
      <c r="AV599" s="61">
        <v>447.94799999999998</v>
      </c>
      <c r="AW599" s="61">
        <v>18.814</v>
      </c>
      <c r="AX599" s="65">
        <v>2.4009999999999998</v>
      </c>
      <c r="AY599" s="66">
        <v>3.2549999999999999</v>
      </c>
      <c r="AZ599" s="61">
        <v>35.576000000000001</v>
      </c>
      <c r="BA599" s="61">
        <v>44.295999999999999</v>
      </c>
      <c r="BB599" s="61">
        <v>83.126000000000005</v>
      </c>
      <c r="BC599" s="61">
        <v>0.16400000000000001</v>
      </c>
      <c r="BD599" s="61">
        <v>1.9770000000000001</v>
      </c>
      <c r="BE599" s="61">
        <v>14.314</v>
      </c>
      <c r="BF599" s="61">
        <v>8.3000000000000004E-2</v>
      </c>
      <c r="BG599" s="61">
        <v>6.7519999999999998</v>
      </c>
      <c r="BH599" s="61">
        <v>2.99</v>
      </c>
      <c r="BI599" s="61">
        <v>2.133</v>
      </c>
      <c r="BJ599" s="61">
        <v>11.875</v>
      </c>
      <c r="BK599" s="66">
        <v>28.411999999999999</v>
      </c>
      <c r="BL599" s="67">
        <v>88.911000000000001</v>
      </c>
      <c r="BM599" s="61">
        <v>15.31</v>
      </c>
      <c r="BN599" s="61">
        <v>18.503</v>
      </c>
      <c r="BO599" s="61">
        <v>2.4009999999999998</v>
      </c>
      <c r="BP599" s="61">
        <v>125.124</v>
      </c>
      <c r="BQ599" s="61">
        <v>147.97399999999999</v>
      </c>
      <c r="BR599" s="61">
        <v>12.131</v>
      </c>
      <c r="BS599" s="61">
        <v>118.59099999999999</v>
      </c>
      <c r="BT599" s="61">
        <v>238.92400000000001</v>
      </c>
      <c r="BU599" s="61">
        <v>16.751000000000001</v>
      </c>
      <c r="BV599" s="61">
        <v>16.846</v>
      </c>
      <c r="BW599" s="61">
        <v>33.597000000000001</v>
      </c>
      <c r="BX599" s="67">
        <v>551.21699999999998</v>
      </c>
      <c r="BY599" s="68">
        <v>155497</v>
      </c>
      <c r="BZ599" s="68">
        <v>122624</v>
      </c>
      <c r="CA599" s="69">
        <v>3805</v>
      </c>
      <c r="CB599" s="68">
        <v>110531</v>
      </c>
      <c r="CC599" s="68">
        <v>39275</v>
      </c>
      <c r="CD599" s="68">
        <v>147541</v>
      </c>
      <c r="CE599" s="72">
        <v>4951.8</v>
      </c>
      <c r="CF599" s="72">
        <v>6526.8</v>
      </c>
      <c r="CG599" s="70">
        <f t="shared" si="49"/>
        <v>4642.3019999999997</v>
      </c>
      <c r="CH599" s="70">
        <f t="shared" si="50"/>
        <v>159.81</v>
      </c>
      <c r="CI599" s="70">
        <f t="shared" si="51"/>
        <v>1649.55</v>
      </c>
      <c r="CJ599" s="70">
        <f t="shared" si="52"/>
        <v>6530.8739999999998</v>
      </c>
      <c r="CK599" s="70">
        <f t="shared" si="52"/>
        <v>5150.2079999999996</v>
      </c>
      <c r="CL599" s="70">
        <f t="shared" si="48"/>
        <v>6196.7219999999998</v>
      </c>
      <c r="CM599" s="61"/>
      <c r="CN599" s="61"/>
      <c r="CO599" s="61"/>
      <c r="CP599" s="61"/>
      <c r="CQ599" s="61"/>
      <c r="CR599" s="61"/>
      <c r="CS599" s="61"/>
      <c r="CT599" s="61"/>
      <c r="CU599" s="61"/>
      <c r="CV599" s="61"/>
      <c r="CW599" s="61"/>
      <c r="CX599" s="61"/>
      <c r="CY599" s="61"/>
      <c r="CZ599" s="61"/>
      <c r="DA599" s="61"/>
      <c r="DB599" s="61"/>
      <c r="DC599" s="61"/>
      <c r="DD599" s="61"/>
      <c r="DE599" s="61"/>
      <c r="DF599" s="61"/>
      <c r="DG599" s="61"/>
      <c r="DH599" s="61"/>
      <c r="DI599" s="61"/>
      <c r="DJ599" s="61"/>
      <c r="DK599" s="61"/>
      <c r="DL599" s="61"/>
      <c r="DM599" s="61"/>
      <c r="DN599" s="61"/>
      <c r="DO599" s="61"/>
      <c r="DP599" s="61"/>
      <c r="DQ599" s="61"/>
      <c r="DR599" s="61"/>
      <c r="DS599" s="61"/>
      <c r="DT599" s="61"/>
      <c r="DU599" s="61"/>
      <c r="DV599" s="61"/>
      <c r="DW599" s="61"/>
      <c r="DX599" s="61"/>
      <c r="DY599" s="61"/>
      <c r="DZ599" s="61"/>
      <c r="EA599" s="61"/>
      <c r="EB599" s="61"/>
      <c r="EC599" s="61"/>
      <c r="ED599" s="61"/>
      <c r="EE599" s="61"/>
      <c r="EF599" s="61"/>
      <c r="EG599" s="61"/>
      <c r="EH599" s="61"/>
      <c r="EI599" s="61"/>
      <c r="EJ599" s="61"/>
      <c r="EK599" s="61"/>
      <c r="EL599" s="61"/>
      <c r="EM599" s="61"/>
      <c r="EN599" s="61"/>
      <c r="EO599" s="61"/>
      <c r="EP599" s="61"/>
      <c r="EQ599" s="61"/>
      <c r="ER599" s="61"/>
      <c r="ES599" s="61"/>
      <c r="ET599" s="61"/>
      <c r="EU599" s="61"/>
      <c r="EV599" s="61"/>
      <c r="EW599" s="61"/>
    </row>
    <row r="600" spans="1:153">
      <c r="A600" s="56">
        <v>44835</v>
      </c>
      <c r="B600" s="57">
        <v>2022</v>
      </c>
      <c r="C600" s="71">
        <v>18.818999999999999</v>
      </c>
      <c r="D600" s="61">
        <v>0.25600000000000001</v>
      </c>
      <c r="E600" s="61">
        <v>3463.9059999999999</v>
      </c>
      <c r="F600" s="61">
        <v>145.48400000000001</v>
      </c>
      <c r="G600" s="61">
        <v>18.562999999999999</v>
      </c>
      <c r="H600" s="61">
        <v>658</v>
      </c>
      <c r="I600" s="61">
        <v>468.12799999999999</v>
      </c>
      <c r="J600" s="61">
        <v>189.87200000000001</v>
      </c>
      <c r="K600" s="61">
        <v>2903.248</v>
      </c>
      <c r="L600" s="61">
        <v>76.968000000000004</v>
      </c>
      <c r="M600" s="61">
        <v>3576.81</v>
      </c>
      <c r="N600" s="61">
        <v>150.226</v>
      </c>
      <c r="O600" s="71">
        <v>19.167999999999999</v>
      </c>
      <c r="P600" s="60">
        <v>173.97900000000001</v>
      </c>
      <c r="Q600" s="61">
        <v>217.084</v>
      </c>
      <c r="R600" s="61">
        <v>425.435</v>
      </c>
      <c r="S600" s="61">
        <v>659.20100000000002</v>
      </c>
      <c r="T600" s="61">
        <v>49.021999999999998</v>
      </c>
      <c r="U600" s="61">
        <v>9.8239999999999998</v>
      </c>
      <c r="V600" s="61">
        <v>63.195999999999998</v>
      </c>
      <c r="W600" s="61">
        <v>111.72499999999999</v>
      </c>
      <c r="X600" s="61">
        <v>162.69800000000001</v>
      </c>
      <c r="Y600" s="61">
        <v>34.372</v>
      </c>
      <c r="Z600" s="61">
        <v>215.696</v>
      </c>
      <c r="AA600" s="61">
        <v>412.76600000000002</v>
      </c>
      <c r="AB600" s="60">
        <v>646.53200000000004</v>
      </c>
      <c r="AC600" s="62">
        <v>3079.4459999999999</v>
      </c>
      <c r="AD600" s="61">
        <v>129.33699999999999</v>
      </c>
      <c r="AE600" s="61">
        <v>16.917999999999999</v>
      </c>
      <c r="AF600" s="61">
        <v>451</v>
      </c>
      <c r="AG600" s="61">
        <v>2235.002</v>
      </c>
      <c r="AH600" s="61">
        <v>-462.67500000000001</v>
      </c>
      <c r="AI600" s="61">
        <v>3993.1210000000001</v>
      </c>
      <c r="AJ600" s="61">
        <v>167.71100000000001</v>
      </c>
      <c r="AK600" s="62">
        <v>21.937999999999999</v>
      </c>
      <c r="AL600" s="63">
        <f t="shared" si="53"/>
        <v>167.71100000000001</v>
      </c>
      <c r="AM600" s="64">
        <v>21.274000000000001</v>
      </c>
      <c r="AN600" s="65" t="s">
        <v>121</v>
      </c>
      <c r="AO600" s="61" t="s">
        <v>121</v>
      </c>
      <c r="AP600" s="61">
        <v>475.10599999999999</v>
      </c>
      <c r="AQ600" s="61">
        <v>19.954000000000001</v>
      </c>
      <c r="AR600" s="61">
        <v>2.5459999999999998</v>
      </c>
      <c r="AS600" s="61" t="s">
        <v>122</v>
      </c>
      <c r="AT600" s="61">
        <v>177.55799999999999</v>
      </c>
      <c r="AU600" s="61">
        <v>1.482</v>
      </c>
      <c r="AV600" s="61">
        <v>473.62400000000002</v>
      </c>
      <c r="AW600" s="61">
        <v>19.891999999999999</v>
      </c>
      <c r="AX600" s="65">
        <v>2.5379999999999998</v>
      </c>
      <c r="AY600" s="66">
        <v>3.363</v>
      </c>
      <c r="AZ600" s="61">
        <v>32.898000000000003</v>
      </c>
      <c r="BA600" s="61">
        <v>45.771999999999998</v>
      </c>
      <c r="BB600" s="61">
        <v>82.034000000000006</v>
      </c>
      <c r="BC600" s="61" t="s">
        <v>143</v>
      </c>
      <c r="BD600" s="61">
        <v>1.954</v>
      </c>
      <c r="BE600" s="61">
        <v>12.345000000000001</v>
      </c>
      <c r="BF600" s="61">
        <v>0.108</v>
      </c>
      <c r="BG600" s="61">
        <v>6.8789999999999996</v>
      </c>
      <c r="BH600" s="61">
        <v>3.093</v>
      </c>
      <c r="BI600" s="61">
        <v>2.3719999999999999</v>
      </c>
      <c r="BJ600" s="61">
        <v>12.343999999999999</v>
      </c>
      <c r="BK600" s="66">
        <v>26.891999999999999</v>
      </c>
      <c r="BL600" s="67">
        <v>98.867000000000004</v>
      </c>
      <c r="BM600" s="61">
        <v>18.78</v>
      </c>
      <c r="BN600" s="61">
        <v>21.274000000000001</v>
      </c>
      <c r="BO600" s="61">
        <v>2.5379999999999998</v>
      </c>
      <c r="BP600" s="61">
        <v>141.459</v>
      </c>
      <c r="BQ600" s="61">
        <v>128.803</v>
      </c>
      <c r="BR600" s="61">
        <v>11.608000000000001</v>
      </c>
      <c r="BS600" s="61">
        <v>107.59699999999999</v>
      </c>
      <c r="BT600" s="61">
        <v>290.10300000000001</v>
      </c>
      <c r="BU600" s="61">
        <v>14.754</v>
      </c>
      <c r="BV600" s="61">
        <v>17.361999999999998</v>
      </c>
      <c r="BW600" s="61">
        <v>32.116</v>
      </c>
      <c r="BX600" s="67">
        <v>570.22799999999995</v>
      </c>
      <c r="BY600" s="68">
        <v>157392</v>
      </c>
      <c r="BZ600" s="68">
        <v>129048</v>
      </c>
      <c r="CA600" s="69">
        <v>3272</v>
      </c>
      <c r="CB600" s="68">
        <v>110492</v>
      </c>
      <c r="CC600" s="68">
        <v>31660</v>
      </c>
      <c r="CD600" s="68">
        <v>150348</v>
      </c>
      <c r="CE600" s="72">
        <v>5090.82</v>
      </c>
      <c r="CF600" s="72">
        <v>6614.1600000000008</v>
      </c>
      <c r="CG600" s="70">
        <f t="shared" si="49"/>
        <v>4640.6639999999998</v>
      </c>
      <c r="CH600" s="70">
        <f t="shared" si="50"/>
        <v>137.42400000000001</v>
      </c>
      <c r="CI600" s="70">
        <f t="shared" si="51"/>
        <v>1329.72</v>
      </c>
      <c r="CJ600" s="70">
        <f t="shared" si="52"/>
        <v>6610.4639999999999</v>
      </c>
      <c r="CK600" s="70">
        <f t="shared" si="52"/>
        <v>5420.0159999999996</v>
      </c>
      <c r="CL600" s="70">
        <f t="shared" si="48"/>
        <v>6314.616</v>
      </c>
      <c r="CM600" s="61"/>
      <c r="CN600" s="61"/>
      <c r="CO600" s="61"/>
      <c r="CP600" s="61"/>
      <c r="CQ600" s="61"/>
      <c r="CR600" s="61"/>
      <c r="CS600" s="61"/>
      <c r="CT600" s="61"/>
      <c r="CU600" s="61"/>
      <c r="CV600" s="61"/>
      <c r="CW600" s="61"/>
      <c r="CX600" s="61"/>
      <c r="CY600" s="61"/>
      <c r="CZ600" s="61"/>
      <c r="DA600" s="61"/>
      <c r="DB600" s="61"/>
      <c r="DC600" s="61"/>
      <c r="DD600" s="61"/>
      <c r="DE600" s="61"/>
      <c r="DF600" s="61"/>
      <c r="DG600" s="61"/>
      <c r="DH600" s="61"/>
      <c r="DI600" s="61"/>
      <c r="DJ600" s="61"/>
      <c r="DK600" s="61"/>
      <c r="DL600" s="61"/>
      <c r="DM600" s="61"/>
      <c r="DN600" s="61"/>
      <c r="DO600" s="61"/>
      <c r="DP600" s="61"/>
      <c r="DQ600" s="61"/>
      <c r="DR600" s="61"/>
      <c r="DS600" s="61"/>
      <c r="DT600" s="61"/>
      <c r="DU600" s="61"/>
      <c r="DV600" s="61"/>
      <c r="DW600" s="61"/>
      <c r="DX600" s="61"/>
      <c r="DY600" s="61"/>
      <c r="DZ600" s="61"/>
      <c r="EA600" s="61"/>
      <c r="EB600" s="61"/>
      <c r="EC600" s="61"/>
      <c r="ED600" s="61"/>
      <c r="EE600" s="61"/>
      <c r="EF600" s="61"/>
      <c r="EG600" s="61"/>
      <c r="EH600" s="61"/>
      <c r="EI600" s="61"/>
      <c r="EJ600" s="61"/>
      <c r="EK600" s="61"/>
      <c r="EL600" s="61"/>
      <c r="EM600" s="61"/>
      <c r="EN600" s="61"/>
      <c r="EO600" s="61"/>
      <c r="EP600" s="61"/>
      <c r="EQ600" s="61"/>
      <c r="ER600" s="61"/>
      <c r="ES600" s="61"/>
      <c r="ET600" s="61"/>
      <c r="EU600" s="61"/>
      <c r="EV600" s="61"/>
      <c r="EW600" s="61"/>
    </row>
    <row r="601" spans="1:153">
      <c r="A601" s="56">
        <v>44866</v>
      </c>
      <c r="B601" s="57">
        <v>2022</v>
      </c>
      <c r="C601" s="71">
        <v>18.382999999999999</v>
      </c>
      <c r="D601" s="61">
        <v>0.25</v>
      </c>
      <c r="E601" s="61">
        <v>3383.529</v>
      </c>
      <c r="F601" s="61">
        <v>142.108</v>
      </c>
      <c r="G601" s="61">
        <v>18.132000000000001</v>
      </c>
      <c r="H601" s="61">
        <v>903</v>
      </c>
      <c r="I601" s="61">
        <v>220.87100000000001</v>
      </c>
      <c r="J601" s="61">
        <v>682.12900000000002</v>
      </c>
      <c r="K601" s="61">
        <v>3232.328</v>
      </c>
      <c r="L601" s="61">
        <v>329.07900000000001</v>
      </c>
      <c r="M601" s="61">
        <v>3736.5790000000002</v>
      </c>
      <c r="N601" s="61">
        <v>156.93600000000001</v>
      </c>
      <c r="O601" s="71">
        <v>20.024000000000001</v>
      </c>
      <c r="P601" s="60">
        <v>173.92</v>
      </c>
      <c r="Q601" s="61">
        <v>219.441</v>
      </c>
      <c r="R601" s="61">
        <v>427.49299999999999</v>
      </c>
      <c r="S601" s="61">
        <v>685.82500000000005</v>
      </c>
      <c r="T601" s="61">
        <v>61.067999999999998</v>
      </c>
      <c r="U601" s="61">
        <v>9.9849999999999994</v>
      </c>
      <c r="V601" s="61">
        <v>46.707999999999998</v>
      </c>
      <c r="W601" s="61">
        <v>140.57</v>
      </c>
      <c r="X601" s="61">
        <v>163.898</v>
      </c>
      <c r="Y601" s="61">
        <v>34.131999999999998</v>
      </c>
      <c r="Z601" s="61">
        <v>208.685</v>
      </c>
      <c r="AA601" s="61">
        <v>406.71499999999997</v>
      </c>
      <c r="AB601" s="60">
        <v>665.04700000000003</v>
      </c>
      <c r="AC601" s="62">
        <v>3465.1170000000002</v>
      </c>
      <c r="AD601" s="61">
        <v>145.535</v>
      </c>
      <c r="AE601" s="61">
        <v>19.036999999999999</v>
      </c>
      <c r="AF601" s="61">
        <v>692</v>
      </c>
      <c r="AG601" s="61">
        <v>3087.2779999999998</v>
      </c>
      <c r="AH601" s="61">
        <v>852.27700000000004</v>
      </c>
      <c r="AI601" s="61">
        <v>3304.84</v>
      </c>
      <c r="AJ601" s="61">
        <v>138.803</v>
      </c>
      <c r="AK601" s="62">
        <v>18.157</v>
      </c>
      <c r="AL601" s="63">
        <f t="shared" si="53"/>
        <v>138.803</v>
      </c>
      <c r="AM601" s="64">
        <v>17.786999999999999</v>
      </c>
      <c r="AN601" s="65" t="s">
        <v>121</v>
      </c>
      <c r="AO601" s="61" t="s">
        <v>121</v>
      </c>
      <c r="AP601" s="61">
        <v>501.69200000000001</v>
      </c>
      <c r="AQ601" s="61">
        <v>21.071000000000002</v>
      </c>
      <c r="AR601" s="61">
        <v>2.6890000000000001</v>
      </c>
      <c r="AS601" s="61" t="s">
        <v>122</v>
      </c>
      <c r="AT601" s="61">
        <v>243.833</v>
      </c>
      <c r="AU601" s="61">
        <v>66.275000000000006</v>
      </c>
      <c r="AV601" s="61">
        <v>435.41699999999997</v>
      </c>
      <c r="AW601" s="61">
        <v>18.288</v>
      </c>
      <c r="AX601" s="65">
        <v>2.3330000000000002</v>
      </c>
      <c r="AY601" s="66">
        <v>3.2549999999999999</v>
      </c>
      <c r="AZ601" s="61">
        <v>26.78</v>
      </c>
      <c r="BA601" s="61">
        <v>44.295999999999999</v>
      </c>
      <c r="BB601" s="61">
        <v>74.331000000000003</v>
      </c>
      <c r="BC601" s="61">
        <v>0.18099999999999999</v>
      </c>
      <c r="BD601" s="61">
        <v>2.1059999999999999</v>
      </c>
      <c r="BE601" s="61">
        <v>9.6229999999999993</v>
      </c>
      <c r="BF601" s="61">
        <v>0.155</v>
      </c>
      <c r="BG601" s="61">
        <v>6.7939999999999996</v>
      </c>
      <c r="BH601" s="61">
        <v>3.2090000000000001</v>
      </c>
      <c r="BI601" s="61">
        <v>2.2589999999999999</v>
      </c>
      <c r="BJ601" s="61">
        <v>12.262</v>
      </c>
      <c r="BK601" s="66">
        <v>24.327000000000002</v>
      </c>
      <c r="BL601" s="67">
        <v>94.144999999999996</v>
      </c>
      <c r="BM601" s="61">
        <v>20.07</v>
      </c>
      <c r="BN601" s="61">
        <v>17.786999999999999</v>
      </c>
      <c r="BO601" s="61">
        <v>2.3330000000000002</v>
      </c>
      <c r="BP601" s="61">
        <v>134.33500000000001</v>
      </c>
      <c r="BQ601" s="61">
        <v>165.17699999999999</v>
      </c>
      <c r="BR601" s="61">
        <v>12.504</v>
      </c>
      <c r="BS601" s="61">
        <v>74.537000000000006</v>
      </c>
      <c r="BT601" s="61">
        <v>369.64699999999999</v>
      </c>
      <c r="BU601" s="61">
        <v>15.326000000000001</v>
      </c>
      <c r="BV601" s="61">
        <v>17.462</v>
      </c>
      <c r="BW601" s="61">
        <v>32.789000000000001</v>
      </c>
      <c r="BX601" s="67">
        <v>654.654</v>
      </c>
      <c r="BY601" s="68">
        <v>160152</v>
      </c>
      <c r="BZ601" s="68">
        <v>121785</v>
      </c>
      <c r="CA601" s="69">
        <v>6829</v>
      </c>
      <c r="CB601" s="68">
        <v>120601</v>
      </c>
      <c r="CC601" s="68">
        <v>35083</v>
      </c>
      <c r="CD601" s="68">
        <v>152388</v>
      </c>
      <c r="CE601" s="72">
        <v>4699.8</v>
      </c>
      <c r="CF601" s="72">
        <v>6728.4</v>
      </c>
      <c r="CG601" s="70">
        <f t="shared" si="49"/>
        <v>5065.2420000000002</v>
      </c>
      <c r="CH601" s="70">
        <f t="shared" si="50"/>
        <v>286.81799999999998</v>
      </c>
      <c r="CI601" s="70">
        <f t="shared" si="51"/>
        <v>1473.4860000000001</v>
      </c>
      <c r="CJ601" s="70">
        <f t="shared" si="52"/>
        <v>6726.384</v>
      </c>
      <c r="CK601" s="70">
        <f t="shared" si="52"/>
        <v>5114.97</v>
      </c>
      <c r="CL601" s="70">
        <f t="shared" si="48"/>
        <v>6400.2960000000003</v>
      </c>
      <c r="CM601" s="61"/>
      <c r="CN601" s="61"/>
      <c r="CO601" s="61"/>
      <c r="CP601" s="61"/>
      <c r="CQ601" s="61"/>
      <c r="CR601" s="61"/>
      <c r="CS601" s="61"/>
      <c r="CT601" s="61"/>
      <c r="CU601" s="61"/>
      <c r="CV601" s="61"/>
      <c r="CW601" s="61"/>
      <c r="CX601" s="61"/>
      <c r="CY601" s="61"/>
      <c r="CZ601" s="61"/>
      <c r="DA601" s="61"/>
      <c r="DB601" s="61"/>
      <c r="DC601" s="61"/>
      <c r="DD601" s="61"/>
      <c r="DE601" s="61"/>
      <c r="DF601" s="61"/>
      <c r="DG601" s="61"/>
      <c r="DH601" s="61"/>
      <c r="DI601" s="61"/>
      <c r="DJ601" s="61"/>
      <c r="DK601" s="61"/>
      <c r="DL601" s="61"/>
      <c r="DM601" s="61"/>
      <c r="DN601" s="61"/>
      <c r="DO601" s="61"/>
      <c r="DP601" s="61"/>
      <c r="DQ601" s="61"/>
      <c r="DR601" s="61"/>
      <c r="DS601" s="61"/>
      <c r="DT601" s="61"/>
      <c r="DU601" s="61"/>
      <c r="DV601" s="61"/>
      <c r="DW601" s="61"/>
      <c r="DX601" s="61"/>
      <c r="DY601" s="61"/>
      <c r="DZ601" s="61"/>
      <c r="EA601" s="61"/>
      <c r="EB601" s="61"/>
      <c r="EC601" s="61"/>
      <c r="ED601" s="61"/>
      <c r="EE601" s="61"/>
      <c r="EF601" s="61"/>
      <c r="EG601" s="61"/>
      <c r="EH601" s="61"/>
      <c r="EI601" s="61"/>
      <c r="EJ601" s="61"/>
      <c r="EK601" s="61"/>
      <c r="EL601" s="61"/>
      <c r="EM601" s="61"/>
      <c r="EN601" s="61"/>
      <c r="EO601" s="61"/>
      <c r="EP601" s="61"/>
      <c r="EQ601" s="61"/>
      <c r="ER601" s="61"/>
      <c r="ES601" s="61"/>
      <c r="ET601" s="61"/>
      <c r="EU601" s="61"/>
      <c r="EV601" s="61"/>
      <c r="EW601" s="61"/>
    </row>
    <row r="602" spans="1:153">
      <c r="A602" s="56">
        <v>44896</v>
      </c>
      <c r="B602" s="57">
        <v>2022</v>
      </c>
      <c r="C602" s="71">
        <v>17.190999999999999</v>
      </c>
      <c r="D602" s="61">
        <v>0.23400000000000001</v>
      </c>
      <c r="E602" s="61">
        <v>3164.1190000000001</v>
      </c>
      <c r="F602" s="61">
        <v>132.893</v>
      </c>
      <c r="G602" s="61">
        <v>16.957000000000001</v>
      </c>
      <c r="H602" s="61">
        <v>851</v>
      </c>
      <c r="I602" s="61">
        <v>461.53500000000003</v>
      </c>
      <c r="J602" s="61">
        <v>389.46499999999997</v>
      </c>
      <c r="K602" s="61">
        <v>3607.8510000000001</v>
      </c>
      <c r="L602" s="61">
        <v>375.52300000000002</v>
      </c>
      <c r="M602" s="61">
        <v>3178.0610000000001</v>
      </c>
      <c r="N602" s="61">
        <v>133.47900000000001</v>
      </c>
      <c r="O602" s="71">
        <v>17.030999999999999</v>
      </c>
      <c r="P602" s="60">
        <v>182.512</v>
      </c>
      <c r="Q602" s="61">
        <v>210.94300000000001</v>
      </c>
      <c r="R602" s="61">
        <v>428.63</v>
      </c>
      <c r="S602" s="61">
        <v>680.41600000000005</v>
      </c>
      <c r="T602" s="61">
        <v>69.706000000000003</v>
      </c>
      <c r="U602" s="61">
        <v>10.45</v>
      </c>
      <c r="V602" s="61">
        <v>39.655999999999999</v>
      </c>
      <c r="W602" s="61">
        <v>131.97499999999999</v>
      </c>
      <c r="X602" s="61">
        <v>169.28100000000001</v>
      </c>
      <c r="Y602" s="61">
        <v>35.176000000000002</v>
      </c>
      <c r="Z602" s="61">
        <v>204.88900000000001</v>
      </c>
      <c r="AA602" s="61">
        <v>409.34500000000003</v>
      </c>
      <c r="AB602" s="60">
        <v>661.13099999999997</v>
      </c>
      <c r="AC602" s="62">
        <v>3619.0549999999998</v>
      </c>
      <c r="AD602" s="61">
        <v>152</v>
      </c>
      <c r="AE602" s="61">
        <v>19.882999999999999</v>
      </c>
      <c r="AF602" s="61">
        <v>670</v>
      </c>
      <c r="AG602" s="61">
        <v>3405.4589999999998</v>
      </c>
      <c r="AH602" s="61">
        <v>318.18099999999998</v>
      </c>
      <c r="AI602" s="61">
        <v>3970.8739999999998</v>
      </c>
      <c r="AJ602" s="61">
        <v>166.77699999999999</v>
      </c>
      <c r="AK602" s="62">
        <v>21.815999999999999</v>
      </c>
      <c r="AL602" s="63">
        <f t="shared" si="53"/>
        <v>166.77699999999999</v>
      </c>
      <c r="AM602" s="64">
        <v>21.556000000000001</v>
      </c>
      <c r="AN602" s="65" t="s">
        <v>121</v>
      </c>
      <c r="AO602" s="61" t="s">
        <v>121</v>
      </c>
      <c r="AP602" s="61">
        <v>605.81200000000001</v>
      </c>
      <c r="AQ602" s="61">
        <v>25.443999999999999</v>
      </c>
      <c r="AR602" s="61">
        <v>3.2469999999999999</v>
      </c>
      <c r="AS602" s="61">
        <v>52</v>
      </c>
      <c r="AT602" s="61">
        <v>282.25299999999999</v>
      </c>
      <c r="AU602" s="61">
        <v>38.42</v>
      </c>
      <c r="AV602" s="61">
        <v>619.39200000000005</v>
      </c>
      <c r="AW602" s="61">
        <v>26.013999999999999</v>
      </c>
      <c r="AX602" s="65">
        <v>3.319</v>
      </c>
      <c r="AY602" s="66">
        <v>3.363</v>
      </c>
      <c r="AZ602" s="61">
        <v>24.26</v>
      </c>
      <c r="BA602" s="61">
        <v>45.771999999999998</v>
      </c>
      <c r="BB602" s="61">
        <v>73.396000000000001</v>
      </c>
      <c r="BC602" s="61">
        <v>0.20100000000000001</v>
      </c>
      <c r="BD602" s="61">
        <v>2.1819999999999999</v>
      </c>
      <c r="BE602" s="61">
        <v>8.8409999999999993</v>
      </c>
      <c r="BF602" s="61">
        <v>0.13</v>
      </c>
      <c r="BG602" s="61">
        <v>7.0220000000000002</v>
      </c>
      <c r="BH602" s="61">
        <v>3.0270000000000001</v>
      </c>
      <c r="BI602" s="61">
        <v>2.2040000000000002</v>
      </c>
      <c r="BJ602" s="61">
        <v>12.252000000000001</v>
      </c>
      <c r="BK602" s="66">
        <v>23.606000000000002</v>
      </c>
      <c r="BL602" s="67">
        <v>91.849000000000004</v>
      </c>
      <c r="BM602" s="61">
        <v>17.172000000000001</v>
      </c>
      <c r="BN602" s="61">
        <v>21.556000000000001</v>
      </c>
      <c r="BO602" s="61">
        <v>3.319</v>
      </c>
      <c r="BP602" s="61">
        <v>133.89699999999999</v>
      </c>
      <c r="BQ602" s="61">
        <v>192.49700000000001</v>
      </c>
      <c r="BR602" s="61">
        <v>13.32</v>
      </c>
      <c r="BS602" s="61">
        <v>61.787999999999997</v>
      </c>
      <c r="BT602" s="61">
        <v>347.18</v>
      </c>
      <c r="BU602" s="61">
        <v>17.155999999999999</v>
      </c>
      <c r="BV602" s="61">
        <v>17.297999999999998</v>
      </c>
      <c r="BW602" s="61">
        <v>34.454000000000001</v>
      </c>
      <c r="BX602" s="67">
        <v>649.23900000000003</v>
      </c>
      <c r="BY602" s="68">
        <v>151059</v>
      </c>
      <c r="BZ602" s="68">
        <v>117574</v>
      </c>
      <c r="CA602" s="69">
        <v>6551</v>
      </c>
      <c r="CB602" s="68">
        <v>118899</v>
      </c>
      <c r="CC602" s="68">
        <v>41735</v>
      </c>
      <c r="CD602" s="68">
        <v>143269</v>
      </c>
      <c r="CE602" s="72">
        <v>4231.5</v>
      </c>
      <c r="CF602" s="72">
        <v>6340.74</v>
      </c>
      <c r="CG602" s="70">
        <f t="shared" si="49"/>
        <v>4993.7579999999998</v>
      </c>
      <c r="CH602" s="70">
        <f t="shared" si="50"/>
        <v>275.142</v>
      </c>
      <c r="CI602" s="70">
        <f t="shared" si="51"/>
        <v>1752.87</v>
      </c>
      <c r="CJ602" s="70">
        <f t="shared" si="52"/>
        <v>6344.4780000000001</v>
      </c>
      <c r="CK602" s="70">
        <f t="shared" si="52"/>
        <v>4938.1080000000002</v>
      </c>
      <c r="CL602" s="70">
        <f t="shared" si="48"/>
        <v>6017.2979999999998</v>
      </c>
      <c r="CM602" s="61"/>
      <c r="CN602" s="61"/>
      <c r="CO602" s="61"/>
      <c r="CP602" s="61"/>
      <c r="CQ602" s="61"/>
      <c r="CR602" s="61"/>
      <c r="CS602" s="61"/>
      <c r="CT602" s="61"/>
      <c r="CU602" s="61"/>
      <c r="CV602" s="61"/>
      <c r="CW602" s="61"/>
      <c r="CX602" s="61"/>
      <c r="CY602" s="61"/>
      <c r="CZ602" s="61"/>
      <c r="DA602" s="61"/>
      <c r="DB602" s="61"/>
      <c r="DC602" s="61"/>
      <c r="DD602" s="61"/>
      <c r="DE602" s="61"/>
      <c r="DF602" s="61"/>
      <c r="DG602" s="61"/>
      <c r="DH602" s="61"/>
      <c r="DI602" s="61"/>
      <c r="DJ602" s="61"/>
      <c r="DK602" s="61"/>
      <c r="DL602" s="61"/>
      <c r="DM602" s="61"/>
      <c r="DN602" s="61"/>
      <c r="DO602" s="61"/>
      <c r="DP602" s="61"/>
      <c r="DQ602" s="61"/>
      <c r="DR602" s="61"/>
      <c r="DS602" s="61"/>
      <c r="DT602" s="61"/>
      <c r="DU602" s="61"/>
      <c r="DV602" s="61"/>
      <c r="DW602" s="61"/>
      <c r="DX602" s="61"/>
      <c r="DY602" s="61"/>
      <c r="DZ602" s="61"/>
      <c r="EA602" s="61"/>
      <c r="EB602" s="61"/>
      <c r="EC602" s="61"/>
      <c r="ED602" s="61"/>
      <c r="EE602" s="61"/>
      <c r="EF602" s="61"/>
      <c r="EG602" s="61"/>
      <c r="EH602" s="61"/>
      <c r="EI602" s="61"/>
      <c r="EJ602" s="61"/>
      <c r="EK602" s="61"/>
      <c r="EL602" s="61"/>
      <c r="EM602" s="61"/>
      <c r="EN602" s="61"/>
      <c r="EO602" s="61"/>
      <c r="EP602" s="61"/>
      <c r="EQ602" s="61"/>
      <c r="ER602" s="61"/>
      <c r="ES602" s="61"/>
      <c r="ET602" s="61"/>
      <c r="EU602" s="61"/>
      <c r="EV602" s="61"/>
      <c r="EW602" s="61"/>
    </row>
    <row r="603" spans="1:153">
      <c r="A603" s="56">
        <v>44927</v>
      </c>
      <c r="B603" s="57">
        <v>2023</v>
      </c>
      <c r="C603" s="71">
        <v>17.616</v>
      </c>
      <c r="D603" s="61">
        <v>0.24</v>
      </c>
      <c r="E603" s="61">
        <v>3242.42</v>
      </c>
      <c r="F603" s="61">
        <v>137.54599999999999</v>
      </c>
      <c r="G603" s="61">
        <v>17.376000000000001</v>
      </c>
      <c r="H603" s="61">
        <v>930</v>
      </c>
      <c r="I603" s="61">
        <v>164.19900000000001</v>
      </c>
      <c r="J603" s="61">
        <v>765.80100000000004</v>
      </c>
      <c r="K603" s="61">
        <v>4401.5739999999996</v>
      </c>
      <c r="L603" s="61">
        <v>793.72299999999996</v>
      </c>
      <c r="M603" s="61">
        <v>3246.9810000000002</v>
      </c>
      <c r="N603" s="61">
        <v>136.37299999999999</v>
      </c>
      <c r="O603" s="71">
        <v>18.13</v>
      </c>
      <c r="P603" s="60">
        <v>181.536</v>
      </c>
      <c r="Q603" s="68">
        <v>219.626</v>
      </c>
      <c r="R603" s="61">
        <v>436.923</v>
      </c>
      <c r="S603" s="61">
        <v>701.84900000000005</v>
      </c>
      <c r="T603" s="61">
        <v>76.043000000000006</v>
      </c>
      <c r="U603" s="61">
        <v>10.709</v>
      </c>
      <c r="V603" s="61">
        <v>44.384</v>
      </c>
      <c r="W603" s="61">
        <v>133.79</v>
      </c>
      <c r="X603" s="61">
        <v>173.738</v>
      </c>
      <c r="Y603" s="61">
        <v>35.761000000000003</v>
      </c>
      <c r="Z603" s="68">
        <v>210.20500000000001</v>
      </c>
      <c r="AA603" s="61">
        <v>419.70299999999997</v>
      </c>
      <c r="AB603" s="60">
        <v>684.63</v>
      </c>
      <c r="AC603" s="62">
        <v>3993.8620000000001</v>
      </c>
      <c r="AD603" s="61">
        <v>167.74199999999999</v>
      </c>
      <c r="AE603" s="61">
        <v>21.942</v>
      </c>
      <c r="AF603" s="61">
        <v>633</v>
      </c>
      <c r="AG603" s="61">
        <v>3557.1790000000001</v>
      </c>
      <c r="AH603" s="61">
        <v>151.721</v>
      </c>
      <c r="AI603" s="61">
        <v>4475.1409999999996</v>
      </c>
      <c r="AJ603" s="61">
        <v>187.95599999999999</v>
      </c>
      <c r="AK603" s="62">
        <v>24.585999999999999</v>
      </c>
      <c r="AL603" s="63">
        <f t="shared" si="53"/>
        <v>187.95599999999999</v>
      </c>
      <c r="AM603" s="64">
        <v>24.585999999999999</v>
      </c>
      <c r="AN603" s="65" t="s">
        <v>121</v>
      </c>
      <c r="AO603" s="61" t="s">
        <v>121</v>
      </c>
      <c r="AP603" s="61">
        <v>561.99900000000002</v>
      </c>
      <c r="AQ603" s="61">
        <v>23.603999999999999</v>
      </c>
      <c r="AR603" s="61">
        <v>3.012</v>
      </c>
      <c r="AS603" s="61" t="s">
        <v>122</v>
      </c>
      <c r="AT603" s="61">
        <v>228.59200000000001</v>
      </c>
      <c r="AU603" s="61">
        <v>-53.661000000000001</v>
      </c>
      <c r="AV603" s="61">
        <v>615.66</v>
      </c>
      <c r="AW603" s="61">
        <v>25.858000000000001</v>
      </c>
      <c r="AX603" s="65">
        <v>3.2989999999999999</v>
      </c>
      <c r="AY603" s="66">
        <v>3.363</v>
      </c>
      <c r="AZ603" s="68">
        <v>12.539</v>
      </c>
      <c r="BA603" s="68">
        <v>38.247</v>
      </c>
      <c r="BB603" s="68">
        <v>54.149000000000001</v>
      </c>
      <c r="BC603" s="68">
        <v>0.08</v>
      </c>
      <c r="BD603" s="68">
        <v>1.673</v>
      </c>
      <c r="BE603" s="68">
        <v>3.89</v>
      </c>
      <c r="BF603" s="68">
        <v>5.6000000000000001E-2</v>
      </c>
      <c r="BG603" s="68">
        <v>7.0129999999999999</v>
      </c>
      <c r="BH603" s="68">
        <v>6.1260000000000003</v>
      </c>
      <c r="BI603" s="68">
        <v>2.5840000000000001</v>
      </c>
      <c r="BJ603" s="68">
        <v>15.723000000000001</v>
      </c>
      <c r="BK603" s="66">
        <v>21.420999999999999</v>
      </c>
      <c r="BL603" s="67">
        <v>91.150999999999996</v>
      </c>
      <c r="BM603" s="61">
        <v>18.13</v>
      </c>
      <c r="BN603" s="61">
        <v>24.585999999999999</v>
      </c>
      <c r="BO603" s="61">
        <v>3.2989999999999999</v>
      </c>
      <c r="BP603" s="61">
        <v>137.167</v>
      </c>
      <c r="BQ603" s="61">
        <v>75.655000000000001</v>
      </c>
      <c r="BR603" s="61">
        <v>5.3159999999999998</v>
      </c>
      <c r="BS603" s="61">
        <v>27.058</v>
      </c>
      <c r="BT603" s="61">
        <v>133.697</v>
      </c>
      <c r="BU603" s="61">
        <v>16.024000000000001</v>
      </c>
      <c r="BV603" s="61">
        <v>15.138999999999999</v>
      </c>
      <c r="BW603" s="61">
        <v>31.163</v>
      </c>
      <c r="BX603" s="67">
        <v>272.89</v>
      </c>
      <c r="BY603" s="68">
        <v>145802</v>
      </c>
      <c r="BZ603" s="68">
        <v>120951</v>
      </c>
      <c r="CA603" s="69">
        <v>8492</v>
      </c>
      <c r="CB603" s="68">
        <v>123013</v>
      </c>
      <c r="CC603" s="68">
        <v>29136</v>
      </c>
      <c r="CD603" s="68">
        <v>139073</v>
      </c>
      <c r="CE603" s="72">
        <v>4478.88</v>
      </c>
      <c r="CF603" s="72">
        <v>6119.4000000000005</v>
      </c>
      <c r="CG603" s="70">
        <f t="shared" si="49"/>
        <v>5166.5460000000003</v>
      </c>
      <c r="CH603" s="70">
        <f t="shared" si="50"/>
        <v>356.66399999999999</v>
      </c>
      <c r="CI603" s="70">
        <f t="shared" si="51"/>
        <v>1223.712</v>
      </c>
      <c r="CJ603" s="70">
        <f t="shared" si="52"/>
        <v>6123.6840000000002</v>
      </c>
      <c r="CK603" s="70">
        <f t="shared" si="52"/>
        <v>5079.942</v>
      </c>
      <c r="CL603" s="70">
        <f t="shared" si="48"/>
        <v>5841.0659999999998</v>
      </c>
      <c r="CM603" s="61"/>
      <c r="CN603" s="61"/>
      <c r="CO603" s="61"/>
      <c r="CP603" s="61"/>
      <c r="CQ603" s="61"/>
      <c r="CR603" s="61"/>
      <c r="CS603" s="61"/>
      <c r="CT603" s="61"/>
      <c r="CU603" s="61"/>
      <c r="CV603" s="61"/>
      <c r="CW603" s="61"/>
      <c r="CX603" s="61"/>
      <c r="CY603" s="61"/>
      <c r="CZ603" s="61"/>
      <c r="DA603" s="61"/>
      <c r="DB603" s="61"/>
      <c r="DC603" s="61"/>
      <c r="DD603" s="61"/>
      <c r="DE603" s="61"/>
      <c r="DF603" s="61"/>
      <c r="DG603" s="61"/>
      <c r="DH603" s="61"/>
      <c r="DI603" s="61"/>
      <c r="DJ603" s="61"/>
      <c r="DK603" s="61"/>
      <c r="DL603" s="61"/>
      <c r="DM603" s="61"/>
      <c r="DN603" s="61"/>
      <c r="DO603" s="61"/>
      <c r="DP603" s="61"/>
      <c r="DQ603" s="61"/>
      <c r="DR603" s="61"/>
      <c r="DS603" s="61"/>
      <c r="DT603" s="61"/>
      <c r="DU603" s="61"/>
      <c r="DV603" s="61"/>
      <c r="DW603" s="61"/>
      <c r="DX603" s="61"/>
      <c r="DY603" s="61"/>
      <c r="DZ603" s="61"/>
      <c r="EA603" s="61"/>
      <c r="EB603" s="61"/>
      <c r="EC603" s="61"/>
      <c r="ED603" s="61"/>
      <c r="EE603" s="61"/>
      <c r="EF603" s="61"/>
      <c r="EG603" s="61"/>
      <c r="EH603" s="61"/>
      <c r="EI603" s="61"/>
      <c r="EJ603" s="61"/>
      <c r="EK603" s="61"/>
      <c r="EL603" s="61"/>
      <c r="EM603" s="61"/>
      <c r="EN603" s="61"/>
      <c r="EO603" s="61"/>
      <c r="EP603" s="61"/>
      <c r="EQ603" s="61"/>
      <c r="ER603" s="61"/>
      <c r="ES603" s="61"/>
      <c r="ET603" s="61"/>
      <c r="EU603" s="61"/>
      <c r="EV603" s="61"/>
      <c r="EW603" s="61"/>
    </row>
    <row r="604" spans="1:153">
      <c r="A604" s="56">
        <v>44958</v>
      </c>
      <c r="B604" s="57">
        <v>2023</v>
      </c>
      <c r="C604" s="71">
        <v>15.430999999999999</v>
      </c>
      <c r="D604" s="61">
        <v>0.21</v>
      </c>
      <c r="E604" s="61">
        <v>2840.259</v>
      </c>
      <c r="F604" s="61">
        <v>119.309</v>
      </c>
      <c r="G604" s="61">
        <v>15.221</v>
      </c>
      <c r="H604" s="61">
        <v>952</v>
      </c>
      <c r="I604" s="61">
        <v>149.88800000000001</v>
      </c>
      <c r="J604" s="61">
        <v>802.11199999999997</v>
      </c>
      <c r="K604" s="61">
        <v>4886.2120000000004</v>
      </c>
      <c r="L604" s="61">
        <v>484.63799999999998</v>
      </c>
      <c r="M604" s="61">
        <v>3158.1559999999999</v>
      </c>
      <c r="N604" s="61">
        <v>132.643</v>
      </c>
      <c r="O604" s="71">
        <v>16.591999999999999</v>
      </c>
      <c r="P604" s="60">
        <v>162.334</v>
      </c>
      <c r="Q604" s="68">
        <v>198.26300000000001</v>
      </c>
      <c r="R604" s="61">
        <v>392.61</v>
      </c>
      <c r="S604" s="61">
        <v>660.06100000000004</v>
      </c>
      <c r="T604" s="61">
        <v>63.737000000000002</v>
      </c>
      <c r="U604" s="61">
        <v>9.3130000000000006</v>
      </c>
      <c r="V604" s="61">
        <v>50.469000000000001</v>
      </c>
      <c r="W604" s="61">
        <v>143.93199999999999</v>
      </c>
      <c r="X604" s="61">
        <v>154.05199999999999</v>
      </c>
      <c r="Y604" s="61">
        <v>32.012999999999998</v>
      </c>
      <c r="Z604" s="68">
        <v>190.06700000000001</v>
      </c>
      <c r="AA604" s="61">
        <v>376.13200000000001</v>
      </c>
      <c r="AB604" s="60">
        <v>643.58199999999999</v>
      </c>
      <c r="AC604" s="62">
        <v>3751.6149999999998</v>
      </c>
      <c r="AD604" s="61">
        <v>157.56800000000001</v>
      </c>
      <c r="AE604" s="61">
        <v>20.611000000000001</v>
      </c>
      <c r="AF604" s="61">
        <v>546</v>
      </c>
      <c r="AG604" s="61">
        <v>3565.143</v>
      </c>
      <c r="AH604" s="61">
        <v>7.9640000000000004</v>
      </c>
      <c r="AI604" s="61">
        <v>4289.6509999999998</v>
      </c>
      <c r="AJ604" s="61">
        <v>180.16499999999999</v>
      </c>
      <c r="AK604" s="62">
        <v>23.567</v>
      </c>
      <c r="AL604" s="63">
        <f t="shared" si="53"/>
        <v>180.16499999999999</v>
      </c>
      <c r="AM604" s="64">
        <v>23.567</v>
      </c>
      <c r="AN604" s="65" t="s">
        <v>121</v>
      </c>
      <c r="AO604" s="61" t="s">
        <v>121</v>
      </c>
      <c r="AP604" s="61">
        <v>504.41500000000002</v>
      </c>
      <c r="AQ604" s="61">
        <v>21.184999999999999</v>
      </c>
      <c r="AR604" s="61">
        <v>2.7029999999999998</v>
      </c>
      <c r="AS604" s="61" t="s">
        <v>122</v>
      </c>
      <c r="AT604" s="61">
        <v>358.50299999999999</v>
      </c>
      <c r="AU604" s="61">
        <v>129.911</v>
      </c>
      <c r="AV604" s="61">
        <v>374.50400000000002</v>
      </c>
      <c r="AW604" s="61">
        <v>15.728999999999999</v>
      </c>
      <c r="AX604" s="65">
        <v>2.0070000000000001</v>
      </c>
      <c r="AY604" s="66">
        <v>3.0379999999999998</v>
      </c>
      <c r="AZ604" s="68">
        <v>13.814</v>
      </c>
      <c r="BA604" s="68">
        <v>34.545000000000002</v>
      </c>
      <c r="BB604" s="68">
        <v>51.396999999999998</v>
      </c>
      <c r="BC604" s="68">
        <v>6.7000000000000004E-2</v>
      </c>
      <c r="BD604" s="68">
        <v>1.5109999999999999</v>
      </c>
      <c r="BE604" s="68">
        <v>4.3319999999999999</v>
      </c>
      <c r="BF604" s="68">
        <v>0.06</v>
      </c>
      <c r="BG604" s="68">
        <v>6.2510000000000003</v>
      </c>
      <c r="BH604" s="68">
        <v>5.4539999999999997</v>
      </c>
      <c r="BI604" s="68">
        <v>2.3279999999999998</v>
      </c>
      <c r="BJ604" s="68">
        <v>14.032</v>
      </c>
      <c r="BK604" s="66">
        <v>20.001999999999999</v>
      </c>
      <c r="BL604" s="67">
        <v>82.103999999999999</v>
      </c>
      <c r="BM604" s="61">
        <v>16.591999999999999</v>
      </c>
      <c r="BN604" s="61">
        <v>23.567</v>
      </c>
      <c r="BO604" s="61">
        <v>2.0070000000000001</v>
      </c>
      <c r="BP604" s="61">
        <v>124.27</v>
      </c>
      <c r="BQ604" s="61">
        <v>63.408000000000001</v>
      </c>
      <c r="BR604" s="61">
        <v>4.4420000000000002</v>
      </c>
      <c r="BS604" s="61">
        <v>31.366</v>
      </c>
      <c r="BT604" s="61">
        <v>143.827</v>
      </c>
      <c r="BU604" s="61">
        <v>13.492000000000001</v>
      </c>
      <c r="BV604" s="61">
        <v>13.69</v>
      </c>
      <c r="BW604" s="61">
        <v>27.181000000000001</v>
      </c>
      <c r="BX604" s="67">
        <v>270.22300000000001</v>
      </c>
      <c r="BY604" s="68">
        <v>131487</v>
      </c>
      <c r="BZ604" s="68">
        <v>112510</v>
      </c>
      <c r="CA604" s="69">
        <v>8401</v>
      </c>
      <c r="CB604" s="68">
        <v>124821</v>
      </c>
      <c r="CC604" s="68">
        <v>25569</v>
      </c>
      <c r="CD604" s="68">
        <v>123964</v>
      </c>
      <c r="CE604" s="72">
        <v>4151.28</v>
      </c>
      <c r="CF604" s="72">
        <v>5527.2</v>
      </c>
      <c r="CG604" s="70">
        <f t="shared" si="49"/>
        <v>5242.482</v>
      </c>
      <c r="CH604" s="70">
        <f t="shared" si="50"/>
        <v>352.84199999999998</v>
      </c>
      <c r="CI604" s="70">
        <f t="shared" si="51"/>
        <v>1073.8979999999999</v>
      </c>
      <c r="CJ604" s="70">
        <f t="shared" si="52"/>
        <v>5522.4539999999997</v>
      </c>
      <c r="CK604" s="70">
        <f t="shared" si="52"/>
        <v>4725.42</v>
      </c>
      <c r="CL604" s="70">
        <f t="shared" si="48"/>
        <v>5206.4880000000003</v>
      </c>
      <c r="CM604" s="61"/>
      <c r="CN604" s="61"/>
      <c r="CO604" s="61"/>
      <c r="CP604" s="61"/>
      <c r="CQ604" s="61"/>
      <c r="CR604" s="61"/>
      <c r="CS604" s="61"/>
      <c r="CT604" s="61"/>
      <c r="CU604" s="61"/>
      <c r="CV604" s="61"/>
      <c r="CW604" s="61"/>
      <c r="CX604" s="61"/>
      <c r="CY604" s="61"/>
      <c r="CZ604" s="61"/>
      <c r="DA604" s="61"/>
      <c r="DB604" s="61"/>
      <c r="DC604" s="61"/>
      <c r="DD604" s="61"/>
      <c r="DE604" s="61"/>
      <c r="DF604" s="61"/>
      <c r="DG604" s="61"/>
      <c r="DH604" s="61"/>
      <c r="DI604" s="61"/>
      <c r="DJ604" s="61"/>
      <c r="DK604" s="61"/>
      <c r="DL604" s="61"/>
      <c r="DM604" s="61"/>
      <c r="DN604" s="61"/>
      <c r="DO604" s="61"/>
      <c r="DP604" s="61"/>
      <c r="DQ604" s="61"/>
      <c r="DR604" s="61"/>
      <c r="DS604" s="61"/>
      <c r="DT604" s="61"/>
      <c r="DU604" s="61"/>
      <c r="DV604" s="61"/>
      <c r="DW604" s="61"/>
      <c r="DX604" s="61"/>
      <c r="DY604" s="61"/>
      <c r="DZ604" s="61"/>
      <c r="EA604" s="61"/>
      <c r="EB604" s="61"/>
      <c r="EC604" s="61"/>
      <c r="ED604" s="61"/>
      <c r="EE604" s="61"/>
      <c r="EF604" s="61"/>
      <c r="EG604" s="61"/>
      <c r="EH604" s="61"/>
      <c r="EI604" s="61"/>
      <c r="EJ604" s="61"/>
      <c r="EK604" s="61"/>
      <c r="EL604" s="61"/>
      <c r="EM604" s="61"/>
      <c r="EN604" s="61"/>
      <c r="EO604" s="61"/>
      <c r="EP604" s="61"/>
      <c r="EQ604" s="61"/>
      <c r="ER604" s="61"/>
      <c r="ES604" s="61"/>
      <c r="ET604" s="61"/>
      <c r="EU604" s="61"/>
      <c r="EV604" s="61"/>
      <c r="EW604" s="61"/>
    </row>
    <row r="605" spans="1:153">
      <c r="A605" s="56">
        <v>44986</v>
      </c>
      <c r="B605" s="57">
        <v>2023</v>
      </c>
      <c r="C605" s="71">
        <v>18.064</v>
      </c>
      <c r="D605" s="61">
        <v>0.246</v>
      </c>
      <c r="E605" s="61">
        <v>3324.8319999999999</v>
      </c>
      <c r="F605" s="61">
        <v>139.26400000000001</v>
      </c>
      <c r="G605" s="61">
        <v>17.818000000000001</v>
      </c>
      <c r="H605" s="61">
        <v>916</v>
      </c>
      <c r="I605" s="61">
        <v>260.74200000000002</v>
      </c>
      <c r="J605" s="61">
        <v>655.25800000000004</v>
      </c>
      <c r="K605" s="61">
        <v>5132.6409999999996</v>
      </c>
      <c r="L605" s="61">
        <v>246.429</v>
      </c>
      <c r="M605" s="61">
        <v>3724.643</v>
      </c>
      <c r="N605" s="61">
        <v>156.435</v>
      </c>
      <c r="O605" s="71">
        <v>20.292000000000002</v>
      </c>
      <c r="P605" s="60">
        <v>180.239</v>
      </c>
      <c r="Q605" s="68">
        <v>221.85300000000001</v>
      </c>
      <c r="R605" s="61">
        <v>436.31099999999998</v>
      </c>
      <c r="S605" s="61">
        <v>734.66</v>
      </c>
      <c r="T605" s="61">
        <v>68.912999999999997</v>
      </c>
      <c r="U605" s="61">
        <v>10.102</v>
      </c>
      <c r="V605" s="61">
        <v>67.227000000000004</v>
      </c>
      <c r="W605" s="61">
        <v>152.107</v>
      </c>
      <c r="X605" s="61">
        <v>165.38499999999999</v>
      </c>
      <c r="Y605" s="61">
        <v>34.219000000000001</v>
      </c>
      <c r="Z605" s="68">
        <v>220.49</v>
      </c>
      <c r="AA605" s="61">
        <v>420.09399999999999</v>
      </c>
      <c r="AB605" s="60">
        <v>718.44299999999998</v>
      </c>
      <c r="AC605" s="62">
        <v>4740.4960000000001</v>
      </c>
      <c r="AD605" s="61">
        <v>199.101</v>
      </c>
      <c r="AE605" s="61">
        <v>26.044</v>
      </c>
      <c r="AF605" s="61">
        <v>786</v>
      </c>
      <c r="AG605" s="61">
        <v>3918.817</v>
      </c>
      <c r="AH605" s="61">
        <v>353.67399999999998</v>
      </c>
      <c r="AI605" s="61">
        <v>5172.8220000000001</v>
      </c>
      <c r="AJ605" s="61">
        <v>217.25899999999999</v>
      </c>
      <c r="AK605" s="62">
        <v>28.419</v>
      </c>
      <c r="AL605" s="63">
        <f t="shared" si="53"/>
        <v>217.25899999999999</v>
      </c>
      <c r="AM605" s="64">
        <v>28.419</v>
      </c>
      <c r="AN605" s="65" t="s">
        <v>121</v>
      </c>
      <c r="AO605" s="61" t="s">
        <v>121</v>
      </c>
      <c r="AP605" s="61">
        <v>570.149</v>
      </c>
      <c r="AQ605" s="61">
        <v>23.946000000000002</v>
      </c>
      <c r="AR605" s="61">
        <v>3.0550000000000002</v>
      </c>
      <c r="AS605" s="61" t="s">
        <v>122</v>
      </c>
      <c r="AT605" s="61">
        <v>343.25200000000001</v>
      </c>
      <c r="AU605" s="61">
        <v>-15.250999999999999</v>
      </c>
      <c r="AV605" s="61">
        <v>585.4</v>
      </c>
      <c r="AW605" s="61">
        <v>24.587</v>
      </c>
      <c r="AX605" s="65">
        <v>3.137</v>
      </c>
      <c r="AY605" s="66">
        <v>3.363</v>
      </c>
      <c r="AZ605" s="68">
        <v>18.858000000000001</v>
      </c>
      <c r="BA605" s="68">
        <v>38.247</v>
      </c>
      <c r="BB605" s="68">
        <v>60.468000000000004</v>
      </c>
      <c r="BC605" s="68" t="s">
        <v>143</v>
      </c>
      <c r="BD605" s="68">
        <v>1.673</v>
      </c>
      <c r="BE605" s="68">
        <v>5.8460000000000001</v>
      </c>
      <c r="BF605" s="68">
        <v>6.4000000000000001E-2</v>
      </c>
      <c r="BG605" s="68">
        <v>6.9660000000000002</v>
      </c>
      <c r="BH605" s="68">
        <v>5.6849999999999996</v>
      </c>
      <c r="BI605" s="68">
        <v>2.7290000000000001</v>
      </c>
      <c r="BJ605" s="68">
        <v>15.381</v>
      </c>
      <c r="BK605" s="66">
        <v>23.030999999999999</v>
      </c>
      <c r="BL605" s="67">
        <v>96.277000000000001</v>
      </c>
      <c r="BM605" s="61">
        <v>20.292000000000002</v>
      </c>
      <c r="BN605" s="61">
        <v>28.419</v>
      </c>
      <c r="BO605" s="61">
        <v>3.137</v>
      </c>
      <c r="BP605" s="61">
        <v>148.126</v>
      </c>
      <c r="BQ605" s="61">
        <v>68.555999999999997</v>
      </c>
      <c r="BR605" s="61">
        <v>4.7089999999999996</v>
      </c>
      <c r="BS605" s="61">
        <v>41.16</v>
      </c>
      <c r="BT605" s="61">
        <v>151.99700000000001</v>
      </c>
      <c r="BU605" s="61">
        <v>14.255000000000001</v>
      </c>
      <c r="BV605" s="61">
        <v>14.446999999999999</v>
      </c>
      <c r="BW605" s="61">
        <v>28.701000000000001</v>
      </c>
      <c r="BX605" s="67">
        <v>295.12200000000001</v>
      </c>
      <c r="BY605" s="68">
        <v>145243</v>
      </c>
      <c r="BZ605" s="68">
        <v>127201</v>
      </c>
      <c r="CA605" s="69">
        <v>4813</v>
      </c>
      <c r="CB605" s="68">
        <v>112292</v>
      </c>
      <c r="CC605" s="68">
        <v>35383</v>
      </c>
      <c r="CD605" s="68">
        <v>136449</v>
      </c>
      <c r="CE605" s="72">
        <v>4895.5199999999995</v>
      </c>
      <c r="CF605" s="72">
        <v>6106.380000000001</v>
      </c>
      <c r="CG605" s="70">
        <f t="shared" si="49"/>
        <v>4716.2640000000001</v>
      </c>
      <c r="CH605" s="70">
        <f t="shared" si="50"/>
        <v>202.14599999999999</v>
      </c>
      <c r="CI605" s="70">
        <f t="shared" si="51"/>
        <v>1486.086</v>
      </c>
      <c r="CJ605" s="70">
        <f t="shared" si="52"/>
        <v>6100.2060000000001</v>
      </c>
      <c r="CK605" s="70">
        <f t="shared" si="52"/>
        <v>5342.442</v>
      </c>
      <c r="CL605" s="70">
        <f t="shared" si="48"/>
        <v>5730.8580000000002</v>
      </c>
      <c r="CM605" s="61"/>
      <c r="CN605" s="61"/>
      <c r="CO605" s="61"/>
      <c r="CP605" s="61"/>
      <c r="CQ605" s="61"/>
      <c r="CR605" s="61"/>
      <c r="CS605" s="61"/>
      <c r="CT605" s="61"/>
      <c r="CU605" s="61"/>
      <c r="CV605" s="61"/>
      <c r="CW605" s="61"/>
      <c r="CX605" s="61"/>
      <c r="CY605" s="61"/>
      <c r="CZ605" s="61"/>
      <c r="DA605" s="61"/>
      <c r="DB605" s="61"/>
      <c r="DC605" s="61"/>
      <c r="DD605" s="61"/>
      <c r="DE605" s="61"/>
      <c r="DF605" s="61"/>
      <c r="DG605" s="61"/>
      <c r="DH605" s="61"/>
      <c r="DI605" s="61"/>
      <c r="DJ605" s="61"/>
      <c r="DK605" s="61"/>
      <c r="DL605" s="61"/>
      <c r="DM605" s="61"/>
      <c r="DN605" s="61"/>
      <c r="DO605" s="61"/>
      <c r="DP605" s="61"/>
      <c r="DQ605" s="61"/>
      <c r="DR605" s="61"/>
      <c r="DS605" s="61"/>
      <c r="DT605" s="61"/>
      <c r="DU605" s="61"/>
      <c r="DV605" s="61"/>
      <c r="DW605" s="61"/>
      <c r="DX605" s="61"/>
      <c r="DY605" s="61"/>
      <c r="DZ605" s="61"/>
      <c r="EA605" s="61"/>
      <c r="EB605" s="61"/>
      <c r="EC605" s="61"/>
      <c r="ED605" s="61"/>
      <c r="EE605" s="61"/>
      <c r="EF605" s="61"/>
      <c r="EG605" s="61"/>
      <c r="EH605" s="61"/>
      <c r="EI605" s="61"/>
      <c r="EJ605" s="61"/>
      <c r="EK605" s="61"/>
      <c r="EL605" s="61"/>
      <c r="EM605" s="61"/>
      <c r="EN605" s="61"/>
      <c r="EO605" s="61"/>
      <c r="EP605" s="61"/>
      <c r="EQ605" s="61"/>
      <c r="ER605" s="61"/>
      <c r="ES605" s="61"/>
      <c r="ET605" s="61"/>
      <c r="EU605" s="61"/>
      <c r="EV605" s="61"/>
      <c r="EW605" s="61"/>
    </row>
    <row r="606" spans="1:153">
      <c r="A606" s="56">
        <v>45017</v>
      </c>
      <c r="B606" s="57">
        <v>2023</v>
      </c>
      <c r="C606" s="71">
        <v>17.187000000000001</v>
      </c>
      <c r="D606" s="61">
        <v>0.23400000000000001</v>
      </c>
      <c r="E606" s="61">
        <v>3163.5279999999998</v>
      </c>
      <c r="F606" s="61">
        <v>133.381</v>
      </c>
      <c r="G606" s="61">
        <v>16.952999999999999</v>
      </c>
      <c r="H606" s="61">
        <v>1000</v>
      </c>
      <c r="I606" s="61">
        <v>1141.114</v>
      </c>
      <c r="J606" s="61">
        <v>-141.114</v>
      </c>
      <c r="K606" s="61">
        <v>4957.3819999999996</v>
      </c>
      <c r="L606" s="61">
        <v>-175.25899999999999</v>
      </c>
      <c r="M606" s="61">
        <v>3209.8760000000002</v>
      </c>
      <c r="N606" s="61">
        <v>134.815</v>
      </c>
      <c r="O606" s="71">
        <v>17.835000000000001</v>
      </c>
      <c r="P606" s="60">
        <v>160.001</v>
      </c>
      <c r="Q606" s="68">
        <v>211.88</v>
      </c>
      <c r="R606" s="61">
        <v>404.21</v>
      </c>
      <c r="S606" s="61">
        <v>700.04600000000005</v>
      </c>
      <c r="T606" s="61">
        <v>59.637999999999998</v>
      </c>
      <c r="U606" s="61">
        <v>9.8149999999999995</v>
      </c>
      <c r="V606" s="61">
        <v>79.42</v>
      </c>
      <c r="W606" s="61">
        <v>146.96299999999999</v>
      </c>
      <c r="X606" s="61">
        <v>152.05099999999999</v>
      </c>
      <c r="Y606" s="61">
        <v>32.328000000000003</v>
      </c>
      <c r="Z606" s="68">
        <v>207.077</v>
      </c>
      <c r="AA606" s="61">
        <v>391.45699999999999</v>
      </c>
      <c r="AB606" s="60">
        <v>687.29300000000001</v>
      </c>
      <c r="AC606" s="62">
        <v>4788.5039999999999</v>
      </c>
      <c r="AD606" s="61">
        <v>201.11699999999999</v>
      </c>
      <c r="AE606" s="61">
        <v>26.308</v>
      </c>
      <c r="AF606" s="61">
        <v>420</v>
      </c>
      <c r="AG606" s="61">
        <v>4034.1889999999999</v>
      </c>
      <c r="AH606" s="61">
        <v>115.372</v>
      </c>
      <c r="AI606" s="61">
        <v>5093.1319999999996</v>
      </c>
      <c r="AJ606" s="61">
        <v>213.91200000000001</v>
      </c>
      <c r="AK606" s="62">
        <v>27.981999999999999</v>
      </c>
      <c r="AL606" s="63">
        <f t="shared" si="53"/>
        <v>213.91200000000001</v>
      </c>
      <c r="AM606" s="64">
        <v>27.981999999999999</v>
      </c>
      <c r="AN606" s="65" t="s">
        <v>121</v>
      </c>
      <c r="AO606" s="61" t="s">
        <v>121</v>
      </c>
      <c r="AP606" s="61">
        <v>443.66800000000001</v>
      </c>
      <c r="AQ606" s="61">
        <v>18.634</v>
      </c>
      <c r="AR606" s="61">
        <v>2.3780000000000001</v>
      </c>
      <c r="AS606" s="61" t="s">
        <v>122</v>
      </c>
      <c r="AT606" s="61">
        <v>331.142</v>
      </c>
      <c r="AU606" s="61">
        <v>-12.11</v>
      </c>
      <c r="AV606" s="61">
        <v>455.77800000000002</v>
      </c>
      <c r="AW606" s="61">
        <v>19.143000000000001</v>
      </c>
      <c r="AX606" s="65">
        <v>2.4430000000000001</v>
      </c>
      <c r="AY606" s="66">
        <v>3.2549999999999999</v>
      </c>
      <c r="AZ606" s="68">
        <v>21.396000000000001</v>
      </c>
      <c r="BA606" s="68">
        <v>37.012999999999998</v>
      </c>
      <c r="BB606" s="68">
        <v>61.662999999999997</v>
      </c>
      <c r="BC606" s="68" t="s">
        <v>143</v>
      </c>
      <c r="BD606" s="68">
        <v>1.619</v>
      </c>
      <c r="BE606" s="68">
        <v>6.4749999999999996</v>
      </c>
      <c r="BF606" s="68">
        <v>5.8000000000000003E-2</v>
      </c>
      <c r="BG606" s="68">
        <v>6.681</v>
      </c>
      <c r="BH606" s="68">
        <v>5.5570000000000004</v>
      </c>
      <c r="BI606" s="68">
        <v>2.5550000000000002</v>
      </c>
      <c r="BJ606" s="68">
        <v>14.792</v>
      </c>
      <c r="BK606" s="66">
        <v>23.003</v>
      </c>
      <c r="BL606" s="67">
        <v>90.113</v>
      </c>
      <c r="BM606" s="61">
        <v>17.835000000000001</v>
      </c>
      <c r="BN606" s="61">
        <v>27.981999999999999</v>
      </c>
      <c r="BO606" s="61">
        <v>2.4430000000000001</v>
      </c>
      <c r="BP606" s="61">
        <v>138.37200000000001</v>
      </c>
      <c r="BQ606" s="61">
        <v>59.338000000000001</v>
      </c>
      <c r="BR606" s="61">
        <v>4.5960000000000001</v>
      </c>
      <c r="BS606" s="61">
        <v>50.040999999999997</v>
      </c>
      <c r="BT606" s="61">
        <v>146.86099999999999</v>
      </c>
      <c r="BU606" s="61">
        <v>11.058</v>
      </c>
      <c r="BV606" s="61">
        <v>13.339</v>
      </c>
      <c r="BW606" s="61">
        <v>24.396999999999998</v>
      </c>
      <c r="BX606" s="67">
        <v>285.23399999999998</v>
      </c>
      <c r="BY606" s="68">
        <v>142702</v>
      </c>
      <c r="BZ606" s="68">
        <v>117003</v>
      </c>
      <c r="CA606" s="69">
        <v>4670</v>
      </c>
      <c r="CB606" s="68">
        <v>112061</v>
      </c>
      <c r="CC606" s="68">
        <v>30597</v>
      </c>
      <c r="CD606" s="68">
        <v>134745</v>
      </c>
      <c r="CE606" s="72">
        <v>4662</v>
      </c>
      <c r="CF606" s="72">
        <v>5997.5999999999995</v>
      </c>
      <c r="CG606" s="70">
        <f t="shared" si="49"/>
        <v>4706.5619999999999</v>
      </c>
      <c r="CH606" s="70">
        <f t="shared" si="50"/>
        <v>196.14</v>
      </c>
      <c r="CI606" s="70">
        <f t="shared" si="51"/>
        <v>1285.0740000000001</v>
      </c>
      <c r="CJ606" s="70">
        <f t="shared" si="52"/>
        <v>5993.4840000000004</v>
      </c>
      <c r="CK606" s="70">
        <f t="shared" si="52"/>
        <v>4914.1260000000002</v>
      </c>
      <c r="CL606" s="70">
        <f t="shared" si="48"/>
        <v>5659.29</v>
      </c>
      <c r="CM606" s="61"/>
      <c r="CN606" s="61"/>
      <c r="CO606" s="61"/>
      <c r="CP606" s="61"/>
      <c r="CQ606" s="61"/>
      <c r="CR606" s="61"/>
      <c r="CS606" s="61"/>
      <c r="CT606" s="61"/>
      <c r="CU606" s="61"/>
      <c r="CV606" s="61"/>
      <c r="CW606" s="61"/>
      <c r="CX606" s="61"/>
      <c r="CY606" s="61"/>
      <c r="CZ606" s="61"/>
      <c r="DA606" s="61"/>
      <c r="DB606" s="61"/>
      <c r="DC606" s="61"/>
      <c r="DD606" s="61"/>
      <c r="DE606" s="61"/>
      <c r="DF606" s="61"/>
      <c r="DG606" s="61"/>
      <c r="DH606" s="61"/>
      <c r="DI606" s="61"/>
      <c r="DJ606" s="61"/>
      <c r="DK606" s="61"/>
      <c r="DL606" s="61"/>
      <c r="DM606" s="61"/>
      <c r="DN606" s="61"/>
      <c r="DO606" s="61"/>
      <c r="DP606" s="61"/>
      <c r="DQ606" s="61"/>
      <c r="DR606" s="61"/>
      <c r="DS606" s="61"/>
      <c r="DT606" s="61"/>
      <c r="DU606" s="61"/>
      <c r="DV606" s="61"/>
      <c r="DW606" s="61"/>
      <c r="DX606" s="61"/>
      <c r="DY606" s="61"/>
      <c r="DZ606" s="61"/>
      <c r="EA606" s="61"/>
      <c r="EB606" s="61"/>
      <c r="EC606" s="61"/>
      <c r="ED606" s="61"/>
      <c r="EE606" s="61"/>
      <c r="EF606" s="61"/>
      <c r="EG606" s="61"/>
      <c r="EH606" s="61"/>
      <c r="EI606" s="61"/>
      <c r="EJ606" s="61"/>
      <c r="EK606" s="61"/>
      <c r="EL606" s="61"/>
      <c r="EM606" s="61"/>
      <c r="EN606" s="61"/>
      <c r="EO606" s="61"/>
      <c r="EP606" s="61"/>
      <c r="EQ606" s="61"/>
      <c r="ER606" s="61"/>
      <c r="ES606" s="61"/>
      <c r="ET606" s="61"/>
      <c r="EU606" s="61"/>
      <c r="EV606" s="61"/>
      <c r="EW606" s="61"/>
    </row>
    <row r="607" spans="1:153">
      <c r="A607" s="56">
        <v>45047</v>
      </c>
      <c r="B607" s="57">
        <v>2023</v>
      </c>
      <c r="C607" s="71">
        <v>20.22</v>
      </c>
      <c r="D607" s="61">
        <v>0.27500000000000002</v>
      </c>
      <c r="E607" s="61">
        <v>3721.636</v>
      </c>
      <c r="F607" s="61">
        <v>154.77099999999999</v>
      </c>
      <c r="G607" s="61">
        <v>19.943999999999999</v>
      </c>
      <c r="H607" s="61">
        <v>832</v>
      </c>
      <c r="I607" s="61">
        <v>757.88599999999997</v>
      </c>
      <c r="J607" s="61">
        <v>74.114000000000004</v>
      </c>
      <c r="K607" s="61">
        <v>4487.47</v>
      </c>
      <c r="L607" s="61">
        <v>-469.91199999999998</v>
      </c>
      <c r="M607" s="61">
        <v>4229.0540000000001</v>
      </c>
      <c r="N607" s="61">
        <v>177.62</v>
      </c>
      <c r="O607" s="71">
        <v>22.667000000000002</v>
      </c>
      <c r="P607" s="60">
        <v>174.625</v>
      </c>
      <c r="Q607" s="68">
        <v>228.99299999999999</v>
      </c>
      <c r="R607" s="61">
        <v>437.63499999999999</v>
      </c>
      <c r="S607" s="61">
        <v>740.98800000000006</v>
      </c>
      <c r="T607" s="61">
        <v>93.641000000000005</v>
      </c>
      <c r="U607" s="61">
        <v>10.07</v>
      </c>
      <c r="V607" s="61">
        <v>90.230999999999995</v>
      </c>
      <c r="W607" s="61">
        <v>109.41</v>
      </c>
      <c r="X607" s="61">
        <v>163.69</v>
      </c>
      <c r="Y607" s="61">
        <v>34.017000000000003</v>
      </c>
      <c r="Z607" s="68">
        <v>234.334</v>
      </c>
      <c r="AA607" s="61">
        <v>432.04199999999997</v>
      </c>
      <c r="AB607" s="60">
        <v>735.39400000000001</v>
      </c>
      <c r="AC607" s="62">
        <v>5377.15</v>
      </c>
      <c r="AD607" s="61">
        <v>225.84</v>
      </c>
      <c r="AE607" s="61">
        <v>29.542000000000002</v>
      </c>
      <c r="AF607" s="61">
        <v>1149</v>
      </c>
      <c r="AG607" s="61">
        <v>3637.5940000000001</v>
      </c>
      <c r="AH607" s="61">
        <v>-396.59500000000003</v>
      </c>
      <c r="AI607" s="61">
        <v>6922.7449999999999</v>
      </c>
      <c r="AJ607" s="61">
        <v>290.755</v>
      </c>
      <c r="AK607" s="62">
        <v>38.033999999999999</v>
      </c>
      <c r="AL607" s="63">
        <f t="shared" si="53"/>
        <v>290.755</v>
      </c>
      <c r="AM607" s="64">
        <v>38.033999999999999</v>
      </c>
      <c r="AN607" s="65" t="s">
        <v>121</v>
      </c>
      <c r="AO607" s="61" t="s">
        <v>121</v>
      </c>
      <c r="AP607" s="61">
        <v>564.87699999999995</v>
      </c>
      <c r="AQ607" s="61">
        <v>23.725000000000001</v>
      </c>
      <c r="AR607" s="61">
        <v>3.0270000000000001</v>
      </c>
      <c r="AS607" s="61" t="s">
        <v>122</v>
      </c>
      <c r="AT607" s="61">
        <v>303.77600000000001</v>
      </c>
      <c r="AU607" s="61">
        <v>-27.364999999999998</v>
      </c>
      <c r="AV607" s="61">
        <v>592.24199999999996</v>
      </c>
      <c r="AW607" s="61">
        <v>24.873999999999999</v>
      </c>
      <c r="AX607" s="65">
        <v>3.1739999999999999</v>
      </c>
      <c r="AY607" s="66">
        <v>3.363</v>
      </c>
      <c r="AZ607" s="68">
        <v>24.106000000000002</v>
      </c>
      <c r="BA607" s="68">
        <v>38.247</v>
      </c>
      <c r="BB607" s="68">
        <v>65.715999999999994</v>
      </c>
      <c r="BC607" s="68" t="s">
        <v>143</v>
      </c>
      <c r="BD607" s="68">
        <v>1.673</v>
      </c>
      <c r="BE607" s="68">
        <v>7.0720000000000001</v>
      </c>
      <c r="BF607" s="68">
        <v>4.5999999999999999E-2</v>
      </c>
      <c r="BG607" s="68">
        <v>6.7930000000000001</v>
      </c>
      <c r="BH607" s="68">
        <v>5.8929999999999998</v>
      </c>
      <c r="BI607" s="68">
        <v>2.762</v>
      </c>
      <c r="BJ607" s="68">
        <v>15.448</v>
      </c>
      <c r="BK607" s="66">
        <v>24.349</v>
      </c>
      <c r="BL607" s="67">
        <v>97.426000000000002</v>
      </c>
      <c r="BM607" s="61">
        <v>22.667000000000002</v>
      </c>
      <c r="BN607" s="61">
        <v>38.033999999999999</v>
      </c>
      <c r="BO607" s="61">
        <v>3.1739999999999999</v>
      </c>
      <c r="BP607" s="61">
        <v>161.30099999999999</v>
      </c>
      <c r="BQ607" s="61">
        <v>93.260999999999996</v>
      </c>
      <c r="BR607" s="61">
        <v>4.6769999999999996</v>
      </c>
      <c r="BS607" s="61">
        <v>57.398000000000003</v>
      </c>
      <c r="BT607" s="61">
        <v>109.33</v>
      </c>
      <c r="BU607" s="61">
        <v>14.042999999999999</v>
      </c>
      <c r="BV607" s="61">
        <v>14.106999999999999</v>
      </c>
      <c r="BW607" s="61">
        <v>28.15</v>
      </c>
      <c r="BX607" s="67">
        <v>292.81599999999997</v>
      </c>
      <c r="BY607" s="68">
        <v>153957</v>
      </c>
      <c r="BZ607" s="68">
        <v>121824</v>
      </c>
      <c r="CA607" s="69">
        <v>5214</v>
      </c>
      <c r="CB607" s="68">
        <v>113140</v>
      </c>
      <c r="CC607" s="68">
        <v>36266</v>
      </c>
      <c r="CD607" s="68">
        <v>145722</v>
      </c>
      <c r="CE607" s="72">
        <v>4882.5</v>
      </c>
      <c r="CF607" s="72">
        <v>6470.94</v>
      </c>
      <c r="CG607" s="70">
        <f t="shared" si="49"/>
        <v>4751.88</v>
      </c>
      <c r="CH607" s="70">
        <f t="shared" si="50"/>
        <v>218.988</v>
      </c>
      <c r="CI607" s="70">
        <f t="shared" si="51"/>
        <v>1523.172</v>
      </c>
      <c r="CJ607" s="70">
        <f t="shared" si="52"/>
        <v>6466.1940000000004</v>
      </c>
      <c r="CK607" s="70">
        <f t="shared" si="52"/>
        <v>5116.6080000000002</v>
      </c>
      <c r="CL607" s="70">
        <f t="shared" si="48"/>
        <v>6120.3239999999996</v>
      </c>
      <c r="CM607" s="61"/>
      <c r="CN607" s="61"/>
      <c r="CO607" s="61"/>
      <c r="CP607" s="61"/>
      <c r="CQ607" s="61"/>
      <c r="CR607" s="61"/>
      <c r="CS607" s="61"/>
      <c r="CT607" s="61"/>
      <c r="CU607" s="61"/>
      <c r="CV607" s="61"/>
      <c r="CW607" s="61"/>
      <c r="CX607" s="61"/>
      <c r="CY607" s="61"/>
      <c r="CZ607" s="61"/>
      <c r="DA607" s="61"/>
      <c r="DB607" s="61"/>
      <c r="DC607" s="61"/>
      <c r="DD607" s="61"/>
      <c r="DE607" s="61"/>
      <c r="DF607" s="61"/>
      <c r="DG607" s="61"/>
      <c r="DH607" s="61"/>
      <c r="DI607" s="61"/>
      <c r="DJ607" s="61"/>
      <c r="DK607" s="61"/>
      <c r="DL607" s="61"/>
      <c r="DM607" s="61"/>
      <c r="DN607" s="61"/>
      <c r="DO607" s="61"/>
      <c r="DP607" s="61"/>
      <c r="DQ607" s="61"/>
      <c r="DR607" s="61"/>
      <c r="DS607" s="61"/>
      <c r="DT607" s="61"/>
      <c r="DU607" s="61"/>
      <c r="DV607" s="61"/>
      <c r="DW607" s="61"/>
      <c r="DX607" s="61"/>
      <c r="DY607" s="61"/>
      <c r="DZ607" s="61"/>
      <c r="EA607" s="61"/>
      <c r="EB607" s="61"/>
      <c r="EC607" s="61"/>
      <c r="ED607" s="61"/>
      <c r="EE607" s="61"/>
      <c r="EF607" s="61"/>
      <c r="EG607" s="61"/>
      <c r="EH607" s="61"/>
      <c r="EI607" s="61"/>
      <c r="EJ607" s="61"/>
      <c r="EK607" s="61"/>
      <c r="EL607" s="61"/>
      <c r="EM607" s="61"/>
      <c r="EN607" s="61"/>
      <c r="EO607" s="61"/>
      <c r="EP607" s="61"/>
      <c r="EQ607" s="61"/>
      <c r="ER607" s="61"/>
      <c r="ES607" s="61"/>
      <c r="ET607" s="61"/>
      <c r="EU607" s="61"/>
      <c r="EV607" s="61"/>
      <c r="EW607" s="61"/>
    </row>
    <row r="608" spans="1:153">
      <c r="A608" s="56">
        <v>45078</v>
      </c>
      <c r="B608" s="57">
        <v>2023</v>
      </c>
      <c r="C608" s="71">
        <v>19.754999999999999</v>
      </c>
      <c r="D608" s="61">
        <v>0.26900000000000002</v>
      </c>
      <c r="E608" s="61">
        <v>3636.0230000000001</v>
      </c>
      <c r="F608" s="61">
        <v>150.68700000000001</v>
      </c>
      <c r="G608" s="61">
        <v>19.484999999999999</v>
      </c>
      <c r="H608" s="61">
        <v>1016</v>
      </c>
      <c r="I608" s="61">
        <v>838.67200000000003</v>
      </c>
      <c r="J608" s="61">
        <v>177.328</v>
      </c>
      <c r="K608" s="61">
        <v>3997.913</v>
      </c>
      <c r="L608" s="61">
        <v>-489.55700000000002</v>
      </c>
      <c r="M608" s="61">
        <v>4254.665</v>
      </c>
      <c r="N608" s="61">
        <v>178.696</v>
      </c>
      <c r="O608" s="71">
        <v>22.768999999999998</v>
      </c>
      <c r="P608" s="60">
        <v>168.07</v>
      </c>
      <c r="Q608" s="68">
        <v>230.10300000000001</v>
      </c>
      <c r="R608" s="61">
        <v>429.89699999999999</v>
      </c>
      <c r="S608" s="61">
        <v>691.93700000000001</v>
      </c>
      <c r="T608" s="61">
        <v>66.421999999999997</v>
      </c>
      <c r="U608" s="61">
        <v>9.5619999999999994</v>
      </c>
      <c r="V608" s="61">
        <v>92.072000000000003</v>
      </c>
      <c r="W608" s="61">
        <v>93.983999999999995</v>
      </c>
      <c r="X608" s="61">
        <v>156.286</v>
      </c>
      <c r="Y608" s="61">
        <v>31.724</v>
      </c>
      <c r="Z608" s="68">
        <v>231.50800000000001</v>
      </c>
      <c r="AA608" s="61">
        <v>419.51799999999997</v>
      </c>
      <c r="AB608" s="60">
        <v>681.55799999999999</v>
      </c>
      <c r="AC608" s="62">
        <v>5481.7529999999997</v>
      </c>
      <c r="AD608" s="61">
        <v>230.23400000000001</v>
      </c>
      <c r="AE608" s="61">
        <v>30.117000000000001</v>
      </c>
      <c r="AF608" s="61">
        <v>681</v>
      </c>
      <c r="AG608" s="61">
        <v>3420.9029999999998</v>
      </c>
      <c r="AH608" s="61">
        <v>-216.69</v>
      </c>
      <c r="AI608" s="61">
        <v>6379.4430000000002</v>
      </c>
      <c r="AJ608" s="61">
        <v>267.93700000000001</v>
      </c>
      <c r="AK608" s="62">
        <v>35.048999999999999</v>
      </c>
      <c r="AL608" s="63">
        <f t="shared" si="53"/>
        <v>267.93700000000001</v>
      </c>
      <c r="AM608" s="64">
        <f t="shared" si="53"/>
        <v>35.048999999999999</v>
      </c>
      <c r="AN608" s="65" t="s">
        <v>121</v>
      </c>
      <c r="AO608" s="61" t="s">
        <v>121</v>
      </c>
      <c r="AP608" s="61">
        <v>615.72400000000005</v>
      </c>
      <c r="AQ608" s="61">
        <v>25.86</v>
      </c>
      <c r="AR608" s="61">
        <v>3.3</v>
      </c>
      <c r="AS608" s="61">
        <v>5</v>
      </c>
      <c r="AT608" s="61">
        <v>369.73700000000002</v>
      </c>
      <c r="AU608" s="61">
        <v>65.960999999999999</v>
      </c>
      <c r="AV608" s="61">
        <v>554.76300000000003</v>
      </c>
      <c r="AW608" s="61">
        <v>23.3</v>
      </c>
      <c r="AX608" s="65">
        <v>2.9729999999999999</v>
      </c>
      <c r="AY608" s="66">
        <v>3.2549999999999999</v>
      </c>
      <c r="AZ608" s="68">
        <v>23.571000000000002</v>
      </c>
      <c r="BA608" s="68">
        <v>37.012999999999998</v>
      </c>
      <c r="BB608" s="68">
        <v>63.838999999999999</v>
      </c>
      <c r="BC608" s="68" t="s">
        <v>143</v>
      </c>
      <c r="BD608" s="68">
        <v>1.619</v>
      </c>
      <c r="BE608" s="68">
        <v>7.04</v>
      </c>
      <c r="BF608" s="68">
        <v>3.4000000000000002E-2</v>
      </c>
      <c r="BG608" s="68">
        <v>6.7939999999999996</v>
      </c>
      <c r="BH608" s="68">
        <v>5.9210000000000003</v>
      </c>
      <c r="BI608" s="68">
        <v>2.762</v>
      </c>
      <c r="BJ608" s="68">
        <v>15.477</v>
      </c>
      <c r="BK608" s="66">
        <v>24.24</v>
      </c>
      <c r="BL608" s="67">
        <v>97.409000000000006</v>
      </c>
      <c r="BM608" s="61">
        <v>22.768999999999998</v>
      </c>
      <c r="BN608" s="61">
        <v>35.048999999999999</v>
      </c>
      <c r="BO608" s="61">
        <v>2.9729999999999999</v>
      </c>
      <c r="BP608" s="61">
        <v>158.19999999999999</v>
      </c>
      <c r="BQ608" s="61">
        <v>66.135000000000005</v>
      </c>
      <c r="BR608" s="61">
        <v>4.343</v>
      </c>
      <c r="BS608" s="61">
        <v>59.805999999999997</v>
      </c>
      <c r="BT608" s="61">
        <v>93.921999999999997</v>
      </c>
      <c r="BU608" s="61">
        <v>14.72</v>
      </c>
      <c r="BV608" s="61">
        <v>13.445</v>
      </c>
      <c r="BW608" s="61">
        <v>28.164000000000001</v>
      </c>
      <c r="BX608" s="67">
        <v>252.37100000000001</v>
      </c>
      <c r="BY608" s="68">
        <v>149890</v>
      </c>
      <c r="BZ608" s="68">
        <v>118749</v>
      </c>
      <c r="CA608" s="69">
        <v>4141</v>
      </c>
      <c r="CB608" s="68">
        <v>112598</v>
      </c>
      <c r="CC608" s="68">
        <v>35817</v>
      </c>
      <c r="CD608" s="68">
        <v>144521</v>
      </c>
      <c r="CE608" s="72">
        <v>4813.2</v>
      </c>
      <c r="CF608" s="72">
        <v>6300</v>
      </c>
      <c r="CG608" s="70">
        <f t="shared" si="49"/>
        <v>4729.116</v>
      </c>
      <c r="CH608" s="70">
        <f t="shared" si="50"/>
        <v>173.922</v>
      </c>
      <c r="CI608" s="70">
        <f t="shared" si="51"/>
        <v>1504.3140000000001</v>
      </c>
      <c r="CJ608" s="70">
        <f t="shared" si="52"/>
        <v>6295.38</v>
      </c>
      <c r="CK608" s="70">
        <f t="shared" si="52"/>
        <v>4987.4579999999996</v>
      </c>
      <c r="CL608" s="70">
        <f t="shared" si="48"/>
        <v>6069.8819999999996</v>
      </c>
      <c r="CM608" s="61"/>
      <c r="CN608" s="61"/>
      <c r="CO608" s="61"/>
      <c r="CP608" s="61"/>
      <c r="CQ608" s="61"/>
      <c r="CR608" s="61"/>
      <c r="CS608" s="61"/>
      <c r="CT608" s="61"/>
      <c r="CU608" s="61"/>
      <c r="CV608" s="61"/>
      <c r="CW608" s="61"/>
      <c r="CX608" s="61"/>
      <c r="CY608" s="61"/>
      <c r="CZ608" s="61"/>
      <c r="DA608" s="61"/>
      <c r="DB608" s="61"/>
      <c r="DC608" s="61"/>
      <c r="DD608" s="61"/>
      <c r="DE608" s="61"/>
      <c r="DF608" s="61"/>
      <c r="DG608" s="61"/>
      <c r="DH608" s="61"/>
      <c r="DI608" s="61"/>
      <c r="DJ608" s="61"/>
      <c r="DK608" s="61"/>
      <c r="DL608" s="61"/>
      <c r="DM608" s="61"/>
      <c r="DN608" s="61"/>
      <c r="DO608" s="61"/>
      <c r="DP608" s="61"/>
      <c r="DQ608" s="61"/>
      <c r="DR608" s="61"/>
      <c r="DS608" s="61"/>
      <c r="DT608" s="61"/>
      <c r="DU608" s="61"/>
      <c r="DV608" s="61"/>
      <c r="DW608" s="61"/>
      <c r="DX608" s="61"/>
      <c r="DY608" s="61"/>
      <c r="DZ608" s="61"/>
      <c r="EA608" s="61"/>
      <c r="EB608" s="61"/>
      <c r="EC608" s="61"/>
      <c r="ED608" s="61"/>
      <c r="EE608" s="61"/>
      <c r="EF608" s="61"/>
      <c r="EG608" s="61"/>
      <c r="EH608" s="61"/>
      <c r="EI608" s="61"/>
      <c r="EJ608" s="61"/>
      <c r="EK608" s="61"/>
      <c r="EL608" s="61"/>
      <c r="EM608" s="61"/>
      <c r="EN608" s="61"/>
      <c r="EO608" s="61"/>
      <c r="EP608" s="61"/>
      <c r="EQ608" s="61"/>
      <c r="ER608" s="61"/>
      <c r="ES608" s="61"/>
      <c r="ET608" s="61"/>
      <c r="EU608" s="61"/>
      <c r="EV608" s="61"/>
      <c r="EW608" s="61"/>
    </row>
    <row r="609" spans="1:153">
      <c r="A609" s="56">
        <v>45108</v>
      </c>
      <c r="B609" s="57">
        <v>2023</v>
      </c>
      <c r="C609" s="71">
        <v>19.623999999999999</v>
      </c>
      <c r="D609" s="61">
        <v>0.26700000000000002</v>
      </c>
      <c r="E609" s="61">
        <v>3611.98</v>
      </c>
      <c r="F609" s="61">
        <v>152.161</v>
      </c>
      <c r="G609" s="61">
        <v>19.356999999999999</v>
      </c>
      <c r="H609" s="61">
        <v>725</v>
      </c>
      <c r="I609" s="61">
        <v>691.48</v>
      </c>
      <c r="J609" s="61">
        <v>33.520000000000003</v>
      </c>
      <c r="K609" s="61">
        <v>3752.9839999999999</v>
      </c>
      <c r="L609" s="61">
        <v>-244.93</v>
      </c>
      <c r="M609" s="61">
        <v>3901.3310000000001</v>
      </c>
      <c r="N609" s="61">
        <v>163.85599999999999</v>
      </c>
      <c r="O609" s="71">
        <v>20.925000000000001</v>
      </c>
      <c r="P609" s="60">
        <v>172.19300000000001</v>
      </c>
      <c r="Q609" s="68">
        <v>232.083</v>
      </c>
      <c r="R609" s="61">
        <v>437.15</v>
      </c>
      <c r="S609" s="61">
        <v>712.22299999999996</v>
      </c>
      <c r="T609" s="61">
        <v>72.33</v>
      </c>
      <c r="U609" s="61">
        <v>9.84</v>
      </c>
      <c r="V609" s="61">
        <v>97.697000000000003</v>
      </c>
      <c r="W609" s="61">
        <v>95.206000000000003</v>
      </c>
      <c r="X609" s="61">
        <v>162.19800000000001</v>
      </c>
      <c r="Y609" s="61">
        <v>32.874000000000002</v>
      </c>
      <c r="Z609" s="68">
        <v>223.22900000000001</v>
      </c>
      <c r="AA609" s="61">
        <v>418.30200000000002</v>
      </c>
      <c r="AB609" s="60">
        <v>693.375</v>
      </c>
      <c r="AC609" s="62">
        <v>5085.567</v>
      </c>
      <c r="AD609" s="61">
        <v>213.59399999999999</v>
      </c>
      <c r="AE609" s="61">
        <v>27.94</v>
      </c>
      <c r="AF609" s="61">
        <v>783</v>
      </c>
      <c r="AG609" s="61">
        <v>4038.43</v>
      </c>
      <c r="AH609" s="61">
        <v>617.52599999999995</v>
      </c>
      <c r="AI609" s="61">
        <v>5251.0410000000002</v>
      </c>
      <c r="AJ609" s="61">
        <v>220.54400000000001</v>
      </c>
      <c r="AK609" s="62">
        <v>28.849</v>
      </c>
      <c r="AL609" s="63">
        <f t="shared" si="53"/>
        <v>220.54400000000001</v>
      </c>
      <c r="AM609" s="64">
        <f t="shared" si="53"/>
        <v>28.849</v>
      </c>
      <c r="AN609" s="65" t="s">
        <v>121</v>
      </c>
      <c r="AO609" s="61" t="s">
        <v>121</v>
      </c>
      <c r="AP609" s="61">
        <v>477.96699999999998</v>
      </c>
      <c r="AQ609" s="61">
        <v>20.074999999999999</v>
      </c>
      <c r="AR609" s="61">
        <v>2.5609999999999999</v>
      </c>
      <c r="AS609" s="61">
        <v>52</v>
      </c>
      <c r="AT609" s="61">
        <v>285.03699999999998</v>
      </c>
      <c r="AU609" s="61">
        <v>-84.700999999999993</v>
      </c>
      <c r="AV609" s="61">
        <v>614.66800000000001</v>
      </c>
      <c r="AW609" s="61">
        <v>25.815999999999999</v>
      </c>
      <c r="AX609" s="65">
        <v>3.294</v>
      </c>
      <c r="AY609" s="66">
        <v>3.363</v>
      </c>
      <c r="AZ609" s="68">
        <v>24.62</v>
      </c>
      <c r="BA609" s="68">
        <v>38.247</v>
      </c>
      <c r="BB609" s="68">
        <v>66.23</v>
      </c>
      <c r="BC609" s="68" t="s">
        <v>143</v>
      </c>
      <c r="BD609" s="68">
        <v>1.673</v>
      </c>
      <c r="BE609" s="68">
        <v>7.3239999999999998</v>
      </c>
      <c r="BF609" s="68">
        <v>2.4E-2</v>
      </c>
      <c r="BG609" s="68">
        <v>6.875</v>
      </c>
      <c r="BH609" s="68">
        <v>6.2869999999999999</v>
      </c>
      <c r="BI609" s="68">
        <v>2.694</v>
      </c>
      <c r="BJ609" s="68">
        <v>15.856</v>
      </c>
      <c r="BK609" s="66">
        <v>24.945</v>
      </c>
      <c r="BL609" s="67">
        <v>95.018000000000001</v>
      </c>
      <c r="BM609" s="61">
        <v>20.925000000000001</v>
      </c>
      <c r="BN609" s="61">
        <v>28.849</v>
      </c>
      <c r="BO609" s="61">
        <v>3.294</v>
      </c>
      <c r="BP609" s="61">
        <v>148.08600000000001</v>
      </c>
      <c r="BQ609" s="61">
        <v>72.010999999999996</v>
      </c>
      <c r="BR609" s="61">
        <v>4.4470000000000001</v>
      </c>
      <c r="BS609" s="61">
        <v>64.040000000000006</v>
      </c>
      <c r="BT609" s="61">
        <v>95.158000000000001</v>
      </c>
      <c r="BU609" s="61">
        <v>16.242999999999999</v>
      </c>
      <c r="BV609" s="61">
        <v>14.096</v>
      </c>
      <c r="BW609" s="61">
        <v>30.338999999999999</v>
      </c>
      <c r="BX609" s="67">
        <v>265.99400000000003</v>
      </c>
      <c r="BY609" s="68">
        <v>154803</v>
      </c>
      <c r="BZ609" s="68">
        <v>113075</v>
      </c>
      <c r="CA609" s="69">
        <v>3705</v>
      </c>
      <c r="CB609" s="68">
        <v>120208</v>
      </c>
      <c r="CC609" s="68">
        <v>37823</v>
      </c>
      <c r="CD609" s="68">
        <v>149271</v>
      </c>
      <c r="CE609" s="72">
        <v>4687.2000000000007</v>
      </c>
      <c r="CF609" s="72">
        <v>6470.94</v>
      </c>
      <c r="CG609" s="70">
        <f t="shared" si="49"/>
        <v>5048.7359999999999</v>
      </c>
      <c r="CH609" s="70">
        <f t="shared" si="50"/>
        <v>155.61000000000001</v>
      </c>
      <c r="CI609" s="70">
        <f t="shared" si="51"/>
        <v>1588.566</v>
      </c>
      <c r="CJ609" s="70">
        <f t="shared" si="52"/>
        <v>6501.7259999999997</v>
      </c>
      <c r="CK609" s="70">
        <f t="shared" si="52"/>
        <v>4749.1499999999996</v>
      </c>
      <c r="CL609" s="70">
        <f t="shared" si="48"/>
        <v>6269.3819999999996</v>
      </c>
      <c r="CM609" s="61"/>
      <c r="CN609" s="61"/>
      <c r="CO609" s="61"/>
      <c r="CP609" s="61"/>
      <c r="CQ609" s="61"/>
      <c r="CR609" s="61"/>
      <c r="CS609" s="61"/>
      <c r="CT609" s="61"/>
      <c r="CU609" s="61"/>
      <c r="CV609" s="61"/>
      <c r="CW609" s="61"/>
      <c r="CX609" s="61"/>
      <c r="CY609" s="61"/>
      <c r="CZ609" s="61"/>
      <c r="DA609" s="61"/>
      <c r="DB609" s="61"/>
      <c r="DC609" s="61"/>
      <c r="DD609" s="61"/>
      <c r="DE609" s="61"/>
      <c r="DF609" s="61"/>
      <c r="DG609" s="61"/>
      <c r="DH609" s="61"/>
      <c r="DI609" s="61"/>
      <c r="DJ609" s="61"/>
      <c r="DK609" s="61"/>
      <c r="DL609" s="61"/>
      <c r="DM609" s="61"/>
      <c r="DN609" s="61"/>
      <c r="DO609" s="61"/>
      <c r="DP609" s="61"/>
      <c r="DQ609" s="61"/>
      <c r="DR609" s="61"/>
      <c r="DS609" s="61"/>
      <c r="DT609" s="61"/>
      <c r="DU609" s="61"/>
      <c r="DV609" s="61"/>
      <c r="DW609" s="61"/>
      <c r="DX609" s="61"/>
      <c r="DY609" s="61"/>
      <c r="DZ609" s="61"/>
      <c r="EA609" s="61"/>
      <c r="EB609" s="61"/>
      <c r="EC609" s="61"/>
      <c r="ED609" s="61"/>
      <c r="EE609" s="61"/>
      <c r="EF609" s="61"/>
      <c r="EG609" s="61"/>
      <c r="EH609" s="61"/>
      <c r="EI609" s="61"/>
      <c r="EJ609" s="61"/>
      <c r="EK609" s="61"/>
      <c r="EL609" s="61"/>
      <c r="EM609" s="61"/>
      <c r="EN609" s="61"/>
      <c r="EO609" s="61"/>
      <c r="EP609" s="61"/>
      <c r="EQ609" s="61"/>
      <c r="ER609" s="61"/>
      <c r="ES609" s="61"/>
      <c r="ET609" s="61"/>
      <c r="EU609" s="61"/>
      <c r="EV609" s="61"/>
      <c r="EW609" s="61"/>
    </row>
    <row r="610" spans="1:153">
      <c r="A610" s="56">
        <v>45139</v>
      </c>
      <c r="B610" s="57">
        <v>2023</v>
      </c>
      <c r="C610" s="71">
        <v>18.786999999999999</v>
      </c>
      <c r="D610" s="61">
        <v>0.25600000000000001</v>
      </c>
      <c r="E610" s="61">
        <v>3457.9259999999999</v>
      </c>
      <c r="F610" s="61">
        <v>144.845</v>
      </c>
      <c r="G610" s="61">
        <v>18.530999999999999</v>
      </c>
      <c r="H610" s="61">
        <v>991</v>
      </c>
      <c r="I610" s="61">
        <v>552.54899999999998</v>
      </c>
      <c r="J610" s="61">
        <v>438.45100000000002</v>
      </c>
      <c r="K610" s="61">
        <v>3622.4940000000001</v>
      </c>
      <c r="L610" s="61">
        <v>-130.49</v>
      </c>
      <c r="M610" s="61">
        <v>4017.64</v>
      </c>
      <c r="N610" s="61">
        <v>168.74100000000001</v>
      </c>
      <c r="O610" s="71">
        <v>21.577999999999999</v>
      </c>
      <c r="P610" s="60">
        <v>176.803</v>
      </c>
      <c r="Q610" s="68">
        <v>230.24100000000001</v>
      </c>
      <c r="R610" s="61">
        <v>439.56799999999998</v>
      </c>
      <c r="S610" s="61">
        <v>712.24099999999999</v>
      </c>
      <c r="T610" s="61">
        <v>72.06</v>
      </c>
      <c r="U610" s="61">
        <v>9.9670000000000005</v>
      </c>
      <c r="V610" s="61">
        <v>93.248000000000005</v>
      </c>
      <c r="W610" s="61">
        <v>97.397000000000006</v>
      </c>
      <c r="X610" s="61">
        <v>163.071</v>
      </c>
      <c r="Y610" s="61">
        <v>32.524000000000001</v>
      </c>
      <c r="Z610" s="68">
        <v>235.024</v>
      </c>
      <c r="AA610" s="61">
        <v>430.61900000000003</v>
      </c>
      <c r="AB610" s="60">
        <v>703.29100000000005</v>
      </c>
      <c r="AC610" s="62">
        <v>5797.6319999999996</v>
      </c>
      <c r="AD610" s="61">
        <v>243.501</v>
      </c>
      <c r="AE610" s="61">
        <v>31.852</v>
      </c>
      <c r="AF610" s="61">
        <v>1003</v>
      </c>
      <c r="AG610" s="61">
        <v>4039.2339999999999</v>
      </c>
      <c r="AH610" s="61">
        <v>0.80400000000000005</v>
      </c>
      <c r="AI610" s="61">
        <v>6799.8280000000004</v>
      </c>
      <c r="AJ610" s="61">
        <v>285.59300000000002</v>
      </c>
      <c r="AK610" s="62">
        <v>37.357999999999997</v>
      </c>
      <c r="AL610" s="63">
        <f t="shared" si="53"/>
        <v>285.59300000000002</v>
      </c>
      <c r="AM610" s="64">
        <f t="shared" si="53"/>
        <v>37.357999999999997</v>
      </c>
      <c r="AN610" s="65" t="s">
        <v>121</v>
      </c>
      <c r="AO610" s="61" t="s">
        <v>121</v>
      </c>
      <c r="AP610" s="61">
        <v>520.74800000000005</v>
      </c>
      <c r="AQ610" s="61">
        <v>21.870999999999999</v>
      </c>
      <c r="AR610" s="61">
        <v>2.7909999999999999</v>
      </c>
      <c r="AS610" s="61">
        <v>7</v>
      </c>
      <c r="AT610" s="61">
        <v>406.36500000000001</v>
      </c>
      <c r="AU610" s="61">
        <v>121.328</v>
      </c>
      <c r="AV610" s="61">
        <v>406.42</v>
      </c>
      <c r="AW610" s="61">
        <v>17.07</v>
      </c>
      <c r="AX610" s="65">
        <v>2.1779999999999999</v>
      </c>
      <c r="AY610" s="66">
        <v>3.363</v>
      </c>
      <c r="AZ610" s="68">
        <v>24.195</v>
      </c>
      <c r="BA610" s="68">
        <v>38.247</v>
      </c>
      <c r="BB610" s="68">
        <v>65.805000000000007</v>
      </c>
      <c r="BC610" s="68" t="s">
        <v>143</v>
      </c>
      <c r="BD610" s="68">
        <v>1.673</v>
      </c>
      <c r="BE610" s="68">
        <v>6.984</v>
      </c>
      <c r="BF610" s="68">
        <v>2.5999999999999999E-2</v>
      </c>
      <c r="BG610" s="68">
        <v>6.9939999999999998</v>
      </c>
      <c r="BH610" s="68">
        <v>6.2220000000000004</v>
      </c>
      <c r="BI610" s="68">
        <v>2.85</v>
      </c>
      <c r="BJ610" s="68">
        <v>16.065999999999999</v>
      </c>
      <c r="BK610" s="66">
        <v>24.82</v>
      </c>
      <c r="BL610" s="67">
        <v>100.517</v>
      </c>
      <c r="BM610" s="61">
        <v>21.577999999999999</v>
      </c>
      <c r="BN610" s="61">
        <v>37.357999999999997</v>
      </c>
      <c r="BO610" s="61">
        <v>2.1779999999999999</v>
      </c>
      <c r="BP610" s="61">
        <v>161.63200000000001</v>
      </c>
      <c r="BQ610" s="61">
        <v>71.734999999999999</v>
      </c>
      <c r="BR610" s="61">
        <v>4.5739999999999998</v>
      </c>
      <c r="BS610" s="61">
        <v>60.430999999999997</v>
      </c>
      <c r="BT610" s="61">
        <v>97.343000000000004</v>
      </c>
      <c r="BU610" s="61">
        <v>15.644</v>
      </c>
      <c r="BV610" s="61">
        <v>13.904</v>
      </c>
      <c r="BW610" s="61">
        <v>29.547000000000001</v>
      </c>
      <c r="BX610" s="67">
        <v>263.63099999999997</v>
      </c>
      <c r="BY610" s="68">
        <v>156145</v>
      </c>
      <c r="BZ610" s="68">
        <v>128148</v>
      </c>
      <c r="CA610" s="69">
        <v>4138</v>
      </c>
      <c r="CB610" s="68">
        <v>116890</v>
      </c>
      <c r="CC610" s="68">
        <v>35458</v>
      </c>
      <c r="CD610" s="68">
        <v>149397</v>
      </c>
      <c r="CE610" s="72">
        <v>4882.5</v>
      </c>
      <c r="CF610" s="72">
        <v>6549.06</v>
      </c>
      <c r="CG610" s="70">
        <f t="shared" si="49"/>
        <v>4909.38</v>
      </c>
      <c r="CH610" s="70">
        <f t="shared" si="50"/>
        <v>173.79599999999999</v>
      </c>
      <c r="CI610" s="70">
        <f t="shared" si="51"/>
        <v>1489.2360000000001</v>
      </c>
      <c r="CJ610" s="70">
        <f t="shared" si="52"/>
        <v>6558.09</v>
      </c>
      <c r="CK610" s="70">
        <f t="shared" si="52"/>
        <v>5382.2160000000003</v>
      </c>
      <c r="CL610" s="70">
        <f t="shared" si="48"/>
        <v>6274.674</v>
      </c>
      <c r="CM610" s="61"/>
      <c r="CN610" s="61"/>
      <c r="CO610" s="61"/>
      <c r="CP610" s="61"/>
      <c r="CQ610" s="61"/>
      <c r="CR610" s="61"/>
      <c r="CS610" s="61"/>
      <c r="CT610" s="61"/>
      <c r="CU610" s="61"/>
      <c r="CV610" s="61"/>
      <c r="CW610" s="61"/>
      <c r="CX610" s="61"/>
      <c r="CY610" s="61"/>
      <c r="CZ610" s="61"/>
      <c r="DA610" s="61"/>
      <c r="DB610" s="61"/>
      <c r="DC610" s="61"/>
      <c r="DD610" s="61"/>
      <c r="DE610" s="61"/>
      <c r="DF610" s="61"/>
      <c r="DG610" s="61"/>
      <c r="DH610" s="61"/>
      <c r="DI610" s="61"/>
      <c r="DJ610" s="61"/>
      <c r="DK610" s="61"/>
      <c r="DL610" s="61"/>
      <c r="DM610" s="61"/>
      <c r="DN610" s="61"/>
      <c r="DO610" s="61"/>
      <c r="DP610" s="61"/>
      <c r="DQ610" s="61"/>
      <c r="DR610" s="61"/>
      <c r="DS610" s="61"/>
      <c r="DT610" s="61"/>
      <c r="DU610" s="61"/>
      <c r="DV610" s="61"/>
      <c r="DW610" s="61"/>
      <c r="DX610" s="61"/>
      <c r="DY610" s="61"/>
      <c r="DZ610" s="61"/>
      <c r="EA610" s="61"/>
      <c r="EB610" s="61"/>
      <c r="EC610" s="61"/>
      <c r="ED610" s="61"/>
      <c r="EE610" s="61"/>
      <c r="EF610" s="61"/>
      <c r="EG610" s="61"/>
      <c r="EH610" s="61"/>
      <c r="EI610" s="61"/>
      <c r="EJ610" s="61"/>
      <c r="EK610" s="61"/>
      <c r="EL610" s="61"/>
      <c r="EM610" s="61"/>
      <c r="EN610" s="61"/>
      <c r="EO610" s="61"/>
      <c r="EP610" s="61"/>
      <c r="EQ610" s="61"/>
      <c r="ER610" s="61"/>
      <c r="ES610" s="61"/>
      <c r="ET610" s="61"/>
      <c r="EU610" s="61"/>
      <c r="EV610" s="61"/>
      <c r="EW610" s="61"/>
    </row>
    <row r="611" spans="1:153">
      <c r="A611" s="56">
        <v>45170</v>
      </c>
      <c r="B611" s="57">
        <v>2023</v>
      </c>
      <c r="C611" s="71">
        <v>18.675999999999998</v>
      </c>
      <c r="D611" s="61">
        <v>0.254</v>
      </c>
      <c r="E611" s="61">
        <v>3437.5439999999999</v>
      </c>
      <c r="F611" s="61">
        <v>144.38900000000001</v>
      </c>
      <c r="G611" s="61">
        <v>18.422000000000001</v>
      </c>
      <c r="H611" s="61">
        <v>1280</v>
      </c>
      <c r="I611" s="61">
        <v>409.654</v>
      </c>
      <c r="J611" s="61">
        <v>870.346</v>
      </c>
      <c r="K611" s="61">
        <v>3628.9520000000002</v>
      </c>
      <c r="L611" s="61">
        <v>6.4589999999999996</v>
      </c>
      <c r="M611" s="61">
        <v>4301.7299999999996</v>
      </c>
      <c r="N611" s="61">
        <v>180.673</v>
      </c>
      <c r="O611" s="71">
        <v>23.155999999999999</v>
      </c>
      <c r="P611" s="60">
        <v>166.22200000000001</v>
      </c>
      <c r="Q611" s="68">
        <v>226.81</v>
      </c>
      <c r="R611" s="61">
        <v>424.62900000000002</v>
      </c>
      <c r="S611" s="61">
        <v>668.52200000000005</v>
      </c>
      <c r="T611" s="61">
        <v>56.192999999999998</v>
      </c>
      <c r="U611" s="61">
        <v>9.8279999999999994</v>
      </c>
      <c r="V611" s="61">
        <v>81.551000000000002</v>
      </c>
      <c r="W611" s="61">
        <v>96.320999999999998</v>
      </c>
      <c r="X611" s="61">
        <v>152.9</v>
      </c>
      <c r="Y611" s="61">
        <v>31.597000000000001</v>
      </c>
      <c r="Z611" s="68">
        <v>223.52099999999999</v>
      </c>
      <c r="AA611" s="61">
        <v>408.01799999999997</v>
      </c>
      <c r="AB611" s="60">
        <v>651.91099999999994</v>
      </c>
      <c r="AC611" s="62">
        <v>5968.0010000000002</v>
      </c>
      <c r="AD611" s="61">
        <v>250.65600000000001</v>
      </c>
      <c r="AE611" s="61">
        <v>32.787999999999997</v>
      </c>
      <c r="AF611" s="61">
        <v>405</v>
      </c>
      <c r="AG611" s="61">
        <v>4220.5969999999998</v>
      </c>
      <c r="AH611" s="61">
        <v>181.363</v>
      </c>
      <c r="AI611" s="61">
        <v>6191.6379999999999</v>
      </c>
      <c r="AJ611" s="61">
        <v>260.04899999999998</v>
      </c>
      <c r="AK611" s="62">
        <v>34.017000000000003</v>
      </c>
      <c r="AL611" s="63">
        <f t="shared" si="53"/>
        <v>260.04899999999998</v>
      </c>
      <c r="AM611" s="64">
        <f t="shared" si="53"/>
        <v>34.017000000000003</v>
      </c>
      <c r="AN611" s="65" t="s">
        <v>121</v>
      </c>
      <c r="AO611" s="61" t="s">
        <v>121</v>
      </c>
      <c r="AP611" s="61">
        <v>601.27800000000002</v>
      </c>
      <c r="AQ611" s="61">
        <v>25.254000000000001</v>
      </c>
      <c r="AR611" s="61">
        <v>3.222</v>
      </c>
      <c r="AS611" s="61" t="s">
        <v>122</v>
      </c>
      <c r="AT611" s="61">
        <v>265.36099999999999</v>
      </c>
      <c r="AU611" s="61">
        <v>-141.00399999999999</v>
      </c>
      <c r="AV611" s="61">
        <v>742.28200000000004</v>
      </c>
      <c r="AW611" s="61">
        <v>31.175999999999998</v>
      </c>
      <c r="AX611" s="65">
        <v>3.9780000000000002</v>
      </c>
      <c r="AY611" s="66">
        <v>3.2549999999999999</v>
      </c>
      <c r="AZ611" s="68">
        <v>21.062999999999999</v>
      </c>
      <c r="BA611" s="68">
        <v>37.012999999999998</v>
      </c>
      <c r="BB611" s="68">
        <v>61.331000000000003</v>
      </c>
      <c r="BC611" s="68" t="s">
        <v>143</v>
      </c>
      <c r="BD611" s="68">
        <v>1.619</v>
      </c>
      <c r="BE611" s="68">
        <v>6.2249999999999996</v>
      </c>
      <c r="BF611" s="68">
        <v>2.5999999999999999E-2</v>
      </c>
      <c r="BG611" s="68">
        <v>6.81</v>
      </c>
      <c r="BH611" s="68">
        <v>5.7380000000000004</v>
      </c>
      <c r="BI611" s="68">
        <v>2.5859999999999999</v>
      </c>
      <c r="BJ611" s="68">
        <v>15.134</v>
      </c>
      <c r="BK611" s="66">
        <v>23.055</v>
      </c>
      <c r="BL611" s="67">
        <v>91.224999999999994</v>
      </c>
      <c r="BM611" s="61">
        <v>23.155999999999999</v>
      </c>
      <c r="BN611" s="61">
        <v>34.017000000000003</v>
      </c>
      <c r="BO611" s="61">
        <v>3.9780000000000002</v>
      </c>
      <c r="BP611" s="61">
        <v>152.376</v>
      </c>
      <c r="BQ611" s="61">
        <v>55.918999999999997</v>
      </c>
      <c r="BR611" s="61">
        <v>4.609</v>
      </c>
      <c r="BS611" s="61">
        <v>52.793999999999997</v>
      </c>
      <c r="BT611" s="61">
        <v>96.268000000000001</v>
      </c>
      <c r="BU611" s="61">
        <v>12.634</v>
      </c>
      <c r="BV611" s="61">
        <v>13.968</v>
      </c>
      <c r="BW611" s="61">
        <v>26.602</v>
      </c>
      <c r="BX611" s="67">
        <v>236.191</v>
      </c>
      <c r="BY611" s="68">
        <v>147703</v>
      </c>
      <c r="BZ611" s="68">
        <v>117633</v>
      </c>
      <c r="CA611" s="69">
        <v>3566</v>
      </c>
      <c r="CB611" s="68">
        <v>119170</v>
      </c>
      <c r="CC611" s="68">
        <v>31361</v>
      </c>
      <c r="CD611" s="68">
        <v>141205</v>
      </c>
      <c r="CE611" s="72">
        <v>4687.2000000000007</v>
      </c>
      <c r="CF611" s="72">
        <v>6161.4</v>
      </c>
      <c r="CG611" s="70">
        <f t="shared" si="49"/>
        <v>5005.1400000000003</v>
      </c>
      <c r="CH611" s="70">
        <f t="shared" si="50"/>
        <v>149.77199999999999</v>
      </c>
      <c r="CI611" s="70">
        <f t="shared" si="51"/>
        <v>1317.162</v>
      </c>
      <c r="CJ611" s="70">
        <f t="shared" si="52"/>
        <v>6203.5259999999998</v>
      </c>
      <c r="CK611" s="70">
        <f t="shared" si="52"/>
        <v>4940.5860000000002</v>
      </c>
      <c r="CL611" s="70">
        <f t="shared" si="48"/>
        <v>5930.61</v>
      </c>
      <c r="CM611" s="61"/>
      <c r="CN611" s="61"/>
      <c r="CO611" s="61"/>
      <c r="CP611" s="61"/>
      <c r="CQ611" s="61"/>
      <c r="CR611" s="61"/>
      <c r="CS611" s="61"/>
      <c r="CT611" s="61"/>
      <c r="CU611" s="61"/>
      <c r="CV611" s="61"/>
      <c r="CW611" s="61"/>
      <c r="CX611" s="61"/>
      <c r="CY611" s="61"/>
      <c r="CZ611" s="61"/>
      <c r="DA611" s="61"/>
      <c r="DB611" s="61"/>
      <c r="DC611" s="61"/>
      <c r="DD611" s="61"/>
      <c r="DE611" s="61"/>
      <c r="DF611" s="61"/>
      <c r="DG611" s="61"/>
      <c r="DH611" s="61"/>
      <c r="DI611" s="61"/>
      <c r="DJ611" s="61"/>
      <c r="DK611" s="61"/>
      <c r="DL611" s="61"/>
      <c r="DM611" s="61"/>
      <c r="DN611" s="61"/>
      <c r="DO611" s="61"/>
      <c r="DP611" s="61"/>
      <c r="DQ611" s="61"/>
      <c r="DR611" s="61"/>
      <c r="DS611" s="61"/>
      <c r="DT611" s="61"/>
      <c r="DU611" s="61"/>
      <c r="DV611" s="61"/>
      <c r="DW611" s="61"/>
      <c r="DX611" s="61"/>
      <c r="DY611" s="61"/>
      <c r="DZ611" s="61"/>
      <c r="EA611" s="61"/>
      <c r="EB611" s="61"/>
      <c r="EC611" s="61"/>
      <c r="ED611" s="61"/>
      <c r="EE611" s="61"/>
      <c r="EF611" s="61"/>
      <c r="EG611" s="61"/>
      <c r="EH611" s="61"/>
      <c r="EI611" s="61"/>
      <c r="EJ611" s="61"/>
      <c r="EK611" s="61"/>
      <c r="EL611" s="61"/>
      <c r="EM611" s="61"/>
      <c r="EN611" s="61"/>
      <c r="EO611" s="61"/>
      <c r="EP611" s="61"/>
      <c r="EQ611" s="61"/>
      <c r="ER611" s="61"/>
      <c r="ES611" s="61"/>
      <c r="ET611" s="61"/>
      <c r="EU611" s="61"/>
      <c r="EV611" s="61"/>
      <c r="EW611" s="61"/>
    </row>
    <row r="612" spans="1:153">
      <c r="A612" s="56">
        <v>45200</v>
      </c>
      <c r="B612" s="57">
        <v>2023</v>
      </c>
      <c r="C612" s="71">
        <v>18.986000000000001</v>
      </c>
      <c r="D612" s="61">
        <v>0.25900000000000001</v>
      </c>
      <c r="E612" s="61">
        <v>3494.5949999999998</v>
      </c>
      <c r="F612" s="61">
        <v>146.773</v>
      </c>
      <c r="G612" s="61">
        <v>18.728000000000002</v>
      </c>
      <c r="H612" s="61">
        <v>1017</v>
      </c>
      <c r="I612" s="61">
        <v>450.64699999999999</v>
      </c>
      <c r="J612" s="61">
        <v>566.35299999999995</v>
      </c>
      <c r="K612" s="61">
        <v>3505.22</v>
      </c>
      <c r="L612" s="61">
        <v>-123.732</v>
      </c>
      <c r="M612" s="61">
        <v>4184.68</v>
      </c>
      <c r="N612" s="61">
        <v>175.75700000000001</v>
      </c>
      <c r="O612" s="71">
        <v>22.091999999999999</v>
      </c>
      <c r="P612" s="60">
        <v>165.62100000000001</v>
      </c>
      <c r="Q612" s="68">
        <v>231.392</v>
      </c>
      <c r="R612" s="61">
        <v>429.99799999999999</v>
      </c>
      <c r="S612" s="61">
        <v>700.601</v>
      </c>
      <c r="T612" s="61">
        <v>61.676000000000002</v>
      </c>
      <c r="U612" s="61">
        <v>10.218999999999999</v>
      </c>
      <c r="V612" s="61">
        <v>74.224999999999994</v>
      </c>
      <c r="W612" s="61">
        <v>124.48399999999999</v>
      </c>
      <c r="X612" s="61">
        <v>154.197</v>
      </c>
      <c r="Y612" s="61">
        <v>32.984999999999999</v>
      </c>
      <c r="Z612" s="68">
        <v>232.68199999999999</v>
      </c>
      <c r="AA612" s="61">
        <v>419.86399999999998</v>
      </c>
      <c r="AB612" s="60">
        <v>690.46699999999998</v>
      </c>
      <c r="AC612" s="62">
        <v>5017.7610000000004</v>
      </c>
      <c r="AD612" s="61">
        <v>210.74600000000001</v>
      </c>
      <c r="AE612" s="61">
        <v>27.568000000000001</v>
      </c>
      <c r="AF612" s="61">
        <v>351</v>
      </c>
      <c r="AG612" s="61">
        <v>3667.9349999999999</v>
      </c>
      <c r="AH612" s="61">
        <v>-552.66200000000003</v>
      </c>
      <c r="AI612" s="61">
        <v>5921.4229999999998</v>
      </c>
      <c r="AJ612" s="61">
        <v>248.7</v>
      </c>
      <c r="AK612" s="62">
        <v>32.531999999999996</v>
      </c>
      <c r="AL612" s="63">
        <f t="shared" si="53"/>
        <v>248.7</v>
      </c>
      <c r="AM612" s="64">
        <f t="shared" si="53"/>
        <v>32.531999999999996</v>
      </c>
      <c r="AN612" s="65" t="s">
        <v>121</v>
      </c>
      <c r="AO612" s="61" t="s">
        <v>121</v>
      </c>
      <c r="AP612" s="61">
        <v>714.28800000000001</v>
      </c>
      <c r="AQ612" s="61">
        <v>30</v>
      </c>
      <c r="AR612" s="61">
        <v>3.8279999999999998</v>
      </c>
      <c r="AS612" s="61" t="s">
        <v>122</v>
      </c>
      <c r="AT612" s="61">
        <v>325.33</v>
      </c>
      <c r="AU612" s="61">
        <v>59.969000000000001</v>
      </c>
      <c r="AV612" s="61">
        <v>654.31899999999996</v>
      </c>
      <c r="AW612" s="61">
        <v>27.481000000000002</v>
      </c>
      <c r="AX612" s="65">
        <v>3.5059999999999998</v>
      </c>
      <c r="AY612" s="66">
        <v>3.363</v>
      </c>
      <c r="AZ612" s="68">
        <v>19.727</v>
      </c>
      <c r="BA612" s="68">
        <v>38.247</v>
      </c>
      <c r="BB612" s="68">
        <v>61.337000000000003</v>
      </c>
      <c r="BC612" s="68" t="s">
        <v>143</v>
      </c>
      <c r="BD612" s="68">
        <v>1.673</v>
      </c>
      <c r="BE612" s="68">
        <v>5.3860000000000001</v>
      </c>
      <c r="BF612" s="68">
        <v>3.4000000000000002E-2</v>
      </c>
      <c r="BG612" s="68">
        <v>6.9340000000000002</v>
      </c>
      <c r="BH612" s="68">
        <v>5.8140000000000001</v>
      </c>
      <c r="BI612" s="68">
        <v>2.823</v>
      </c>
      <c r="BJ612" s="68">
        <v>15.571</v>
      </c>
      <c r="BK612" s="66">
        <v>22.713000000000001</v>
      </c>
      <c r="BL612" s="67">
        <v>99.573999999999998</v>
      </c>
      <c r="BM612" s="61">
        <v>22.091999999999999</v>
      </c>
      <c r="BN612" s="61">
        <v>32.531999999999996</v>
      </c>
      <c r="BO612" s="61">
        <v>3.5059999999999998</v>
      </c>
      <c r="BP612" s="61">
        <v>157.70400000000001</v>
      </c>
      <c r="BQ612" s="61">
        <v>61.371000000000002</v>
      </c>
      <c r="BR612" s="61">
        <v>4.8259999999999996</v>
      </c>
      <c r="BS612" s="61">
        <v>47.777999999999999</v>
      </c>
      <c r="BT612" s="61">
        <v>124.41500000000001</v>
      </c>
      <c r="BU612" s="61">
        <v>10.009</v>
      </c>
      <c r="BV612" s="61">
        <v>13.457000000000001</v>
      </c>
      <c r="BW612" s="61">
        <v>23.466000000000001</v>
      </c>
      <c r="BX612" s="67">
        <v>261.85500000000002</v>
      </c>
      <c r="BY612" s="68">
        <v>147159</v>
      </c>
      <c r="BZ612" s="68">
        <v>126086</v>
      </c>
      <c r="CA612" s="69">
        <v>3279</v>
      </c>
      <c r="CB612" s="68">
        <v>110433</v>
      </c>
      <c r="CC612" s="68">
        <v>33093</v>
      </c>
      <c r="CD612" s="68">
        <v>139913</v>
      </c>
      <c r="CE612" s="72">
        <v>4999.68</v>
      </c>
      <c r="CF612" s="72">
        <v>6210.5399999999991</v>
      </c>
      <c r="CG612" s="70">
        <f t="shared" si="49"/>
        <v>4638.1859999999997</v>
      </c>
      <c r="CH612" s="70">
        <f t="shared" si="50"/>
        <v>137.71799999999999</v>
      </c>
      <c r="CI612" s="70">
        <f t="shared" si="51"/>
        <v>1389.9059999999999</v>
      </c>
      <c r="CJ612" s="70">
        <f t="shared" si="52"/>
        <v>6180.6779999999999</v>
      </c>
      <c r="CK612" s="70">
        <f t="shared" si="52"/>
        <v>5295.6120000000001</v>
      </c>
      <c r="CL612" s="70">
        <f t="shared" si="48"/>
        <v>5876.3459999999995</v>
      </c>
      <c r="CM612" s="61"/>
      <c r="CN612" s="61"/>
      <c r="CO612" s="61"/>
      <c r="CP612" s="61"/>
      <c r="CQ612" s="61"/>
      <c r="CR612" s="61"/>
      <c r="CS612" s="61"/>
      <c r="CT612" s="61"/>
      <c r="CU612" s="61"/>
      <c r="CV612" s="61"/>
      <c r="CW612" s="61"/>
      <c r="CX612" s="61"/>
      <c r="CY612" s="61"/>
      <c r="CZ612" s="61"/>
      <c r="DA612" s="61"/>
      <c r="DB612" s="61"/>
      <c r="DC612" s="61"/>
      <c r="DD612" s="61"/>
      <c r="DE612" s="61"/>
      <c r="DF612" s="61"/>
      <c r="DG612" s="61"/>
      <c r="DH612" s="61"/>
      <c r="DI612" s="61"/>
      <c r="DJ612" s="61"/>
      <c r="DK612" s="61"/>
      <c r="DL612" s="61"/>
      <c r="DM612" s="61"/>
      <c r="DN612" s="61"/>
      <c r="DO612" s="61"/>
      <c r="DP612" s="61"/>
      <c r="DQ612" s="61"/>
      <c r="DR612" s="61"/>
      <c r="DS612" s="61"/>
      <c r="DT612" s="61"/>
      <c r="DU612" s="61"/>
      <c r="DV612" s="61"/>
      <c r="DW612" s="61"/>
      <c r="DX612" s="61"/>
      <c r="DY612" s="61"/>
      <c r="DZ612" s="61"/>
      <c r="EA612" s="61"/>
      <c r="EB612" s="61"/>
      <c r="EC612" s="61"/>
      <c r="ED612" s="61"/>
      <c r="EE612" s="61"/>
      <c r="EF612" s="61"/>
      <c r="EG612" s="61"/>
      <c r="EH612" s="61"/>
      <c r="EI612" s="61"/>
      <c r="EJ612" s="61"/>
      <c r="EK612" s="61"/>
      <c r="EL612" s="61"/>
      <c r="EM612" s="61"/>
      <c r="EN612" s="61"/>
      <c r="EO612" s="61"/>
      <c r="EP612" s="61"/>
      <c r="EQ612" s="61"/>
      <c r="ER612" s="61"/>
      <c r="ES612" s="61"/>
      <c r="ET612" s="61"/>
      <c r="EU612" s="61"/>
      <c r="EV612" s="61"/>
      <c r="EW612" s="61"/>
    </row>
    <row r="613" spans="1:153">
      <c r="A613" s="56">
        <v>45231</v>
      </c>
      <c r="B613" s="57">
        <v>2023</v>
      </c>
      <c r="C613" s="71">
        <v>17.552</v>
      </c>
      <c r="D613" s="61">
        <v>0.23899999999999999</v>
      </c>
      <c r="E613" s="61">
        <v>3230.652</v>
      </c>
      <c r="F613" s="61">
        <v>135.68700000000001</v>
      </c>
      <c r="G613" s="61">
        <v>17.312999999999999</v>
      </c>
      <c r="H613" s="61">
        <v>1239</v>
      </c>
      <c r="I613" s="61">
        <v>361.40100000000001</v>
      </c>
      <c r="J613" s="61">
        <v>877.59900000000005</v>
      </c>
      <c r="K613" s="61">
        <v>3654.5230000000001</v>
      </c>
      <c r="L613" s="61">
        <v>149.303</v>
      </c>
      <c r="M613" s="61">
        <v>3958.9479999999999</v>
      </c>
      <c r="N613" s="61">
        <v>166.27600000000001</v>
      </c>
      <c r="O613" s="71">
        <v>21.16</v>
      </c>
      <c r="P613" s="60">
        <v>168.399</v>
      </c>
      <c r="Q613" s="68">
        <v>229.48</v>
      </c>
      <c r="R613" s="61">
        <v>430.07</v>
      </c>
      <c r="S613" s="61">
        <v>684.58600000000001</v>
      </c>
      <c r="T613" s="61">
        <v>61.756999999999998</v>
      </c>
      <c r="U613" s="61">
        <v>10.029</v>
      </c>
      <c r="V613" s="61">
        <v>56.343000000000004</v>
      </c>
      <c r="W613" s="61">
        <v>126.38800000000001</v>
      </c>
      <c r="X613" s="61">
        <v>158.80600000000001</v>
      </c>
      <c r="Y613" s="61">
        <v>32.191000000000003</v>
      </c>
      <c r="Z613" s="68">
        <v>219.05799999999999</v>
      </c>
      <c r="AA613" s="61">
        <v>410.05500000000001</v>
      </c>
      <c r="AB613" s="60">
        <v>664.57100000000003</v>
      </c>
      <c r="AC613" s="62">
        <v>5321.134</v>
      </c>
      <c r="AD613" s="61">
        <v>223.488</v>
      </c>
      <c r="AE613" s="61">
        <v>29.234000000000002</v>
      </c>
      <c r="AF613" s="61">
        <v>813</v>
      </c>
      <c r="AG613" s="61">
        <v>4984.66</v>
      </c>
      <c r="AH613" s="61">
        <v>1316.7249999999999</v>
      </c>
      <c r="AI613" s="61">
        <v>4817.4089999999997</v>
      </c>
      <c r="AJ613" s="61">
        <v>202.33099999999999</v>
      </c>
      <c r="AK613" s="62">
        <v>26.466999999999999</v>
      </c>
      <c r="AL613" s="63">
        <f t="shared" si="53"/>
        <v>202.33099999999999</v>
      </c>
      <c r="AM613" s="64">
        <f t="shared" si="53"/>
        <v>26.466999999999999</v>
      </c>
      <c r="AN613" s="65" t="s">
        <v>121</v>
      </c>
      <c r="AO613" s="61" t="s">
        <v>121</v>
      </c>
      <c r="AP613" s="61">
        <v>591.80100000000004</v>
      </c>
      <c r="AQ613" s="61">
        <v>24.856000000000002</v>
      </c>
      <c r="AR613" s="61">
        <v>3.1709999999999998</v>
      </c>
      <c r="AS613" s="61" t="s">
        <v>122</v>
      </c>
      <c r="AT613" s="61">
        <v>300.70699999999999</v>
      </c>
      <c r="AU613" s="61">
        <v>-24.623000000000001</v>
      </c>
      <c r="AV613" s="61">
        <v>616.42399999999998</v>
      </c>
      <c r="AW613" s="61">
        <v>25.89</v>
      </c>
      <c r="AX613" s="65">
        <v>3.3029999999999999</v>
      </c>
      <c r="AY613" s="66">
        <v>3.2549999999999999</v>
      </c>
      <c r="AZ613" s="68">
        <v>16.219000000000001</v>
      </c>
      <c r="BA613" s="68">
        <v>37.012999999999998</v>
      </c>
      <c r="BB613" s="68">
        <v>56.487000000000002</v>
      </c>
      <c r="BC613" s="68">
        <v>5.8999999999999997E-2</v>
      </c>
      <c r="BD613" s="68">
        <v>1.619</v>
      </c>
      <c r="BE613" s="68">
        <v>4.3010000000000002</v>
      </c>
      <c r="BF613" s="68">
        <v>0.04</v>
      </c>
      <c r="BG613" s="68">
        <v>6.7069999999999999</v>
      </c>
      <c r="BH613" s="68">
        <v>5.9470000000000001</v>
      </c>
      <c r="BI613" s="68">
        <v>2.665</v>
      </c>
      <c r="BJ613" s="68">
        <v>15.319000000000001</v>
      </c>
      <c r="BK613" s="66">
        <v>21.338999999999999</v>
      </c>
      <c r="BL613" s="67">
        <v>94.004000000000005</v>
      </c>
      <c r="BM613" s="61">
        <v>21.16</v>
      </c>
      <c r="BN613" s="61">
        <v>26.466999999999999</v>
      </c>
      <c r="BO613" s="61">
        <v>3.3029999999999999</v>
      </c>
      <c r="BP613" s="61">
        <v>144.93299999999999</v>
      </c>
      <c r="BQ613" s="61">
        <v>61.456000000000003</v>
      </c>
      <c r="BR613" s="61">
        <v>4.8099999999999996</v>
      </c>
      <c r="BS613" s="61">
        <v>34.777000000000001</v>
      </c>
      <c r="BT613" s="61">
        <v>126.309</v>
      </c>
      <c r="BU613" s="61">
        <v>11.526</v>
      </c>
      <c r="BV613" s="61">
        <v>12.763999999999999</v>
      </c>
      <c r="BW613" s="61">
        <v>24.29</v>
      </c>
      <c r="BX613" s="67">
        <v>251.64099999999999</v>
      </c>
      <c r="BY613" s="68">
        <v>153548</v>
      </c>
      <c r="BZ613" s="68">
        <v>120325</v>
      </c>
      <c r="CA613" s="69">
        <v>3868</v>
      </c>
      <c r="CB613" s="68">
        <v>113783</v>
      </c>
      <c r="CC613" s="68">
        <v>33740</v>
      </c>
      <c r="CD613" s="68">
        <v>146576</v>
      </c>
      <c r="CE613" s="72">
        <v>4611.6000000000004</v>
      </c>
      <c r="CF613" s="72">
        <v>6426</v>
      </c>
      <c r="CG613" s="70">
        <f t="shared" si="49"/>
        <v>4778.8860000000004</v>
      </c>
      <c r="CH613" s="70">
        <f t="shared" si="50"/>
        <v>162.45599999999999</v>
      </c>
      <c r="CI613" s="70">
        <f t="shared" si="51"/>
        <v>1417.08</v>
      </c>
      <c r="CJ613" s="70">
        <f t="shared" si="52"/>
        <v>6449.0159999999996</v>
      </c>
      <c r="CK613" s="70">
        <f t="shared" si="52"/>
        <v>5053.6499999999996</v>
      </c>
      <c r="CL613" s="70">
        <f t="shared" si="48"/>
        <v>6156.192</v>
      </c>
      <c r="CM613" s="61"/>
      <c r="CN613" s="61"/>
      <c r="CO613" s="61"/>
      <c r="CP613" s="61"/>
      <c r="CQ613" s="61"/>
      <c r="CR613" s="61"/>
      <c r="CS613" s="61"/>
      <c r="CT613" s="61"/>
      <c r="CU613" s="61"/>
      <c r="CV613" s="61"/>
      <c r="CW613" s="61"/>
      <c r="CX613" s="61"/>
      <c r="CY613" s="61"/>
      <c r="CZ613" s="61"/>
      <c r="DA613" s="61"/>
      <c r="DB613" s="61"/>
      <c r="DC613" s="61"/>
      <c r="DD613" s="61"/>
      <c r="DE613" s="61"/>
      <c r="DF613" s="61"/>
      <c r="DG613" s="61"/>
      <c r="DH613" s="61"/>
      <c r="DI613" s="61"/>
      <c r="DJ613" s="61"/>
      <c r="DK613" s="61"/>
      <c r="DL613" s="61"/>
      <c r="DM613" s="61"/>
      <c r="DN613" s="61"/>
      <c r="DO613" s="61"/>
      <c r="DP613" s="61"/>
      <c r="DQ613" s="61"/>
      <c r="DR613" s="61"/>
      <c r="DS613" s="61"/>
      <c r="DT613" s="61"/>
      <c r="DU613" s="61"/>
      <c r="DV613" s="61"/>
      <c r="DW613" s="61"/>
      <c r="DX613" s="61"/>
      <c r="DY613" s="61"/>
      <c r="DZ613" s="61"/>
      <c r="EA613" s="61"/>
      <c r="EB613" s="61"/>
      <c r="EC613" s="61"/>
      <c r="ED613" s="61"/>
      <c r="EE613" s="61"/>
      <c r="EF613" s="61"/>
      <c r="EG613" s="61"/>
      <c r="EH613" s="61"/>
      <c r="EI613" s="61"/>
      <c r="EJ613" s="61"/>
      <c r="EK613" s="61"/>
      <c r="EL613" s="61"/>
      <c r="EM613" s="61"/>
      <c r="EN613" s="61"/>
      <c r="EO613" s="61"/>
      <c r="EP613" s="61"/>
      <c r="EQ613" s="61"/>
      <c r="ER613" s="61"/>
      <c r="ES613" s="61"/>
      <c r="ET613" s="61"/>
      <c r="EU613" s="61"/>
      <c r="EV613" s="61"/>
      <c r="EW613" s="61"/>
    </row>
    <row r="614" spans="1:153">
      <c r="A614" s="56">
        <v>45261</v>
      </c>
      <c r="B614" s="57">
        <v>2023</v>
      </c>
      <c r="C614" s="71">
        <v>17.853000000000002</v>
      </c>
      <c r="D614" s="61">
        <v>0.24299999999999999</v>
      </c>
      <c r="E614" s="61">
        <v>3286.0569999999998</v>
      </c>
      <c r="F614" s="61">
        <v>138.01400000000001</v>
      </c>
      <c r="G614" s="61">
        <v>17.61</v>
      </c>
      <c r="H614" s="61">
        <v>1031</v>
      </c>
      <c r="I614" s="61">
        <v>391.13799999999998</v>
      </c>
      <c r="J614" s="61">
        <v>639.86199999999997</v>
      </c>
      <c r="K614" s="61">
        <v>3813.4740000000002</v>
      </c>
      <c r="L614" s="61">
        <v>158.95099999999999</v>
      </c>
      <c r="M614" s="61">
        <v>3766.9679999999998</v>
      </c>
      <c r="N614" s="61">
        <v>158.21299999999999</v>
      </c>
      <c r="O614" s="71">
        <v>20.219000000000001</v>
      </c>
      <c r="P614" s="60">
        <v>177.38300000000001</v>
      </c>
      <c r="Q614" s="68">
        <v>247.571</v>
      </c>
      <c r="R614" s="61">
        <v>460.84100000000001</v>
      </c>
      <c r="S614" s="61">
        <v>718.62400000000002</v>
      </c>
      <c r="T614" s="61">
        <v>65.974000000000004</v>
      </c>
      <c r="U614" s="61">
        <v>10.214</v>
      </c>
      <c r="V614" s="61">
        <v>50.673999999999999</v>
      </c>
      <c r="W614" s="61">
        <v>130.91999999999999</v>
      </c>
      <c r="X614" s="61">
        <v>161.75700000000001</v>
      </c>
      <c r="Y614" s="61">
        <v>35.887</v>
      </c>
      <c r="Z614" s="68">
        <v>234.626</v>
      </c>
      <c r="AA614" s="61">
        <v>432.27100000000002</v>
      </c>
      <c r="AB614" s="60">
        <v>690.05399999999997</v>
      </c>
      <c r="AC614" s="62">
        <v>6420.3680000000004</v>
      </c>
      <c r="AD614" s="61">
        <v>269.65499999999997</v>
      </c>
      <c r="AE614" s="61">
        <v>35.274000000000001</v>
      </c>
      <c r="AF614" s="61">
        <v>1052</v>
      </c>
      <c r="AG614" s="61">
        <v>5477.77</v>
      </c>
      <c r="AH614" s="61">
        <v>493.11</v>
      </c>
      <c r="AI614" s="61">
        <v>6979.2579999999998</v>
      </c>
      <c r="AJ614" s="61">
        <v>293.12900000000002</v>
      </c>
      <c r="AK614" s="62">
        <v>38.344000000000001</v>
      </c>
      <c r="AL614" s="63">
        <f t="shared" si="53"/>
        <v>293.12900000000002</v>
      </c>
      <c r="AM614" s="64">
        <f t="shared" si="53"/>
        <v>38.344000000000001</v>
      </c>
      <c r="AN614" s="65" t="s">
        <v>121</v>
      </c>
      <c r="AO614" s="61" t="s">
        <v>121</v>
      </c>
      <c r="AP614" s="61">
        <v>721.34900000000005</v>
      </c>
      <c r="AQ614" s="61">
        <v>30.297000000000001</v>
      </c>
      <c r="AR614" s="61">
        <v>3.8660000000000001</v>
      </c>
      <c r="AS614" s="61">
        <v>48</v>
      </c>
      <c r="AT614" s="61">
        <v>304.726</v>
      </c>
      <c r="AU614" s="61">
        <v>4.0190000000000001</v>
      </c>
      <c r="AV614" s="61">
        <v>765.33</v>
      </c>
      <c r="AW614" s="61">
        <v>32.143999999999998</v>
      </c>
      <c r="AX614" s="65">
        <v>4.101</v>
      </c>
      <c r="AY614" s="66">
        <v>3.363</v>
      </c>
      <c r="AZ614" s="68">
        <v>14.657999999999999</v>
      </c>
      <c r="BA614" s="68">
        <v>38.247</v>
      </c>
      <c r="BB614" s="68">
        <v>56.268000000000001</v>
      </c>
      <c r="BC614" s="68" t="s">
        <v>143</v>
      </c>
      <c r="BD614" s="68">
        <v>1.673</v>
      </c>
      <c r="BE614" s="68">
        <v>3.9129999999999998</v>
      </c>
      <c r="BF614" s="68">
        <v>3.6999999999999998E-2</v>
      </c>
      <c r="BG614" s="68">
        <v>7.0030000000000001</v>
      </c>
      <c r="BH614" s="68">
        <v>6.3959999999999999</v>
      </c>
      <c r="BI614" s="68">
        <v>2.653</v>
      </c>
      <c r="BJ614" s="68">
        <v>16.050999999999998</v>
      </c>
      <c r="BK614" s="66">
        <v>21.739000000000001</v>
      </c>
      <c r="BL614" s="67">
        <v>93.57</v>
      </c>
      <c r="BM614" s="61">
        <v>20.219000000000001</v>
      </c>
      <c r="BN614" s="61">
        <v>38.344000000000001</v>
      </c>
      <c r="BO614" s="61">
        <v>4.101</v>
      </c>
      <c r="BP614" s="61">
        <v>156.23400000000001</v>
      </c>
      <c r="BQ614" s="61">
        <v>65.64</v>
      </c>
      <c r="BR614" s="61">
        <v>4.8209999999999997</v>
      </c>
      <c r="BS614" s="61">
        <v>31.161999999999999</v>
      </c>
      <c r="BT614" s="61">
        <v>130.846</v>
      </c>
      <c r="BU614" s="61">
        <v>11.91</v>
      </c>
      <c r="BV614" s="61">
        <v>15.135</v>
      </c>
      <c r="BW614" s="61">
        <v>27.044</v>
      </c>
      <c r="BX614" s="67">
        <v>259.51299999999998</v>
      </c>
      <c r="BY614" s="68">
        <v>162550</v>
      </c>
      <c r="BZ614" s="68">
        <v>112027</v>
      </c>
      <c r="CA614" s="69">
        <v>6984</v>
      </c>
      <c r="CB614" s="68">
        <v>130713</v>
      </c>
      <c r="CC614" s="68">
        <v>40573</v>
      </c>
      <c r="CD614" s="68">
        <v>155528</v>
      </c>
      <c r="CE614" s="72">
        <v>4348.68</v>
      </c>
      <c r="CF614" s="72">
        <v>6822.4800000000005</v>
      </c>
      <c r="CG614" s="70">
        <f t="shared" si="49"/>
        <v>5489.9459999999999</v>
      </c>
      <c r="CH614" s="70">
        <f t="shared" si="50"/>
        <v>293.32799999999997</v>
      </c>
      <c r="CI614" s="70">
        <f t="shared" si="51"/>
        <v>1704.066</v>
      </c>
      <c r="CJ614" s="70">
        <f t="shared" si="52"/>
        <v>6827.1</v>
      </c>
      <c r="CK614" s="70">
        <f t="shared" si="52"/>
        <v>4705.134</v>
      </c>
      <c r="CL614" s="70">
        <f t="shared" si="48"/>
        <v>6532.1760000000004</v>
      </c>
      <c r="CM614" s="61"/>
      <c r="CN614" s="61"/>
      <c r="CO614" s="61"/>
      <c r="CP614" s="61"/>
      <c r="CQ614" s="61"/>
      <c r="CR614" s="61"/>
      <c r="CS614" s="61"/>
      <c r="CT614" s="61"/>
      <c r="CU614" s="61"/>
      <c r="CV614" s="61"/>
      <c r="CW614" s="61"/>
      <c r="CX614" s="61"/>
      <c r="CY614" s="61"/>
      <c r="CZ614" s="61"/>
      <c r="DA614" s="61"/>
      <c r="DB614" s="61"/>
      <c r="DC614" s="61"/>
      <c r="DD614" s="61"/>
      <c r="DE614" s="61"/>
      <c r="DF614" s="61"/>
      <c r="DG614" s="61"/>
      <c r="DH614" s="61"/>
      <c r="DI614" s="61"/>
      <c r="DJ614" s="61"/>
      <c r="DK614" s="61"/>
      <c r="DL614" s="61"/>
      <c r="DM614" s="61"/>
      <c r="DN614" s="61"/>
      <c r="DO614" s="61"/>
      <c r="DP614" s="61"/>
      <c r="DQ614" s="61"/>
      <c r="DR614" s="61"/>
      <c r="DS614" s="61"/>
      <c r="DT614" s="61"/>
      <c r="DU614" s="61"/>
      <c r="DV614" s="61"/>
      <c r="DW614" s="61"/>
      <c r="DX614" s="61"/>
      <c r="DY614" s="61"/>
      <c r="DZ614" s="61"/>
      <c r="EA614" s="61"/>
      <c r="EB614" s="61"/>
      <c r="EC614" s="61"/>
      <c r="ED614" s="61"/>
      <c r="EE614" s="61"/>
      <c r="EF614" s="61"/>
      <c r="EG614" s="61"/>
      <c r="EH614" s="61"/>
      <c r="EI614" s="61"/>
      <c r="EJ614" s="61"/>
      <c r="EK614" s="61"/>
      <c r="EL614" s="61"/>
      <c r="EM614" s="61"/>
      <c r="EN614" s="61"/>
      <c r="EO614" s="61"/>
      <c r="EP614" s="61"/>
      <c r="EQ614" s="61"/>
      <c r="ER614" s="61"/>
      <c r="ES614" s="61"/>
      <c r="ET614" s="61"/>
      <c r="EU614" s="61"/>
      <c r="EV614" s="61"/>
      <c r="EW614" s="61"/>
    </row>
    <row r="615" spans="1:153">
      <c r="A615" s="56">
        <v>45292</v>
      </c>
      <c r="B615" s="57">
        <f>YEAR(A615)</f>
        <v>2024</v>
      </c>
      <c r="C615" s="71">
        <v>16.452000000000002</v>
      </c>
      <c r="D615" s="61">
        <v>0.224</v>
      </c>
      <c r="E615" s="61">
        <v>3028.1350000000002</v>
      </c>
      <c r="F615" s="61">
        <v>127.182</v>
      </c>
      <c r="G615" s="61">
        <v>16.228000000000002</v>
      </c>
      <c r="H615" s="61">
        <v>1179</v>
      </c>
      <c r="I615" s="61">
        <v>122.157</v>
      </c>
      <c r="J615" s="61">
        <v>1056.8430000000001</v>
      </c>
      <c r="K615" s="61">
        <v>4205.152</v>
      </c>
      <c r="L615" s="61">
        <v>377.678</v>
      </c>
      <c r="M615" s="61">
        <v>3707.3</v>
      </c>
      <c r="N615" s="61">
        <v>155.70699999999999</v>
      </c>
      <c r="O615" s="71">
        <v>19.867000000000001</v>
      </c>
      <c r="P615" s="60">
        <v>168.274</v>
      </c>
      <c r="Q615" s="68">
        <v>224.97200000000001</v>
      </c>
      <c r="R615" s="61">
        <v>427.52300000000002</v>
      </c>
      <c r="S615" s="61">
        <v>682.22199999999998</v>
      </c>
      <c r="T615" s="61">
        <v>72.459999999999994</v>
      </c>
      <c r="U615" s="61">
        <v>10.045</v>
      </c>
      <c r="V615" s="61">
        <v>52.857999999999997</v>
      </c>
      <c r="W615" s="61">
        <v>119.337</v>
      </c>
      <c r="X615" s="61">
        <v>160.215</v>
      </c>
      <c r="Y615" s="61">
        <v>34.277000000000001</v>
      </c>
      <c r="Z615" s="68">
        <v>211.904</v>
      </c>
      <c r="AA615" s="61">
        <v>406.39600000000002</v>
      </c>
      <c r="AB615" s="60">
        <v>661.09500000000003</v>
      </c>
      <c r="AC615" s="62">
        <v>5649.0940000000001</v>
      </c>
      <c r="AD615" s="61">
        <v>237.262</v>
      </c>
      <c r="AE615" s="61">
        <v>31.036000000000001</v>
      </c>
      <c r="AF615" s="61">
        <v>855</v>
      </c>
      <c r="AG615" s="61">
        <v>6379.3450000000003</v>
      </c>
      <c r="AH615" s="61">
        <v>901.57500000000005</v>
      </c>
      <c r="AI615" s="61">
        <v>5602.5190000000002</v>
      </c>
      <c r="AJ615" s="61">
        <v>235.30600000000001</v>
      </c>
      <c r="AK615" s="62">
        <v>30.78</v>
      </c>
      <c r="AL615" s="63">
        <f t="shared" si="53"/>
        <v>235.30600000000001</v>
      </c>
      <c r="AM615" s="64">
        <f t="shared" si="53"/>
        <v>30.78</v>
      </c>
      <c r="AN615" s="65" t="s">
        <v>121</v>
      </c>
      <c r="AO615" s="61" t="s">
        <v>121</v>
      </c>
      <c r="AP615" s="61">
        <v>596.80600000000004</v>
      </c>
      <c r="AQ615" s="61">
        <v>25.065999999999999</v>
      </c>
      <c r="AR615" s="61">
        <v>3.198</v>
      </c>
      <c r="AS615" s="61" t="s">
        <v>122</v>
      </c>
      <c r="AT615" s="61">
        <v>259.262</v>
      </c>
      <c r="AU615" s="61">
        <v>-45.463999999999999</v>
      </c>
      <c r="AV615" s="61">
        <v>642.27</v>
      </c>
      <c r="AW615" s="61">
        <v>26.975000000000001</v>
      </c>
      <c r="AX615" s="65">
        <v>3.4420000000000002</v>
      </c>
      <c r="AY615" s="66">
        <v>3.3540000000000001</v>
      </c>
      <c r="AZ615" s="68">
        <v>14.897</v>
      </c>
      <c r="BA615" s="68">
        <v>34.064999999999998</v>
      </c>
      <c r="BB615" s="68">
        <v>52.316000000000003</v>
      </c>
      <c r="BC615" s="68">
        <v>7.2999999999999995E-2</v>
      </c>
      <c r="BD615" s="68">
        <v>1.669</v>
      </c>
      <c r="BE615" s="68">
        <v>4.2670000000000003</v>
      </c>
      <c r="BF615" s="68">
        <v>3.5999999999999997E-2</v>
      </c>
      <c r="BG615" s="68">
        <v>6.2009999999999996</v>
      </c>
      <c r="BH615" s="68">
        <v>6.2329999999999997</v>
      </c>
      <c r="BI615" s="68">
        <v>2.4409999999999998</v>
      </c>
      <c r="BJ615" s="68">
        <v>14.875</v>
      </c>
      <c r="BK615" s="66">
        <v>20.92</v>
      </c>
      <c r="BL615" s="67">
        <v>86.097999999999999</v>
      </c>
      <c r="BM615" s="61">
        <v>19.867000000000001</v>
      </c>
      <c r="BN615" s="61">
        <v>30.78</v>
      </c>
      <c r="BO615" s="61">
        <v>3.4420000000000002</v>
      </c>
      <c r="BP615" s="61">
        <v>140.18799999999999</v>
      </c>
      <c r="BQ615" s="61">
        <v>72.078000000000003</v>
      </c>
      <c r="BR615" s="61">
        <v>4.6669999999999998</v>
      </c>
      <c r="BS615" s="61">
        <v>32.707000000000001</v>
      </c>
      <c r="BT615" s="61">
        <v>119.265</v>
      </c>
      <c r="BU615" s="61">
        <v>15.071</v>
      </c>
      <c r="BV615" s="61">
        <v>13.872999999999999</v>
      </c>
      <c r="BW615" s="61">
        <v>28.943999999999999</v>
      </c>
      <c r="BX615" s="67">
        <v>257.661</v>
      </c>
      <c r="BY615" s="68">
        <v>144034</v>
      </c>
      <c r="BZ615" s="68">
        <v>119956</v>
      </c>
      <c r="CA615" s="69">
        <v>5733</v>
      </c>
      <c r="CB615" s="68">
        <v>128691</v>
      </c>
      <c r="CC615" s="68">
        <v>31828</v>
      </c>
      <c r="CD615" s="68">
        <v>137251</v>
      </c>
      <c r="CE615" s="72">
        <v>4543.9800000000005</v>
      </c>
      <c r="CF615" s="72">
        <v>6379.8</v>
      </c>
      <c r="CG615" s="70">
        <f t="shared" si="49"/>
        <v>5405.0219999999999</v>
      </c>
      <c r="CH615" s="70">
        <f t="shared" si="50"/>
        <v>240.786</v>
      </c>
      <c r="CI615" s="70">
        <f t="shared" si="51"/>
        <v>1336.7760000000001</v>
      </c>
      <c r="CJ615" s="70">
        <f t="shared" si="52"/>
        <v>6049.4279999999999</v>
      </c>
      <c r="CK615" s="70">
        <f t="shared" si="52"/>
        <v>5038.152</v>
      </c>
      <c r="CL615" s="70">
        <f t="shared" si="48"/>
        <v>5764.5420000000004</v>
      </c>
      <c r="CM615" s="61"/>
      <c r="CN615" s="61"/>
      <c r="CO615" s="61"/>
      <c r="CP615" s="61"/>
      <c r="CQ615" s="61"/>
      <c r="CR615" s="61"/>
      <c r="CS615" s="61"/>
      <c r="CT615" s="61"/>
      <c r="CU615" s="61"/>
      <c r="CV615" s="61"/>
      <c r="CW615" s="61"/>
      <c r="CX615" s="61"/>
      <c r="CY615" s="61"/>
      <c r="CZ615" s="61"/>
      <c r="DA615" s="61"/>
      <c r="DB615" s="61"/>
      <c r="DC615" s="61"/>
      <c r="DD615" s="61"/>
      <c r="DE615" s="61"/>
      <c r="DF615" s="61"/>
      <c r="DG615" s="61"/>
      <c r="DH615" s="61"/>
      <c r="DI615" s="61"/>
      <c r="DJ615" s="61"/>
      <c r="DK615" s="61"/>
      <c r="DL615" s="61"/>
      <c r="DM615" s="61"/>
      <c r="DN615" s="61"/>
      <c r="DO615" s="61"/>
      <c r="DP615" s="61"/>
      <c r="DQ615" s="61"/>
      <c r="DR615" s="61"/>
      <c r="DS615" s="61"/>
      <c r="DT615" s="61"/>
      <c r="DU615" s="61"/>
      <c r="DV615" s="61"/>
      <c r="DW615" s="61"/>
      <c r="DX615" s="61"/>
      <c r="DY615" s="61"/>
      <c r="DZ615" s="61"/>
      <c r="EA615" s="61"/>
      <c r="EB615" s="61"/>
      <c r="EC615" s="61"/>
      <c r="ED615" s="61"/>
      <c r="EE615" s="61"/>
      <c r="EF615" s="61"/>
      <c r="EG615" s="61"/>
      <c r="EH615" s="61"/>
      <c r="EI615" s="61"/>
      <c r="EJ615" s="61"/>
      <c r="EK615" s="61"/>
      <c r="EL615" s="61"/>
      <c r="EM615" s="61"/>
      <c r="EN615" s="61"/>
      <c r="EO615" s="61"/>
      <c r="EP615" s="61"/>
      <c r="EQ615" s="61"/>
      <c r="ER615" s="61"/>
      <c r="ES615" s="61"/>
      <c r="ET615" s="61"/>
      <c r="EU615" s="61"/>
      <c r="EV615" s="61"/>
      <c r="EW615" s="61"/>
    </row>
    <row r="616" spans="1:153">
      <c r="A616" s="56">
        <v>45323</v>
      </c>
      <c r="B616" s="57">
        <f>YEAR(A616)</f>
        <v>2024</v>
      </c>
      <c r="C616" s="71">
        <v>16.236999999999998</v>
      </c>
      <c r="D616" s="61">
        <v>0.221</v>
      </c>
      <c r="E616" s="61">
        <v>2988.59</v>
      </c>
      <c r="F616" s="61">
        <v>125.521</v>
      </c>
      <c r="G616" s="61">
        <v>16.015999999999998</v>
      </c>
      <c r="H616" s="61">
        <v>1572</v>
      </c>
      <c r="I616" s="61">
        <v>213.11</v>
      </c>
      <c r="J616" s="61">
        <v>1358.89</v>
      </c>
      <c r="K616" s="61">
        <v>4564.0770000000002</v>
      </c>
      <c r="L616" s="61">
        <v>358.92500000000001</v>
      </c>
      <c r="M616" s="61">
        <v>3988.5549999999998</v>
      </c>
      <c r="N616" s="61">
        <v>167.51900000000001</v>
      </c>
      <c r="O616" s="71">
        <v>21.375</v>
      </c>
      <c r="P616" s="60">
        <v>155.52199999999999</v>
      </c>
      <c r="Q616" s="68">
        <v>226.791</v>
      </c>
      <c r="R616" s="61">
        <v>414.88600000000002</v>
      </c>
      <c r="S616" s="61">
        <v>697.87300000000005</v>
      </c>
      <c r="T616" s="61">
        <v>66.866</v>
      </c>
      <c r="U616" s="61">
        <v>9.3620000000000001</v>
      </c>
      <c r="V616" s="61">
        <v>64.733000000000004</v>
      </c>
      <c r="W616" s="61">
        <v>142.02600000000001</v>
      </c>
      <c r="X616" s="61">
        <v>143.845</v>
      </c>
      <c r="Y616" s="61">
        <v>32.573</v>
      </c>
      <c r="Z616" s="68">
        <v>221.42400000000001</v>
      </c>
      <c r="AA616" s="61">
        <v>397.84199999999998</v>
      </c>
      <c r="AB616" s="60">
        <v>680.82899999999995</v>
      </c>
      <c r="AC616" s="62">
        <v>5624.2489999999998</v>
      </c>
      <c r="AD616" s="61">
        <v>236.21799999999999</v>
      </c>
      <c r="AE616" s="61">
        <v>30.9</v>
      </c>
      <c r="AF616" s="61">
        <v>999</v>
      </c>
      <c r="AG616" s="61">
        <v>6290.42</v>
      </c>
      <c r="AH616" s="61">
        <v>-88.924999999999997</v>
      </c>
      <c r="AI616" s="61">
        <v>6712.174</v>
      </c>
      <c r="AJ616" s="61">
        <v>281.911</v>
      </c>
      <c r="AK616" s="62">
        <v>36.877000000000002</v>
      </c>
      <c r="AL616" s="63">
        <f t="shared" si="53"/>
        <v>281.911</v>
      </c>
      <c r="AM616" s="64">
        <f t="shared" si="53"/>
        <v>36.877000000000002</v>
      </c>
      <c r="AN616" s="65" t="s">
        <v>121</v>
      </c>
      <c r="AO616" s="61" t="s">
        <v>121</v>
      </c>
      <c r="AP616" s="61">
        <v>619.76599999999996</v>
      </c>
      <c r="AQ616" s="61">
        <v>26.03</v>
      </c>
      <c r="AR616" s="61">
        <v>3.3210000000000002</v>
      </c>
      <c r="AS616" s="61" t="s">
        <v>122</v>
      </c>
      <c r="AT616" s="61">
        <v>295.32100000000003</v>
      </c>
      <c r="AU616" s="61">
        <v>36.058999999999997</v>
      </c>
      <c r="AV616" s="61">
        <v>583.70699999999999</v>
      </c>
      <c r="AW616" s="61">
        <v>24.515999999999998</v>
      </c>
      <c r="AX616" s="65">
        <v>3.1280000000000001</v>
      </c>
      <c r="AY616" s="66">
        <v>3.1379999999999999</v>
      </c>
      <c r="AZ616" s="68">
        <v>16.68</v>
      </c>
      <c r="BA616" s="68">
        <v>31.867000000000001</v>
      </c>
      <c r="BB616" s="68">
        <v>51.685000000000002</v>
      </c>
      <c r="BC616" s="68" t="s">
        <v>143</v>
      </c>
      <c r="BD616" s="68">
        <v>1.5609999999999999</v>
      </c>
      <c r="BE616" s="68">
        <v>4.9630000000000001</v>
      </c>
      <c r="BF616" s="68">
        <v>3.5999999999999997E-2</v>
      </c>
      <c r="BG616" s="68">
        <v>5.6159999999999997</v>
      </c>
      <c r="BH616" s="68">
        <v>5.6319999999999997</v>
      </c>
      <c r="BI616" s="68">
        <v>2.48</v>
      </c>
      <c r="BJ616" s="68">
        <v>13.728</v>
      </c>
      <c r="BK616" s="66">
        <v>20.355</v>
      </c>
      <c r="BL616" s="67">
        <v>87.474999999999994</v>
      </c>
      <c r="BM616" s="61">
        <v>21.375</v>
      </c>
      <c r="BN616" s="61">
        <v>36.877000000000002</v>
      </c>
      <c r="BO616" s="61">
        <v>3.1280000000000001</v>
      </c>
      <c r="BP616" s="61">
        <v>148.85400000000001</v>
      </c>
      <c r="BQ616" s="61">
        <v>66.516999999999996</v>
      </c>
      <c r="BR616" s="61">
        <v>4.33</v>
      </c>
      <c r="BS616" s="61">
        <v>41.975000000000001</v>
      </c>
      <c r="BT616" s="61">
        <v>141.95099999999999</v>
      </c>
      <c r="BU616" s="61">
        <v>11.47</v>
      </c>
      <c r="BV616" s="61">
        <v>13.632</v>
      </c>
      <c r="BW616" s="61">
        <v>25.102</v>
      </c>
      <c r="BX616" s="67">
        <v>279.875</v>
      </c>
      <c r="BY616" s="68">
        <v>125228</v>
      </c>
      <c r="BZ616" s="68">
        <v>113662</v>
      </c>
      <c r="CA616" s="69">
        <v>5103</v>
      </c>
      <c r="CB616" s="68">
        <v>117796</v>
      </c>
      <c r="CC616" s="68">
        <v>27562</v>
      </c>
      <c r="CD616" s="68">
        <v>119695</v>
      </c>
      <c r="CE616" s="64"/>
      <c r="CF616" s="64"/>
      <c r="CG616" s="70">
        <f t="shared" si="49"/>
        <v>4947.4319999999998</v>
      </c>
      <c r="CH616" s="70">
        <f t="shared" si="50"/>
        <v>214.32599999999999</v>
      </c>
      <c r="CI616" s="70">
        <f t="shared" si="51"/>
        <v>1157.604</v>
      </c>
      <c r="CJ616" s="70">
        <f t="shared" si="52"/>
        <v>5259.576</v>
      </c>
      <c r="CK616" s="70">
        <f t="shared" si="52"/>
        <v>4773.8040000000001</v>
      </c>
      <c r="CL616" s="70">
        <f t="shared" si="48"/>
        <v>5027.1899999999996</v>
      </c>
      <c r="CM616" s="61"/>
      <c r="CN616" s="61"/>
      <c r="CO616" s="61"/>
      <c r="CP616" s="61"/>
      <c r="CQ616" s="61"/>
      <c r="CR616" s="61"/>
      <c r="CS616" s="61"/>
      <c r="CT616" s="61"/>
      <c r="CU616" s="61"/>
      <c r="CV616" s="61"/>
      <c r="CW616" s="61"/>
      <c r="CX616" s="61"/>
      <c r="CY616" s="61"/>
      <c r="CZ616" s="61"/>
      <c r="DA616" s="61"/>
      <c r="DB616" s="61"/>
      <c r="DC616" s="61"/>
      <c r="DD616" s="61"/>
      <c r="DE616" s="61"/>
      <c r="DF616" s="61"/>
      <c r="DG616" s="61"/>
      <c r="DH616" s="61"/>
      <c r="DI616" s="61"/>
      <c r="DJ616" s="61"/>
      <c r="DK616" s="61"/>
      <c r="DL616" s="61"/>
      <c r="DM616" s="61"/>
      <c r="DN616" s="61"/>
      <c r="DO616" s="61"/>
      <c r="DP616" s="61"/>
      <c r="DQ616" s="61"/>
      <c r="DR616" s="61"/>
      <c r="DS616" s="61"/>
      <c r="DT616" s="61"/>
      <c r="DU616" s="61"/>
      <c r="DV616" s="61"/>
      <c r="DW616" s="61"/>
      <c r="DX616" s="61"/>
      <c r="DY616" s="61"/>
      <c r="DZ616" s="61"/>
      <c r="EA616" s="61"/>
      <c r="EB616" s="61"/>
      <c r="EC616" s="61"/>
      <c r="ED616" s="61"/>
      <c r="EE616" s="61"/>
      <c r="EF616" s="61"/>
      <c r="EG616" s="61"/>
      <c r="EH616" s="61"/>
      <c r="EI616" s="61"/>
      <c r="EJ616" s="61"/>
      <c r="EK616" s="61"/>
      <c r="EL616" s="61"/>
      <c r="EM616" s="61"/>
      <c r="EN616" s="61"/>
      <c r="EO616" s="61"/>
      <c r="EP616" s="61"/>
      <c r="EQ616" s="61"/>
      <c r="ER616" s="61"/>
      <c r="ES616" s="61"/>
      <c r="ET616" s="61"/>
      <c r="EU616" s="61"/>
      <c r="EV616" s="61"/>
      <c r="EW616" s="61"/>
    </row>
    <row r="617" spans="1:153">
      <c r="A617" s="56">
        <v>45352</v>
      </c>
      <c r="B617" s="57">
        <f t="shared" ref="B617:B638" si="54">YEAR(A617)</f>
        <v>2024</v>
      </c>
      <c r="C617" s="71">
        <v>17.545999999999999</v>
      </c>
      <c r="D617" s="61">
        <v>0.23899999999999999</v>
      </c>
      <c r="E617" s="61">
        <v>3229.529</v>
      </c>
      <c r="F617" s="61">
        <v>135.63999999999999</v>
      </c>
      <c r="G617" s="61">
        <v>17.306999999999999</v>
      </c>
      <c r="H617" s="61">
        <v>658</v>
      </c>
      <c r="I617" s="61">
        <v>326.33600000000001</v>
      </c>
      <c r="J617" s="61">
        <v>331.66399999999999</v>
      </c>
      <c r="K617" s="61">
        <v>4400.7629999999999</v>
      </c>
      <c r="L617" s="61">
        <v>-163.31399999999999</v>
      </c>
      <c r="M617" s="61">
        <v>3724.5070000000001</v>
      </c>
      <c r="N617" s="61">
        <v>156.429</v>
      </c>
      <c r="O617" s="71">
        <v>19.96</v>
      </c>
      <c r="P617" s="60">
        <v>166.916</v>
      </c>
      <c r="Q617" s="61">
        <v>241.36600000000001</v>
      </c>
      <c r="R617" s="61">
        <v>442.32900000000001</v>
      </c>
      <c r="S617" s="61">
        <v>769.98299999999995</v>
      </c>
      <c r="T617" s="61">
        <v>78.287999999999997</v>
      </c>
      <c r="U617" s="61">
        <v>9.609</v>
      </c>
      <c r="V617" s="61">
        <v>83.216999999999999</v>
      </c>
      <c r="W617" s="61">
        <v>156.53899999999999</v>
      </c>
      <c r="X617" s="61">
        <v>153.97499999999999</v>
      </c>
      <c r="Y617" s="61">
        <v>34.046999999999997</v>
      </c>
      <c r="Z617" s="61">
        <v>232.90899999999999</v>
      </c>
      <c r="AA617" s="61">
        <v>420.93200000000002</v>
      </c>
      <c r="AB617" s="60">
        <v>748.58500000000004</v>
      </c>
      <c r="AC617" s="62">
        <v>5984.4650000000001</v>
      </c>
      <c r="AD617" s="61">
        <v>251.34800000000001</v>
      </c>
      <c r="AE617" s="61">
        <v>32.878999999999998</v>
      </c>
      <c r="AF617" s="61">
        <v>1048</v>
      </c>
      <c r="AG617" s="61">
        <v>6291.8109999999997</v>
      </c>
      <c r="AH617" s="61">
        <v>1.391</v>
      </c>
      <c r="AI617" s="61">
        <v>7031.0739999999996</v>
      </c>
      <c r="AJ617" s="61">
        <v>295.30500000000001</v>
      </c>
      <c r="AK617" s="62">
        <v>38.628999999999998</v>
      </c>
      <c r="AL617" s="63">
        <f t="shared" si="53"/>
        <v>295.30500000000001</v>
      </c>
      <c r="AM617" s="64">
        <f t="shared" si="53"/>
        <v>38.628999999999998</v>
      </c>
      <c r="AN617" s="65" t="s">
        <v>121</v>
      </c>
      <c r="AO617" s="61" t="s">
        <v>121</v>
      </c>
      <c r="AP617" s="61">
        <v>639.76499999999999</v>
      </c>
      <c r="AQ617" s="61">
        <v>26.87</v>
      </c>
      <c r="AR617" s="61">
        <v>3.4289999999999998</v>
      </c>
      <c r="AS617" s="61" t="s">
        <v>122</v>
      </c>
      <c r="AT617" s="61">
        <v>343.47699999999998</v>
      </c>
      <c r="AU617" s="61">
        <v>48.155999999999999</v>
      </c>
      <c r="AV617" s="61">
        <v>591.60900000000004</v>
      </c>
      <c r="AW617" s="61">
        <v>24.847999999999999</v>
      </c>
      <c r="AX617" s="65">
        <v>3.17</v>
      </c>
      <c r="AY617" s="66">
        <v>3.3540000000000001</v>
      </c>
      <c r="AZ617" s="61">
        <v>22.068000000000001</v>
      </c>
      <c r="BA617" s="61">
        <v>34.064999999999998</v>
      </c>
      <c r="BB617" s="61">
        <v>59.487000000000002</v>
      </c>
      <c r="BC617" s="61" t="s">
        <v>143</v>
      </c>
      <c r="BD617" s="61">
        <v>1.669</v>
      </c>
      <c r="BE617" s="61">
        <v>6.5369999999999999</v>
      </c>
      <c r="BF617" s="61">
        <v>4.7E-2</v>
      </c>
      <c r="BG617" s="61">
        <v>5.915</v>
      </c>
      <c r="BH617" s="61">
        <v>5.7320000000000002</v>
      </c>
      <c r="BI617" s="61">
        <v>2.6629999999999998</v>
      </c>
      <c r="BJ617" s="61">
        <v>14.31</v>
      </c>
      <c r="BK617" s="66">
        <v>22.64</v>
      </c>
      <c r="BL617" s="67">
        <v>93.933000000000007</v>
      </c>
      <c r="BM617" s="61">
        <v>19.96</v>
      </c>
      <c r="BN617" s="61">
        <v>38.628999999999998</v>
      </c>
      <c r="BO617" s="61">
        <v>3.17</v>
      </c>
      <c r="BP617" s="61">
        <v>155.69200000000001</v>
      </c>
      <c r="BQ617" s="61">
        <v>77.911000000000001</v>
      </c>
      <c r="BR617" s="61">
        <v>4.2300000000000004</v>
      </c>
      <c r="BS617" s="61">
        <v>53.094999999999999</v>
      </c>
      <c r="BT617" s="61">
        <v>156.44499999999999</v>
      </c>
      <c r="BU617" s="61">
        <v>11.77</v>
      </c>
      <c r="BV617" s="61">
        <v>14.288</v>
      </c>
      <c r="BW617" s="61">
        <v>26.058</v>
      </c>
      <c r="BX617" s="67">
        <v>317.74</v>
      </c>
      <c r="BY617" s="68">
        <v>146593</v>
      </c>
      <c r="BZ617" s="68">
        <v>113882</v>
      </c>
      <c r="CA617" s="69">
        <v>5596</v>
      </c>
      <c r="CB617" s="68">
        <v>121165</v>
      </c>
      <c r="CC617" s="68">
        <v>34936</v>
      </c>
      <c r="CD617" s="68">
        <v>140226</v>
      </c>
      <c r="CE617" s="64"/>
      <c r="CF617" s="64"/>
      <c r="CG617" s="70">
        <f t="shared" si="49"/>
        <v>5088.93</v>
      </c>
      <c r="CH617" s="70">
        <f t="shared" si="50"/>
        <v>235.03200000000001</v>
      </c>
      <c r="CI617" s="70">
        <f t="shared" si="51"/>
        <v>1467.3119999999999</v>
      </c>
      <c r="CJ617" s="70">
        <f t="shared" si="52"/>
        <v>6156.9059999999999</v>
      </c>
      <c r="CK617" s="70">
        <f t="shared" si="52"/>
        <v>4783.0439999999999</v>
      </c>
      <c r="CL617" s="70">
        <f t="shared" si="48"/>
        <v>5889.4920000000002</v>
      </c>
      <c r="CM617" s="61"/>
      <c r="CN617" s="61"/>
      <c r="CO617" s="61"/>
      <c r="CP617" s="61"/>
      <c r="CQ617" s="61"/>
      <c r="CR617" s="61"/>
      <c r="CS617" s="61"/>
      <c r="CT617" s="61"/>
      <c r="CU617" s="61"/>
      <c r="CV617" s="61"/>
      <c r="CW617" s="61"/>
      <c r="CX617" s="61"/>
      <c r="CY617" s="61"/>
      <c r="CZ617" s="61"/>
      <c r="DA617" s="61"/>
      <c r="DB617" s="61"/>
      <c r="DC617" s="61"/>
      <c r="DD617" s="61"/>
      <c r="DE617" s="61"/>
      <c r="DF617" s="61"/>
      <c r="DG617" s="61"/>
      <c r="DH617" s="61"/>
      <c r="DI617" s="61"/>
      <c r="DJ617" s="61"/>
      <c r="DK617" s="61"/>
      <c r="DL617" s="61"/>
      <c r="DM617" s="61"/>
      <c r="DN617" s="61"/>
      <c r="DO617" s="61"/>
      <c r="DP617" s="61"/>
      <c r="DQ617" s="61"/>
      <c r="DR617" s="61"/>
      <c r="DS617" s="61"/>
      <c r="DT617" s="61"/>
      <c r="DU617" s="61"/>
      <c r="DV617" s="61"/>
      <c r="DW617" s="61"/>
      <c r="DX617" s="61"/>
      <c r="DY617" s="61"/>
      <c r="DZ617" s="61"/>
      <c r="EA617" s="61"/>
      <c r="EB617" s="61"/>
      <c r="EC617" s="61"/>
      <c r="ED617" s="61"/>
      <c r="EE617" s="61"/>
      <c r="EF617" s="61"/>
      <c r="EG617" s="61"/>
      <c r="EH617" s="61"/>
      <c r="EI617" s="61"/>
      <c r="EJ617" s="61"/>
      <c r="EK617" s="61"/>
      <c r="EL617" s="61"/>
      <c r="EM617" s="61"/>
      <c r="EN617" s="61"/>
      <c r="EO617" s="61"/>
      <c r="EP617" s="61"/>
      <c r="EQ617" s="61"/>
      <c r="ER617" s="61"/>
      <c r="ES617" s="61"/>
      <c r="ET617" s="61"/>
      <c r="EU617" s="61"/>
      <c r="EV617" s="61"/>
      <c r="EW617" s="61"/>
    </row>
    <row r="618" spans="1:153">
      <c r="A618" s="56">
        <v>45383</v>
      </c>
      <c r="B618" s="57">
        <f t="shared" si="54"/>
        <v>2024</v>
      </c>
      <c r="C618" s="71">
        <v>17.274000000000001</v>
      </c>
      <c r="D618" s="61">
        <v>0.23499999999999999</v>
      </c>
      <c r="E618" s="61">
        <v>3179.5430000000001</v>
      </c>
      <c r="F618" s="61">
        <v>133.541</v>
      </c>
      <c r="G618" s="61">
        <v>17.039000000000001</v>
      </c>
      <c r="H618" s="61">
        <v>1452</v>
      </c>
      <c r="I618" s="61">
        <v>427.80799999999999</v>
      </c>
      <c r="J618" s="61">
        <v>1024.192</v>
      </c>
      <c r="K618" s="61">
        <v>4413.0780000000004</v>
      </c>
      <c r="L618" s="61">
        <v>12.315</v>
      </c>
      <c r="M618" s="61">
        <v>4191.42</v>
      </c>
      <c r="N618" s="61">
        <v>176.04</v>
      </c>
      <c r="O618" s="71">
        <v>22.462</v>
      </c>
      <c r="P618" s="60">
        <v>160.58199999999999</v>
      </c>
      <c r="Q618" s="61">
        <v>222.07900000000001</v>
      </c>
      <c r="R618" s="61">
        <v>414.38</v>
      </c>
      <c r="S618" s="61">
        <v>749.90800000000002</v>
      </c>
      <c r="T618" s="61">
        <v>65.477000000000004</v>
      </c>
      <c r="U618" s="61">
        <v>9.6150000000000002</v>
      </c>
      <c r="V618" s="61">
        <v>97.721999999999994</v>
      </c>
      <c r="W618" s="61">
        <v>162.714</v>
      </c>
      <c r="X618" s="61">
        <v>149.447</v>
      </c>
      <c r="Y618" s="61">
        <v>31.719000000000001</v>
      </c>
      <c r="Z618" s="61">
        <v>218.83699999999999</v>
      </c>
      <c r="AA618" s="61">
        <v>400.00200000000001</v>
      </c>
      <c r="AB618" s="60">
        <v>735.529</v>
      </c>
      <c r="AC618" s="62">
        <v>6221.991</v>
      </c>
      <c r="AD618" s="61">
        <v>261.32400000000001</v>
      </c>
      <c r="AE618" s="61">
        <v>34.183999999999997</v>
      </c>
      <c r="AF618" s="61">
        <v>1025</v>
      </c>
      <c r="AG618" s="61">
        <v>6719.8940000000002</v>
      </c>
      <c r="AH618" s="61">
        <v>428.08300000000003</v>
      </c>
      <c r="AI618" s="61">
        <v>6818.9080000000004</v>
      </c>
      <c r="AJ618" s="61">
        <v>286.39400000000001</v>
      </c>
      <c r="AK618" s="62">
        <v>37.463000000000001</v>
      </c>
      <c r="AL618" s="63">
        <f t="shared" si="53"/>
        <v>286.39400000000001</v>
      </c>
      <c r="AM618" s="64">
        <f t="shared" si="53"/>
        <v>37.463000000000001</v>
      </c>
      <c r="AN618" s="65" t="s">
        <v>121</v>
      </c>
      <c r="AO618" s="61" t="s">
        <v>121</v>
      </c>
      <c r="AP618" s="61">
        <v>651.15800000000002</v>
      </c>
      <c r="AQ618" s="61">
        <v>27.349</v>
      </c>
      <c r="AR618" s="61">
        <v>3.49</v>
      </c>
      <c r="AS618" s="61" t="s">
        <v>122</v>
      </c>
      <c r="AT618" s="61">
        <v>338.06799999999998</v>
      </c>
      <c r="AU618" s="61">
        <v>-5.4089999999999998</v>
      </c>
      <c r="AV618" s="61">
        <v>656.56700000000001</v>
      </c>
      <c r="AW618" s="61">
        <v>27.576000000000001</v>
      </c>
      <c r="AX618" s="65">
        <v>3.5190000000000001</v>
      </c>
      <c r="AY618" s="66">
        <v>3.246</v>
      </c>
      <c r="AZ618" s="61">
        <v>24.670999999999999</v>
      </c>
      <c r="BA618" s="61">
        <v>32.966000000000001</v>
      </c>
      <c r="BB618" s="61">
        <v>60.883000000000003</v>
      </c>
      <c r="BC618" s="61" t="s">
        <v>143</v>
      </c>
      <c r="BD618" s="61">
        <v>1.615</v>
      </c>
      <c r="BE618" s="61">
        <v>7.1550000000000002</v>
      </c>
      <c r="BF618" s="61">
        <v>5.7000000000000002E-2</v>
      </c>
      <c r="BG618" s="61">
        <v>5.7030000000000003</v>
      </c>
      <c r="BH618" s="61">
        <v>5.5949999999999998</v>
      </c>
      <c r="BI618" s="61">
        <v>2.4500000000000002</v>
      </c>
      <c r="BJ618" s="61">
        <v>13.749000000000001</v>
      </c>
      <c r="BK618" s="66">
        <v>22.64</v>
      </c>
      <c r="BL618" s="67">
        <v>86.421999999999997</v>
      </c>
      <c r="BM618" s="61">
        <v>22.462</v>
      </c>
      <c r="BN618" s="61">
        <v>37.463000000000001</v>
      </c>
      <c r="BO618" s="61">
        <v>3.5190000000000001</v>
      </c>
      <c r="BP618" s="61">
        <v>149.86600000000001</v>
      </c>
      <c r="BQ618" s="61">
        <v>65.146000000000001</v>
      </c>
      <c r="BR618" s="61">
        <v>4.41</v>
      </c>
      <c r="BS618" s="61">
        <v>64.236000000000004</v>
      </c>
      <c r="BT618" s="61">
        <v>162.61199999999999</v>
      </c>
      <c r="BU618" s="61">
        <v>10.965999999999999</v>
      </c>
      <c r="BV618" s="61">
        <v>12.404</v>
      </c>
      <c r="BW618" s="61">
        <v>23.37</v>
      </c>
      <c r="BX618" s="67">
        <v>319.774</v>
      </c>
      <c r="BY618" s="68">
        <v>143716</v>
      </c>
      <c r="BZ618" s="68">
        <v>114017</v>
      </c>
      <c r="CA618" s="69">
        <v>3835</v>
      </c>
      <c r="CB618" s="68">
        <v>117842</v>
      </c>
      <c r="CC618" s="68">
        <v>36855</v>
      </c>
      <c r="CD618" s="68">
        <v>137555</v>
      </c>
      <c r="CE618" s="73"/>
      <c r="CF618" s="73"/>
      <c r="CG618" s="70">
        <f t="shared" si="49"/>
        <v>4949.3639999999996</v>
      </c>
      <c r="CH618" s="70">
        <f t="shared" si="50"/>
        <v>161.07</v>
      </c>
      <c r="CI618" s="70">
        <f t="shared" si="51"/>
        <v>1547.91</v>
      </c>
      <c r="CJ618" s="70">
        <f t="shared" si="52"/>
        <v>6036.0720000000001</v>
      </c>
      <c r="CK618" s="70">
        <f t="shared" si="52"/>
        <v>4788.7139999999999</v>
      </c>
      <c r="CL618" s="70">
        <f t="shared" si="48"/>
        <v>5777.31</v>
      </c>
      <c r="CM618" s="61"/>
      <c r="CN618" s="61"/>
      <c r="CO618" s="61"/>
      <c r="CP618" s="61"/>
      <c r="CQ618" s="61"/>
      <c r="CR618" s="61"/>
      <c r="CS618" s="61"/>
      <c r="CT618" s="61"/>
      <c r="CU618" s="61"/>
      <c r="CV618" s="61"/>
      <c r="CW618" s="61"/>
      <c r="CX618" s="61"/>
      <c r="CY618" s="61"/>
      <c r="CZ618" s="61"/>
      <c r="DA618" s="61"/>
      <c r="DB618" s="61"/>
      <c r="DC618" s="61"/>
      <c r="DD618" s="61"/>
      <c r="DE618" s="61"/>
      <c r="DF618" s="61"/>
      <c r="DG618" s="61"/>
      <c r="DH618" s="61"/>
      <c r="DI618" s="61"/>
      <c r="DJ618" s="61"/>
      <c r="DK618" s="61"/>
      <c r="DL618" s="61"/>
      <c r="DM618" s="61"/>
      <c r="DN618" s="61"/>
      <c r="DO618" s="61"/>
      <c r="DP618" s="61"/>
      <c r="DQ618" s="61"/>
      <c r="DR618" s="61"/>
      <c r="DS618" s="61"/>
      <c r="DT618" s="61"/>
      <c r="DU618" s="61"/>
      <c r="DV618" s="61"/>
      <c r="DW618" s="61"/>
      <c r="DX618" s="61"/>
      <c r="DY618" s="61"/>
      <c r="DZ618" s="61"/>
      <c r="EA618" s="61"/>
      <c r="EB618" s="61"/>
      <c r="EC618" s="61"/>
      <c r="ED618" s="61"/>
      <c r="EE618" s="61"/>
      <c r="EF618" s="61"/>
      <c r="EG618" s="61"/>
      <c r="EH618" s="61"/>
      <c r="EI618" s="61"/>
      <c r="EJ618" s="61"/>
      <c r="EK618" s="61"/>
      <c r="EL618" s="61"/>
      <c r="EM618" s="61"/>
      <c r="EN618" s="61"/>
      <c r="EO618" s="61"/>
      <c r="EP618" s="61"/>
      <c r="EQ618" s="61"/>
      <c r="ER618" s="61"/>
      <c r="ES618" s="61"/>
      <c r="ET618" s="61"/>
      <c r="EU618" s="61"/>
      <c r="EV618" s="61"/>
      <c r="EW618" s="61"/>
    </row>
    <row r="619" spans="1:153">
      <c r="A619" s="56">
        <v>45413</v>
      </c>
      <c r="B619" s="57">
        <f t="shared" si="54"/>
        <v>2024</v>
      </c>
      <c r="C619" s="71">
        <v>18.504999999999999</v>
      </c>
      <c r="D619" s="61">
        <v>0.252</v>
      </c>
      <c r="E619" s="61">
        <v>3406.1289999999999</v>
      </c>
      <c r="F619" s="61">
        <v>143.05699999999999</v>
      </c>
      <c r="G619" s="61">
        <v>18.253</v>
      </c>
      <c r="H619" s="61">
        <v>878</v>
      </c>
      <c r="I619" s="61">
        <v>503.69900000000001</v>
      </c>
      <c r="J619" s="61">
        <v>374.30099999999999</v>
      </c>
      <c r="K619" s="61">
        <v>4185.2740000000003</v>
      </c>
      <c r="L619" s="61">
        <v>-227.804</v>
      </c>
      <c r="M619" s="61">
        <v>4008.2339999999999</v>
      </c>
      <c r="N619" s="61">
        <v>168.346</v>
      </c>
      <c r="O619" s="71">
        <v>21.48</v>
      </c>
      <c r="P619" s="60">
        <v>165.709</v>
      </c>
      <c r="Q619" s="61">
        <v>231.66800000000001</v>
      </c>
      <c r="R619" s="61">
        <v>430.65800000000002</v>
      </c>
      <c r="S619" s="61">
        <v>759.39099999999996</v>
      </c>
      <c r="T619" s="61">
        <v>74.938999999999993</v>
      </c>
      <c r="U619" s="61">
        <v>9.5579999999999998</v>
      </c>
      <c r="V619" s="61">
        <v>111.387</v>
      </c>
      <c r="W619" s="61">
        <v>132.84899999999999</v>
      </c>
      <c r="X619" s="61">
        <v>154.06</v>
      </c>
      <c r="Y619" s="61">
        <v>33.280999999999999</v>
      </c>
      <c r="Z619" s="61">
        <v>239.54900000000001</v>
      </c>
      <c r="AA619" s="61">
        <v>426.89100000000002</v>
      </c>
      <c r="AB619" s="60">
        <v>755.62400000000002</v>
      </c>
      <c r="AC619" s="62">
        <v>5468.1369999999997</v>
      </c>
      <c r="AD619" s="61">
        <v>229.66200000000001</v>
      </c>
      <c r="AE619" s="61">
        <v>30.042000000000002</v>
      </c>
      <c r="AF619" s="61">
        <v>620</v>
      </c>
      <c r="AG619" s="61">
        <v>5887.1059999999998</v>
      </c>
      <c r="AH619" s="61">
        <v>-832.78800000000001</v>
      </c>
      <c r="AI619" s="61">
        <v>6920.9250000000002</v>
      </c>
      <c r="AJ619" s="61">
        <v>290.67899999999997</v>
      </c>
      <c r="AK619" s="62">
        <v>38.024000000000001</v>
      </c>
      <c r="AL619" s="63">
        <f t="shared" si="53"/>
        <v>290.67899999999997</v>
      </c>
      <c r="AM619" s="64">
        <f t="shared" si="53"/>
        <v>38.024000000000001</v>
      </c>
      <c r="AN619" s="65" t="s">
        <v>121</v>
      </c>
      <c r="AO619" s="61" t="s">
        <v>121</v>
      </c>
      <c r="AP619" s="61">
        <v>511.66</v>
      </c>
      <c r="AQ619" s="61">
        <v>21.49</v>
      </c>
      <c r="AR619" s="61">
        <v>2.742</v>
      </c>
      <c r="AS619" s="61" t="s">
        <v>122</v>
      </c>
      <c r="AT619" s="61">
        <v>407.35500000000002</v>
      </c>
      <c r="AU619" s="61">
        <v>69.287000000000006</v>
      </c>
      <c r="AV619" s="61">
        <v>442.37299999999999</v>
      </c>
      <c r="AW619" s="61">
        <v>18.579999999999998</v>
      </c>
      <c r="AX619" s="65">
        <v>2.371</v>
      </c>
      <c r="AY619" s="66">
        <v>3.3540000000000001</v>
      </c>
      <c r="AZ619" s="61">
        <v>26.818000000000001</v>
      </c>
      <c r="BA619" s="61">
        <v>34.064999999999998</v>
      </c>
      <c r="BB619" s="61">
        <v>64.236999999999995</v>
      </c>
      <c r="BC619" s="61" t="s">
        <v>143</v>
      </c>
      <c r="BD619" s="61">
        <v>1.669</v>
      </c>
      <c r="BE619" s="61">
        <v>7.9580000000000002</v>
      </c>
      <c r="BF619" s="61">
        <v>4.9000000000000002E-2</v>
      </c>
      <c r="BG619" s="61">
        <v>5.9969999999999999</v>
      </c>
      <c r="BH619" s="61">
        <v>5.9480000000000004</v>
      </c>
      <c r="BI619" s="61">
        <v>2.9140000000000001</v>
      </c>
      <c r="BJ619" s="61">
        <v>14.859</v>
      </c>
      <c r="BK619" s="66">
        <v>24.611999999999998</v>
      </c>
      <c r="BL619" s="67">
        <v>102.79900000000001</v>
      </c>
      <c r="BM619" s="61">
        <v>21.48</v>
      </c>
      <c r="BN619" s="61">
        <v>38.024000000000001</v>
      </c>
      <c r="BO619" s="61">
        <v>2.371</v>
      </c>
      <c r="BP619" s="61">
        <v>164.67400000000001</v>
      </c>
      <c r="BQ619" s="61">
        <v>74.578999999999994</v>
      </c>
      <c r="BR619" s="61">
        <v>4.18</v>
      </c>
      <c r="BS619" s="61">
        <v>74.8</v>
      </c>
      <c r="BT619" s="61">
        <v>132.76499999999999</v>
      </c>
      <c r="BU619" s="61">
        <v>12.917</v>
      </c>
      <c r="BV619" s="61">
        <v>13.222</v>
      </c>
      <c r="BW619" s="61">
        <v>26.138999999999999</v>
      </c>
      <c r="BX619" s="67">
        <v>312.46300000000002</v>
      </c>
      <c r="BY619" s="68">
        <v>155306</v>
      </c>
      <c r="BZ619" s="68">
        <v>117148</v>
      </c>
      <c r="CA619" s="69">
        <v>3825</v>
      </c>
      <c r="CB619" s="68">
        <v>120277</v>
      </c>
      <c r="CC619" s="68">
        <v>39549</v>
      </c>
      <c r="CD619" s="68">
        <v>147960</v>
      </c>
      <c r="CE619" s="73"/>
      <c r="CF619" s="73"/>
      <c r="CG619" s="70">
        <f t="shared" si="49"/>
        <v>5051.634</v>
      </c>
      <c r="CH619" s="70">
        <f t="shared" si="50"/>
        <v>160.65</v>
      </c>
      <c r="CI619" s="70">
        <f t="shared" si="51"/>
        <v>1661.058</v>
      </c>
      <c r="CJ619" s="70">
        <f t="shared" si="52"/>
        <v>6522.8519999999999</v>
      </c>
      <c r="CK619" s="70">
        <f t="shared" si="52"/>
        <v>4920.2160000000003</v>
      </c>
      <c r="CL619" s="70">
        <f t="shared" si="48"/>
        <v>6214.32</v>
      </c>
      <c r="CM619" s="61"/>
      <c r="CN619" s="61"/>
      <c r="CO619" s="61"/>
      <c r="CP619" s="61"/>
      <c r="CQ619" s="61"/>
      <c r="CR619" s="61"/>
      <c r="CS619" s="61"/>
      <c r="CT619" s="61"/>
      <c r="CU619" s="61"/>
      <c r="CV619" s="61"/>
      <c r="CW619" s="61"/>
      <c r="CX619" s="61"/>
      <c r="CY619" s="61"/>
      <c r="CZ619" s="61"/>
      <c r="DA619" s="61"/>
      <c r="DB619" s="61"/>
      <c r="DC619" s="61"/>
      <c r="DD619" s="61"/>
      <c r="DE619" s="61"/>
      <c r="DF619" s="61"/>
      <c r="DG619" s="61"/>
      <c r="DH619" s="61"/>
      <c r="DI619" s="61"/>
      <c r="DJ619" s="61"/>
      <c r="DK619" s="61"/>
      <c r="DL619" s="61"/>
      <c r="DM619" s="61"/>
      <c r="DN619" s="61"/>
      <c r="DO619" s="61"/>
      <c r="DP619" s="61"/>
      <c r="DQ619" s="61"/>
      <c r="DR619" s="61"/>
      <c r="DS619" s="61"/>
      <c r="DT619" s="61"/>
      <c r="DU619" s="61"/>
      <c r="DV619" s="61"/>
      <c r="DW619" s="61"/>
      <c r="DX619" s="61"/>
      <c r="DY619" s="61"/>
      <c r="DZ619" s="61"/>
      <c r="EA619" s="61"/>
      <c r="EB619" s="61"/>
      <c r="EC619" s="61"/>
      <c r="ED619" s="61"/>
      <c r="EE619" s="61"/>
      <c r="EF619" s="61"/>
      <c r="EG619" s="61"/>
      <c r="EH619" s="61"/>
      <c r="EI619" s="61"/>
      <c r="EJ619" s="61"/>
      <c r="EK619" s="61"/>
      <c r="EL619" s="61"/>
      <c r="EM619" s="61"/>
      <c r="EN619" s="61"/>
      <c r="EO619" s="61"/>
      <c r="EP619" s="61"/>
      <c r="EQ619" s="61"/>
      <c r="ER619" s="61"/>
      <c r="ES619" s="61"/>
      <c r="ET619" s="61"/>
      <c r="EU619" s="61"/>
      <c r="EV619" s="61"/>
      <c r="EW619" s="61"/>
    </row>
    <row r="620" spans="1:153">
      <c r="A620" s="56">
        <v>45444</v>
      </c>
      <c r="B620" s="57">
        <f t="shared" si="54"/>
        <v>2024</v>
      </c>
      <c r="C620" s="71">
        <v>18.306999999999999</v>
      </c>
      <c r="D620" s="61">
        <v>0.249</v>
      </c>
      <c r="E620" s="61">
        <v>3369.556</v>
      </c>
      <c r="F620" s="61">
        <v>141.52099999999999</v>
      </c>
      <c r="G620" s="61">
        <v>18.056999999999999</v>
      </c>
      <c r="H620" s="61">
        <v>721</v>
      </c>
      <c r="I620" s="61">
        <v>479.637</v>
      </c>
      <c r="J620" s="61">
        <v>241.363</v>
      </c>
      <c r="K620" s="61">
        <v>3727.65</v>
      </c>
      <c r="L620" s="61">
        <v>-457.62400000000002</v>
      </c>
      <c r="M620" s="61">
        <v>4068.5430000000001</v>
      </c>
      <c r="N620" s="61">
        <v>170.87899999999999</v>
      </c>
      <c r="O620" s="71">
        <v>21.803000000000001</v>
      </c>
      <c r="P620" s="60">
        <v>158.672</v>
      </c>
      <c r="Q620" s="61">
        <v>237.35900000000001</v>
      </c>
      <c r="R620" s="61">
        <v>427.34300000000002</v>
      </c>
      <c r="S620" s="61">
        <v>757.66600000000005</v>
      </c>
      <c r="T620" s="61">
        <v>72.356999999999999</v>
      </c>
      <c r="U620" s="61">
        <v>9.4550000000000001</v>
      </c>
      <c r="V620" s="61">
        <v>117.73</v>
      </c>
      <c r="W620" s="61">
        <v>130.78100000000001</v>
      </c>
      <c r="X620" s="61">
        <v>147.22300000000001</v>
      </c>
      <c r="Y620" s="61">
        <v>31.312000000000001</v>
      </c>
      <c r="Z620" s="61">
        <v>233.215</v>
      </c>
      <c r="AA620" s="61">
        <v>411.75</v>
      </c>
      <c r="AB620" s="60">
        <v>742.07299999999998</v>
      </c>
      <c r="AC620" s="62">
        <v>7020.1319999999996</v>
      </c>
      <c r="AD620" s="61">
        <v>294.846</v>
      </c>
      <c r="AE620" s="61">
        <v>38.569000000000003</v>
      </c>
      <c r="AF620" s="61">
        <v>1455</v>
      </c>
      <c r="AG620" s="61">
        <v>6556.5839999999998</v>
      </c>
      <c r="AH620" s="61">
        <v>669.47799999999995</v>
      </c>
      <c r="AI620" s="61">
        <v>7805.6540000000005</v>
      </c>
      <c r="AJ620" s="61">
        <v>327.83699999999999</v>
      </c>
      <c r="AK620" s="62">
        <v>42.884</v>
      </c>
      <c r="AL620" s="63">
        <f t="shared" si="53"/>
        <v>327.83699999999999</v>
      </c>
      <c r="AM620" s="64">
        <f t="shared" si="53"/>
        <v>42.884</v>
      </c>
      <c r="AN620" s="65" t="s">
        <v>121</v>
      </c>
      <c r="AO620" s="61" t="s">
        <v>121</v>
      </c>
      <c r="AP620" s="61">
        <v>651.41800000000001</v>
      </c>
      <c r="AQ620" s="61">
        <v>27.36</v>
      </c>
      <c r="AR620" s="61">
        <v>3.4910000000000001</v>
      </c>
      <c r="AS620" s="61" t="s">
        <v>122</v>
      </c>
      <c r="AT620" s="61">
        <v>466.05700000000002</v>
      </c>
      <c r="AU620" s="61">
        <v>58.701999999999998</v>
      </c>
      <c r="AV620" s="61">
        <v>592.71600000000001</v>
      </c>
      <c r="AW620" s="61">
        <v>24.893999999999998</v>
      </c>
      <c r="AX620" s="65">
        <v>3.1760000000000002</v>
      </c>
      <c r="AY620" s="66">
        <v>3.246</v>
      </c>
      <c r="AZ620" s="61">
        <v>26.718</v>
      </c>
      <c r="BA620" s="61">
        <v>32.966000000000001</v>
      </c>
      <c r="BB620" s="61">
        <v>62.93</v>
      </c>
      <c r="BC620" s="61" t="s">
        <v>143</v>
      </c>
      <c r="BD620" s="61">
        <v>1.615</v>
      </c>
      <c r="BE620" s="61">
        <v>8.0380000000000003</v>
      </c>
      <c r="BF620" s="61">
        <v>4.7E-2</v>
      </c>
      <c r="BG620" s="61">
        <v>5.9180000000000001</v>
      </c>
      <c r="BH620" s="61">
        <v>5.7050000000000001</v>
      </c>
      <c r="BI620" s="61">
        <v>2.6160000000000001</v>
      </c>
      <c r="BJ620" s="61">
        <v>14.24</v>
      </c>
      <c r="BK620" s="66">
        <v>24.018999999999998</v>
      </c>
      <c r="BL620" s="67">
        <v>92.275999999999996</v>
      </c>
      <c r="BM620" s="61">
        <v>21.803000000000001</v>
      </c>
      <c r="BN620" s="61">
        <v>42.884</v>
      </c>
      <c r="BO620" s="61">
        <v>3.1760000000000002</v>
      </c>
      <c r="BP620" s="61">
        <v>160.13999999999999</v>
      </c>
      <c r="BQ620" s="61">
        <v>72</v>
      </c>
      <c r="BR620" s="61">
        <v>4.25</v>
      </c>
      <c r="BS620" s="61">
        <v>81.168000000000006</v>
      </c>
      <c r="BT620" s="61">
        <v>130.69900000000001</v>
      </c>
      <c r="BU620" s="61">
        <v>13.159000000000001</v>
      </c>
      <c r="BV620" s="61">
        <v>13.569000000000001</v>
      </c>
      <c r="BW620" s="61">
        <v>26.728000000000002</v>
      </c>
      <c r="BX620" s="67">
        <v>314.846</v>
      </c>
      <c r="BY620" s="68">
        <v>151134</v>
      </c>
      <c r="BZ620" s="68">
        <v>107826</v>
      </c>
      <c r="CA620" s="69">
        <v>3234</v>
      </c>
      <c r="CB620" s="68">
        <v>123124</v>
      </c>
      <c r="CC620" s="68">
        <v>43695</v>
      </c>
      <c r="CD620" s="68">
        <v>144572</v>
      </c>
      <c r="CE620" s="73"/>
      <c r="CF620" s="73"/>
      <c r="CG620" s="70">
        <f t="shared" si="49"/>
        <v>5171.2079999999996</v>
      </c>
      <c r="CH620" s="70">
        <f t="shared" si="50"/>
        <v>135.828</v>
      </c>
      <c r="CI620" s="70">
        <f t="shared" si="51"/>
        <v>1835.19</v>
      </c>
      <c r="CJ620" s="70">
        <f t="shared" si="52"/>
        <v>6347.6279999999997</v>
      </c>
      <c r="CK620" s="70">
        <f t="shared" si="52"/>
        <v>4528.692</v>
      </c>
      <c r="CL620" s="70">
        <f t="shared" si="48"/>
        <v>6072.0240000000003</v>
      </c>
      <c r="CM620" s="61"/>
      <c r="CN620" s="61"/>
      <c r="CO620" s="61"/>
      <c r="CP620" s="61"/>
      <c r="CQ620" s="61"/>
      <c r="CR620" s="61"/>
      <c r="CS620" s="61"/>
      <c r="CT620" s="61"/>
      <c r="CU620" s="61"/>
      <c r="CV620" s="61"/>
      <c r="CW620" s="61"/>
      <c r="CX620" s="61"/>
      <c r="CY620" s="61"/>
      <c r="CZ620" s="61"/>
      <c r="DA620" s="61"/>
      <c r="DB620" s="61"/>
      <c r="DC620" s="61"/>
      <c r="DD620" s="61"/>
      <c r="DE620" s="61"/>
      <c r="DF620" s="61"/>
      <c r="DG620" s="61"/>
      <c r="DH620" s="61"/>
      <c r="DI620" s="61"/>
      <c r="DJ620" s="61"/>
      <c r="DK620" s="61"/>
      <c r="DL620" s="61"/>
      <c r="DM620" s="61"/>
      <c r="DN620" s="61"/>
      <c r="DO620" s="61"/>
      <c r="DP620" s="61"/>
      <c r="DQ620" s="61"/>
      <c r="DR620" s="61"/>
      <c r="DS620" s="61"/>
      <c r="DT620" s="61"/>
      <c r="DU620" s="61"/>
      <c r="DV620" s="61"/>
      <c r="DW620" s="61"/>
      <c r="DX620" s="61"/>
      <c r="DY620" s="61"/>
      <c r="DZ620" s="61"/>
      <c r="EA620" s="61"/>
      <c r="EB620" s="61"/>
      <c r="EC620" s="61"/>
      <c r="ED620" s="61"/>
      <c r="EE620" s="61"/>
      <c r="EF620" s="61"/>
      <c r="EG620" s="61"/>
      <c r="EH620" s="61"/>
      <c r="EI620" s="61"/>
      <c r="EJ620" s="61"/>
      <c r="EK620" s="61"/>
      <c r="EL620" s="61"/>
      <c r="EM620" s="61"/>
      <c r="EN620" s="61"/>
      <c r="EO620" s="61"/>
      <c r="EP620" s="61"/>
      <c r="EQ620" s="61"/>
      <c r="ER620" s="61"/>
      <c r="ES620" s="61"/>
      <c r="ET620" s="61"/>
      <c r="EU620" s="61"/>
      <c r="EV620" s="61"/>
      <c r="EW620" s="61"/>
    </row>
    <row r="621" spans="1:153">
      <c r="A621" s="56">
        <v>45474</v>
      </c>
      <c r="B621" s="57">
        <f t="shared" si="54"/>
        <v>2024</v>
      </c>
      <c r="C621" s="71">
        <v>18.893999999999998</v>
      </c>
      <c r="D621" s="61">
        <v>0.25700000000000001</v>
      </c>
      <c r="E621" s="61">
        <v>3477.5459999999998</v>
      </c>
      <c r="F621" s="61">
        <v>146.05699999999999</v>
      </c>
      <c r="G621" s="61">
        <v>18.635999999999999</v>
      </c>
      <c r="H621" s="61">
        <v>599</v>
      </c>
      <c r="I621" s="61">
        <v>627.41300000000001</v>
      </c>
      <c r="J621" s="61">
        <v>-28.413</v>
      </c>
      <c r="K621" s="61">
        <v>3373.1219999999998</v>
      </c>
      <c r="L621" s="61">
        <v>-354.52800000000002</v>
      </c>
      <c r="M621" s="61">
        <v>3803.6610000000001</v>
      </c>
      <c r="N621" s="61">
        <v>159.75399999999999</v>
      </c>
      <c r="O621" s="71">
        <v>20.384</v>
      </c>
      <c r="P621" s="60">
        <v>164.65299999999999</v>
      </c>
      <c r="Q621" s="61">
        <v>251.82599999999999</v>
      </c>
      <c r="R621" s="61">
        <v>448.58699999999999</v>
      </c>
      <c r="S621" s="61">
        <v>741.71100000000001</v>
      </c>
      <c r="T621" s="61">
        <v>68.789000000000001</v>
      </c>
      <c r="U621" s="61">
        <v>9.7919999999999998</v>
      </c>
      <c r="V621" s="61">
        <v>118.63800000000001</v>
      </c>
      <c r="W621" s="61">
        <v>95.906000000000006</v>
      </c>
      <c r="X621" s="61">
        <v>152.93600000000001</v>
      </c>
      <c r="Y621" s="61">
        <v>32.107999999999997</v>
      </c>
      <c r="Z621" s="61">
        <v>251.01</v>
      </c>
      <c r="AA621" s="61">
        <v>436.05399999999997</v>
      </c>
      <c r="AB621" s="60">
        <v>729.178</v>
      </c>
      <c r="AC621" s="62">
        <v>6835.2179999999998</v>
      </c>
      <c r="AD621" s="61">
        <v>287.07900000000001</v>
      </c>
      <c r="AE621" s="61">
        <v>37.552999999999997</v>
      </c>
      <c r="AF621" s="61">
        <v>1595</v>
      </c>
      <c r="AG621" s="61">
        <v>6151.07</v>
      </c>
      <c r="AH621" s="61">
        <v>-405.51400000000001</v>
      </c>
      <c r="AI621" s="61">
        <v>8835.732</v>
      </c>
      <c r="AJ621" s="61">
        <v>371.101</v>
      </c>
      <c r="AK621" s="62">
        <v>48.543999999999997</v>
      </c>
      <c r="AL621" s="63">
        <f t="shared" si="53"/>
        <v>371.101</v>
      </c>
      <c r="AM621" s="64">
        <f t="shared" si="53"/>
        <v>48.543999999999997</v>
      </c>
      <c r="AN621" s="65" t="s">
        <v>121</v>
      </c>
      <c r="AO621" s="61" t="s">
        <v>121</v>
      </c>
      <c r="AP621" s="61">
        <v>580.03899999999999</v>
      </c>
      <c r="AQ621" s="61">
        <v>24.361999999999998</v>
      </c>
      <c r="AR621" s="61">
        <v>3.1080000000000001</v>
      </c>
      <c r="AS621" s="61" t="s">
        <v>122</v>
      </c>
      <c r="AT621" s="61">
        <v>406.57499999999999</v>
      </c>
      <c r="AU621" s="61">
        <v>-59.481999999999999</v>
      </c>
      <c r="AV621" s="61">
        <v>639.52099999999996</v>
      </c>
      <c r="AW621" s="61">
        <v>26.86</v>
      </c>
      <c r="AX621" s="65">
        <v>3.427</v>
      </c>
      <c r="AY621" s="66">
        <v>3.3540000000000001</v>
      </c>
      <c r="AZ621" s="61">
        <v>27.359000000000002</v>
      </c>
      <c r="BA621" s="61">
        <v>34.064999999999998</v>
      </c>
      <c r="BB621" s="61">
        <v>64.778000000000006</v>
      </c>
      <c r="BC621" s="61" t="s">
        <v>143</v>
      </c>
      <c r="BD621" s="61">
        <v>1.669</v>
      </c>
      <c r="BE621" s="61">
        <v>8.343</v>
      </c>
      <c r="BF621" s="61">
        <v>3.7999999999999999E-2</v>
      </c>
      <c r="BG621" s="61">
        <v>6.2460000000000004</v>
      </c>
      <c r="BH621" s="61">
        <v>5.9870000000000001</v>
      </c>
      <c r="BI621" s="61">
        <v>2.8159999999999998</v>
      </c>
      <c r="BJ621" s="61">
        <v>15.048</v>
      </c>
      <c r="BK621" s="66">
        <v>25.17</v>
      </c>
      <c r="BL621" s="67">
        <v>99.328000000000003</v>
      </c>
      <c r="BM621" s="61">
        <v>20.384</v>
      </c>
      <c r="BN621" s="61">
        <v>48.543999999999997</v>
      </c>
      <c r="BO621" s="61">
        <v>3.427</v>
      </c>
      <c r="BP621" s="61">
        <v>171.68199999999999</v>
      </c>
      <c r="BQ621" s="61">
        <v>68.483999999999995</v>
      </c>
      <c r="BR621" s="61">
        <v>4.4130000000000003</v>
      </c>
      <c r="BS621" s="61">
        <v>81.081999999999994</v>
      </c>
      <c r="BT621" s="61">
        <v>95.843999999999994</v>
      </c>
      <c r="BU621" s="61">
        <v>13.49</v>
      </c>
      <c r="BV621" s="61">
        <v>13.589</v>
      </c>
      <c r="BW621" s="61">
        <v>27.079000000000001</v>
      </c>
      <c r="BX621" s="67">
        <v>276.90199999999999</v>
      </c>
      <c r="BY621" s="68">
        <v>159266</v>
      </c>
      <c r="BZ621" s="68">
        <v>114476</v>
      </c>
      <c r="CA621" s="69">
        <v>3353</v>
      </c>
      <c r="CB621" s="68">
        <v>129603</v>
      </c>
      <c r="CC621" s="68">
        <v>41664</v>
      </c>
      <c r="CD621" s="68">
        <v>153409</v>
      </c>
      <c r="CE621" s="73"/>
      <c r="CF621" s="73"/>
      <c r="CG621" s="70">
        <f t="shared" si="49"/>
        <v>5443.326</v>
      </c>
      <c r="CH621" s="70">
        <f t="shared" si="50"/>
        <v>140.82599999999999</v>
      </c>
      <c r="CI621" s="70">
        <f t="shared" si="51"/>
        <v>1749.8879999999999</v>
      </c>
      <c r="CJ621" s="70">
        <f t="shared" si="52"/>
        <v>6689.1719999999996</v>
      </c>
      <c r="CK621" s="70">
        <f t="shared" si="52"/>
        <v>4807.9920000000002</v>
      </c>
      <c r="CL621" s="70">
        <f t="shared" si="48"/>
        <v>6443.1779999999999</v>
      </c>
      <c r="CM621" s="61"/>
      <c r="CN621" s="61"/>
      <c r="CO621" s="61"/>
      <c r="CP621" s="61"/>
      <c r="CQ621" s="61"/>
      <c r="CR621" s="61"/>
      <c r="CS621" s="61"/>
      <c r="CT621" s="61"/>
      <c r="CU621" s="61"/>
      <c r="CV621" s="61"/>
      <c r="CW621" s="61"/>
      <c r="CX621" s="61"/>
      <c r="CY621" s="61"/>
      <c r="CZ621" s="61"/>
      <c r="DA621" s="61"/>
      <c r="DB621" s="61"/>
      <c r="DC621" s="61"/>
      <c r="DD621" s="61"/>
      <c r="DE621" s="61"/>
      <c r="DF621" s="61"/>
      <c r="DG621" s="61"/>
      <c r="DH621" s="61"/>
      <c r="DI621" s="61"/>
      <c r="DJ621" s="61"/>
      <c r="DK621" s="61"/>
      <c r="DL621" s="61"/>
      <c r="DM621" s="61"/>
      <c r="DN621" s="61"/>
      <c r="DO621" s="61"/>
      <c r="DP621" s="61"/>
      <c r="DQ621" s="61"/>
      <c r="DR621" s="61"/>
      <c r="DS621" s="61"/>
      <c r="DT621" s="61"/>
      <c r="DU621" s="61"/>
      <c r="DV621" s="61"/>
      <c r="DW621" s="61"/>
      <c r="DX621" s="61"/>
      <c r="DY621" s="61"/>
      <c r="DZ621" s="61"/>
      <c r="EA621" s="61"/>
      <c r="EB621" s="61"/>
      <c r="EC621" s="61"/>
      <c r="ED621" s="61"/>
      <c r="EE621" s="61"/>
      <c r="EF621" s="61"/>
      <c r="EG621" s="61"/>
      <c r="EH621" s="61"/>
      <c r="EI621" s="61"/>
      <c r="EJ621" s="61"/>
      <c r="EK621" s="61"/>
      <c r="EL621" s="61"/>
      <c r="EM621" s="61"/>
      <c r="EN621" s="61"/>
      <c r="EO621" s="61"/>
      <c r="EP621" s="61"/>
      <c r="EQ621" s="61"/>
      <c r="ER621" s="61"/>
      <c r="ES621" s="61"/>
      <c r="ET621" s="61"/>
      <c r="EU621" s="61"/>
      <c r="EV621" s="61"/>
      <c r="EW621" s="61"/>
    </row>
    <row r="622" spans="1:153">
      <c r="A622" s="56">
        <v>45505</v>
      </c>
      <c r="B622" s="57">
        <f t="shared" si="54"/>
        <v>2024</v>
      </c>
      <c r="C622" s="71"/>
      <c r="D622" s="61"/>
      <c r="E622" s="61"/>
      <c r="F622" s="61">
        <v>146.226</v>
      </c>
      <c r="G622" s="61"/>
      <c r="H622" s="61">
        <v>551</v>
      </c>
      <c r="I622" s="61">
        <v>581.46199999999999</v>
      </c>
      <c r="J622" s="61">
        <v>-30.462</v>
      </c>
      <c r="K622" s="61">
        <v>3199.6019999999999</v>
      </c>
      <c r="L622" s="61">
        <v>-173.52099999999999</v>
      </c>
      <c r="M622" s="61">
        <v>3624.6320000000001</v>
      </c>
      <c r="N622" s="61">
        <v>152.23500000000001</v>
      </c>
      <c r="O622" s="71"/>
      <c r="P622" s="60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0"/>
      <c r="AC622" s="62"/>
      <c r="AD622" s="61"/>
      <c r="AE622" s="61"/>
      <c r="AF622" s="61"/>
      <c r="AG622" s="61"/>
      <c r="AH622" s="61"/>
      <c r="AI622" s="61"/>
      <c r="AJ622" s="61"/>
      <c r="AK622" s="62"/>
      <c r="AL622" s="63">
        <f t="shared" si="53"/>
        <v>0</v>
      </c>
      <c r="AM622" s="64"/>
      <c r="AN622" s="65"/>
      <c r="AO622" s="61"/>
      <c r="AP622" s="61"/>
      <c r="AQ622" s="61"/>
      <c r="AR622" s="61"/>
      <c r="AS622" s="61"/>
      <c r="AT622" s="61"/>
      <c r="AU622" s="61"/>
      <c r="AV622" s="61"/>
      <c r="AW622" s="61"/>
      <c r="AX622" s="65"/>
      <c r="AY622" s="66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6"/>
      <c r="BL622" s="67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7"/>
      <c r="BY622" s="68">
        <v>158627</v>
      </c>
      <c r="BZ622" s="68">
        <v>120124</v>
      </c>
      <c r="CA622" s="69">
        <v>4320</v>
      </c>
      <c r="CB622" s="68">
        <v>125447</v>
      </c>
      <c r="CC622" s="68">
        <v>46982</v>
      </c>
      <c r="CD622" s="68">
        <v>151754</v>
      </c>
      <c r="CE622" s="73"/>
      <c r="CF622" s="73"/>
      <c r="CG622" s="70">
        <f t="shared" si="49"/>
        <v>5268.7740000000003</v>
      </c>
      <c r="CH622" s="70">
        <f t="shared" si="50"/>
        <v>181.44</v>
      </c>
      <c r="CI622" s="70">
        <f t="shared" si="51"/>
        <v>1973.2439999999999</v>
      </c>
      <c r="CJ622" s="70">
        <f t="shared" si="52"/>
        <v>6662.3339999999998</v>
      </c>
      <c r="CK622" s="70">
        <f t="shared" si="52"/>
        <v>5045.2079999999996</v>
      </c>
      <c r="CL622" s="70">
        <f t="shared" si="48"/>
        <v>6373.6679999999997</v>
      </c>
      <c r="CM622" s="61"/>
      <c r="CN622" s="61"/>
      <c r="CO622" s="61"/>
      <c r="CP622" s="61"/>
      <c r="CQ622" s="61"/>
      <c r="CR622" s="61"/>
      <c r="CS622" s="61"/>
      <c r="CT622" s="61"/>
      <c r="CU622" s="61"/>
      <c r="CV622" s="61"/>
      <c r="CW622" s="61"/>
      <c r="CX622" s="61"/>
      <c r="CY622" s="61"/>
      <c r="CZ622" s="61"/>
      <c r="DA622" s="61"/>
      <c r="DB622" s="61"/>
      <c r="DC622" s="61"/>
      <c r="DD622" s="61"/>
      <c r="DE622" s="61"/>
      <c r="DF622" s="61"/>
      <c r="DG622" s="61"/>
      <c r="DH622" s="61"/>
      <c r="DI622" s="61"/>
      <c r="DJ622" s="61"/>
      <c r="DK622" s="61"/>
      <c r="DL622" s="61"/>
      <c r="DM622" s="61"/>
      <c r="DN622" s="61"/>
      <c r="DO622" s="61"/>
      <c r="DP622" s="61"/>
      <c r="DQ622" s="61"/>
      <c r="DR622" s="61"/>
      <c r="DS622" s="61"/>
      <c r="DT622" s="61"/>
      <c r="DU622" s="61"/>
      <c r="DV622" s="61"/>
      <c r="DW622" s="61"/>
      <c r="DX622" s="61"/>
      <c r="DY622" s="61"/>
      <c r="DZ622" s="61"/>
      <c r="EA622" s="61"/>
      <c r="EB622" s="61"/>
      <c r="EC622" s="61"/>
      <c r="ED622" s="61"/>
      <c r="EE622" s="61"/>
      <c r="EF622" s="61"/>
      <c r="EG622" s="61"/>
      <c r="EH622" s="61"/>
      <c r="EI622" s="61"/>
      <c r="EJ622" s="61"/>
      <c r="EK622" s="61"/>
      <c r="EL622" s="61"/>
      <c r="EM622" s="61"/>
      <c r="EN622" s="61"/>
      <c r="EO622" s="61"/>
      <c r="EP622" s="61"/>
      <c r="EQ622" s="61"/>
      <c r="ER622" s="61"/>
      <c r="ES622" s="61"/>
      <c r="ET622" s="61"/>
      <c r="EU622" s="61"/>
      <c r="EV622" s="61"/>
      <c r="EW622" s="61"/>
    </row>
    <row r="623" spans="1:153">
      <c r="A623" s="56">
        <v>45536</v>
      </c>
      <c r="B623" s="57">
        <f t="shared" si="54"/>
        <v>2024</v>
      </c>
      <c r="C623" s="71"/>
      <c r="D623" s="61"/>
      <c r="E623" s="61"/>
      <c r="F623" s="61">
        <v>141.15299999999999</v>
      </c>
      <c r="G623" s="61"/>
      <c r="H623" s="61">
        <v>604</v>
      </c>
      <c r="I623" s="61">
        <v>482.26100000000002</v>
      </c>
      <c r="J623" s="61">
        <v>121.739</v>
      </c>
      <c r="K623" s="61">
        <v>3164.625</v>
      </c>
      <c r="L623" s="61">
        <v>-34.975999999999999</v>
      </c>
      <c r="M623" s="61">
        <v>3517.5</v>
      </c>
      <c r="N623" s="61">
        <v>147.73500000000001</v>
      </c>
      <c r="O623" s="71"/>
      <c r="P623" s="60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0"/>
      <c r="AC623" s="62"/>
      <c r="AD623" s="61"/>
      <c r="AE623" s="61"/>
      <c r="AF623" s="61"/>
      <c r="AG623" s="61"/>
      <c r="AH623" s="61"/>
      <c r="AI623" s="61"/>
      <c r="AJ623" s="61"/>
      <c r="AK623" s="62"/>
      <c r="AL623" s="63">
        <f t="shared" si="53"/>
        <v>0</v>
      </c>
      <c r="AM623" s="64"/>
      <c r="AN623" s="65"/>
      <c r="AO623" s="61"/>
      <c r="AP623" s="61"/>
      <c r="AQ623" s="61"/>
      <c r="AR623" s="61"/>
      <c r="AS623" s="61"/>
      <c r="AT623" s="61"/>
      <c r="AU623" s="61"/>
      <c r="AV623" s="61"/>
      <c r="AW623" s="61"/>
      <c r="AX623" s="65"/>
      <c r="AY623" s="66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6"/>
      <c r="BL623" s="67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7"/>
      <c r="BY623" s="61"/>
      <c r="BZ623" s="61"/>
      <c r="CA623" s="61"/>
      <c r="CB623" s="61"/>
      <c r="CC623" s="61"/>
      <c r="CD623" s="61"/>
      <c r="CE623" s="73"/>
      <c r="CF623" s="73"/>
      <c r="CG623" s="74"/>
      <c r="CH623" s="63"/>
      <c r="CI623" s="63"/>
      <c r="CJ623" s="63"/>
      <c r="CK623" s="63"/>
      <c r="CL623" s="70"/>
      <c r="CM623" s="61"/>
      <c r="CN623" s="61"/>
      <c r="CO623" s="61"/>
      <c r="CP623" s="61"/>
      <c r="CQ623" s="61"/>
      <c r="CR623" s="61"/>
      <c r="CS623" s="61"/>
      <c r="CT623" s="61"/>
      <c r="CU623" s="61"/>
      <c r="CV623" s="61"/>
      <c r="CW623" s="61"/>
      <c r="CX623" s="61"/>
      <c r="CY623" s="61"/>
      <c r="CZ623" s="61"/>
      <c r="DA623" s="61"/>
      <c r="DB623" s="61"/>
      <c r="DC623" s="61"/>
      <c r="DD623" s="61"/>
      <c r="DE623" s="61"/>
      <c r="DF623" s="61"/>
      <c r="DG623" s="61"/>
      <c r="DH623" s="61"/>
      <c r="DI623" s="61"/>
      <c r="DJ623" s="61"/>
      <c r="DK623" s="61"/>
      <c r="DL623" s="61"/>
      <c r="DM623" s="61"/>
      <c r="DN623" s="61"/>
      <c r="DO623" s="61"/>
      <c r="DP623" s="61"/>
      <c r="DQ623" s="61"/>
      <c r="DR623" s="61"/>
      <c r="DS623" s="61"/>
      <c r="DT623" s="61"/>
      <c r="DU623" s="61"/>
      <c r="DV623" s="61"/>
      <c r="DW623" s="61"/>
      <c r="DX623" s="61"/>
      <c r="DY623" s="61"/>
      <c r="DZ623" s="61"/>
      <c r="EA623" s="61"/>
      <c r="EB623" s="61"/>
      <c r="EC623" s="61"/>
      <c r="ED623" s="61"/>
      <c r="EE623" s="61"/>
      <c r="EF623" s="61"/>
      <c r="EG623" s="61"/>
      <c r="EH623" s="61"/>
      <c r="EI623" s="61"/>
      <c r="EJ623" s="61"/>
      <c r="EK623" s="61"/>
      <c r="EL623" s="61"/>
      <c r="EM623" s="61"/>
      <c r="EN623" s="61"/>
      <c r="EO623" s="61"/>
      <c r="EP623" s="61"/>
      <c r="EQ623" s="61"/>
      <c r="ER623" s="61"/>
      <c r="ES623" s="61"/>
      <c r="ET623" s="61"/>
      <c r="EU623" s="61"/>
      <c r="EV623" s="61"/>
      <c r="EW623" s="61"/>
    </row>
    <row r="624" spans="1:153">
      <c r="A624" s="56">
        <v>45566</v>
      </c>
      <c r="B624" s="57">
        <f t="shared" si="54"/>
        <v>2024</v>
      </c>
      <c r="C624" s="71"/>
      <c r="D624" s="61"/>
      <c r="E624" s="61"/>
      <c r="F624" s="61">
        <v>144.875</v>
      </c>
      <c r="G624" s="61"/>
      <c r="H624" s="61">
        <v>505</v>
      </c>
      <c r="I624" s="61">
        <v>378.77100000000002</v>
      </c>
      <c r="J624" s="61">
        <v>126.229</v>
      </c>
      <c r="K624" s="61">
        <v>3006.8589999999999</v>
      </c>
      <c r="L624" s="61">
        <v>-157.76599999999999</v>
      </c>
      <c r="M624" s="61">
        <v>3733.3879999999999</v>
      </c>
      <c r="N624" s="61">
        <v>156.80199999999999</v>
      </c>
      <c r="O624" s="71"/>
      <c r="P624" s="60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0"/>
      <c r="AC624" s="62"/>
      <c r="AD624" s="61"/>
      <c r="AE624" s="61"/>
      <c r="AF624" s="61"/>
      <c r="AG624" s="61"/>
      <c r="AH624" s="61"/>
      <c r="AI624" s="61"/>
      <c r="AJ624" s="61"/>
      <c r="AK624" s="62"/>
      <c r="AL624" s="63">
        <f t="shared" si="53"/>
        <v>0</v>
      </c>
      <c r="AM624" s="64"/>
      <c r="AN624" s="65"/>
      <c r="AO624" s="61"/>
      <c r="AP624" s="61"/>
      <c r="AQ624" s="61"/>
      <c r="AR624" s="61"/>
      <c r="AS624" s="61"/>
      <c r="AT624" s="61"/>
      <c r="AU624" s="61"/>
      <c r="AV624" s="61"/>
      <c r="AW624" s="61"/>
      <c r="AX624" s="65"/>
      <c r="AY624" s="66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6"/>
      <c r="BL624" s="67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7"/>
      <c r="BY624" s="61"/>
      <c r="BZ624" s="61"/>
      <c r="CA624" s="61"/>
      <c r="CB624" s="61"/>
      <c r="CC624" s="61"/>
      <c r="CD624" s="61"/>
      <c r="CE624" s="73"/>
      <c r="CF624" s="73"/>
      <c r="CG624" s="74"/>
      <c r="CH624" s="63"/>
      <c r="CI624" s="63"/>
      <c r="CJ624" s="63"/>
      <c r="CK624" s="63"/>
      <c r="CL624" s="70"/>
      <c r="CM624" s="61"/>
      <c r="CN624" s="61"/>
      <c r="CO624" s="61"/>
      <c r="CP624" s="61"/>
      <c r="CQ624" s="61"/>
      <c r="CR624" s="61"/>
      <c r="CS624" s="61"/>
      <c r="CT624" s="61"/>
      <c r="CU624" s="61"/>
      <c r="CV624" s="61"/>
      <c r="CW624" s="61"/>
      <c r="CX624" s="61"/>
      <c r="CY624" s="61"/>
      <c r="CZ624" s="61"/>
      <c r="DA624" s="61"/>
      <c r="DB624" s="61"/>
      <c r="DC624" s="61"/>
      <c r="DD624" s="61"/>
      <c r="DE624" s="61"/>
      <c r="DF624" s="61"/>
      <c r="DG624" s="61"/>
      <c r="DH624" s="61"/>
      <c r="DI624" s="61"/>
      <c r="DJ624" s="61"/>
      <c r="DK624" s="61"/>
      <c r="DL624" s="61"/>
      <c r="DM624" s="61"/>
      <c r="DN624" s="61"/>
      <c r="DO624" s="61"/>
      <c r="DP624" s="61"/>
      <c r="DQ624" s="61"/>
      <c r="DR624" s="61"/>
      <c r="DS624" s="61"/>
      <c r="DT624" s="61"/>
      <c r="DU624" s="61"/>
      <c r="DV624" s="61"/>
      <c r="DW624" s="61"/>
      <c r="DX624" s="61"/>
      <c r="DY624" s="61"/>
      <c r="DZ624" s="61"/>
      <c r="EA624" s="61"/>
      <c r="EB624" s="61"/>
      <c r="EC624" s="61"/>
      <c r="ED624" s="61"/>
      <c r="EE624" s="61"/>
      <c r="EF624" s="61"/>
      <c r="EG624" s="61"/>
      <c r="EH624" s="61"/>
      <c r="EI624" s="61"/>
      <c r="EJ624" s="61"/>
      <c r="EK624" s="61"/>
      <c r="EL624" s="61"/>
      <c r="EM624" s="61"/>
      <c r="EN624" s="61"/>
      <c r="EO624" s="61"/>
      <c r="EP624" s="61"/>
      <c r="EQ624" s="61"/>
      <c r="ER624" s="61"/>
      <c r="ES624" s="61"/>
      <c r="ET624" s="61"/>
      <c r="EU624" s="61"/>
      <c r="EV624" s="61"/>
      <c r="EW624" s="61"/>
    </row>
    <row r="625" spans="1:153">
      <c r="A625" s="56">
        <v>45597</v>
      </c>
      <c r="B625" s="57">
        <f t="shared" si="54"/>
        <v>2024</v>
      </c>
      <c r="C625" s="71"/>
      <c r="D625" s="61"/>
      <c r="E625" s="61"/>
      <c r="F625" s="61">
        <v>144.749</v>
      </c>
      <c r="G625" s="61"/>
      <c r="H625" s="61">
        <v>505</v>
      </c>
      <c r="I625" s="61">
        <v>119.568</v>
      </c>
      <c r="J625" s="61">
        <v>385.43200000000002</v>
      </c>
      <c r="K625" s="61">
        <v>3308.5529999999999</v>
      </c>
      <c r="L625" s="61">
        <v>301.69400000000002</v>
      </c>
      <c r="M625" s="61">
        <v>3530.1320000000001</v>
      </c>
      <c r="N625" s="61">
        <v>148.26599999999999</v>
      </c>
      <c r="O625" s="71"/>
      <c r="P625" s="60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0"/>
      <c r="AC625" s="62"/>
      <c r="AD625" s="61"/>
      <c r="AE625" s="61"/>
      <c r="AF625" s="61"/>
      <c r="AG625" s="61"/>
      <c r="AH625" s="61"/>
      <c r="AI625" s="61"/>
      <c r="AJ625" s="61"/>
      <c r="AK625" s="62"/>
      <c r="AL625" s="63">
        <f t="shared" si="53"/>
        <v>0</v>
      </c>
      <c r="AM625" s="64"/>
      <c r="AN625" s="65"/>
      <c r="AO625" s="61"/>
      <c r="AP625" s="61"/>
      <c r="AQ625" s="61"/>
      <c r="AR625" s="61"/>
      <c r="AS625" s="61"/>
      <c r="AT625" s="61"/>
      <c r="AU625" s="61"/>
      <c r="AV625" s="61"/>
      <c r="AW625" s="61"/>
      <c r="AX625" s="65"/>
      <c r="AY625" s="66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6"/>
      <c r="BL625" s="67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7"/>
      <c r="BY625" s="61"/>
      <c r="BZ625" s="61"/>
      <c r="CA625" s="61"/>
      <c r="CB625" s="61"/>
      <c r="CC625" s="61"/>
      <c r="CD625" s="61"/>
      <c r="CE625" s="73"/>
      <c r="CF625" s="73"/>
      <c r="CG625" s="74"/>
      <c r="CH625" s="63"/>
      <c r="CI625" s="63"/>
      <c r="CJ625" s="63"/>
      <c r="CK625" s="63"/>
      <c r="CL625" s="70"/>
      <c r="CM625" s="61"/>
      <c r="CN625" s="61"/>
      <c r="CO625" s="61"/>
      <c r="CP625" s="61"/>
      <c r="CQ625" s="61"/>
      <c r="CR625" s="61"/>
      <c r="CS625" s="61"/>
      <c r="CT625" s="61"/>
      <c r="CU625" s="61"/>
      <c r="CV625" s="61"/>
      <c r="CW625" s="61"/>
      <c r="CX625" s="61"/>
      <c r="CY625" s="61"/>
      <c r="CZ625" s="61"/>
      <c r="DA625" s="61"/>
      <c r="DB625" s="61"/>
      <c r="DC625" s="61"/>
      <c r="DD625" s="61"/>
      <c r="DE625" s="61"/>
      <c r="DF625" s="61"/>
      <c r="DG625" s="61"/>
      <c r="DH625" s="61"/>
      <c r="DI625" s="61"/>
      <c r="DJ625" s="61"/>
      <c r="DK625" s="61"/>
      <c r="DL625" s="61"/>
      <c r="DM625" s="61"/>
      <c r="DN625" s="61"/>
      <c r="DO625" s="61"/>
      <c r="DP625" s="61"/>
      <c r="DQ625" s="61"/>
      <c r="DR625" s="61"/>
      <c r="DS625" s="61"/>
      <c r="DT625" s="61"/>
      <c r="DU625" s="61"/>
      <c r="DV625" s="61"/>
      <c r="DW625" s="61"/>
      <c r="DX625" s="61"/>
      <c r="DY625" s="61"/>
      <c r="DZ625" s="61"/>
      <c r="EA625" s="61"/>
      <c r="EB625" s="61"/>
      <c r="EC625" s="61"/>
      <c r="ED625" s="61"/>
      <c r="EE625" s="61"/>
      <c r="EF625" s="61"/>
      <c r="EG625" s="61"/>
      <c r="EH625" s="61"/>
      <c r="EI625" s="61"/>
      <c r="EJ625" s="61"/>
      <c r="EK625" s="61"/>
      <c r="EL625" s="61"/>
      <c r="EM625" s="61"/>
      <c r="EN625" s="61"/>
      <c r="EO625" s="61"/>
      <c r="EP625" s="61"/>
      <c r="EQ625" s="61"/>
      <c r="ER625" s="61"/>
      <c r="ES625" s="61"/>
      <c r="ET625" s="61"/>
      <c r="EU625" s="61"/>
      <c r="EV625" s="61"/>
      <c r="EW625" s="61"/>
    </row>
    <row r="626" spans="1:153">
      <c r="A626" s="56">
        <v>45627</v>
      </c>
      <c r="B626" s="57">
        <f t="shared" si="54"/>
        <v>2024</v>
      </c>
      <c r="C626" s="71"/>
      <c r="D626" s="61"/>
      <c r="E626" s="61"/>
      <c r="F626" s="61">
        <v>142.00399999999999</v>
      </c>
      <c r="G626" s="61"/>
      <c r="H626" s="61">
        <v>768</v>
      </c>
      <c r="I626" s="61">
        <v>136.70699999999999</v>
      </c>
      <c r="J626" s="61">
        <v>631.29300000000001</v>
      </c>
      <c r="K626" s="61">
        <v>3552.0619999999999</v>
      </c>
      <c r="L626" s="61">
        <v>243.50800000000001</v>
      </c>
      <c r="M626" s="61">
        <v>3768.8310000000001</v>
      </c>
      <c r="N626" s="61">
        <v>158.291</v>
      </c>
      <c r="O626" s="71"/>
      <c r="P626" s="60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0"/>
      <c r="AC626" s="62"/>
      <c r="AD626" s="61"/>
      <c r="AE626" s="61"/>
      <c r="AF626" s="61"/>
      <c r="AG626" s="61"/>
      <c r="AH626" s="61"/>
      <c r="AI626" s="61"/>
      <c r="AJ626" s="61"/>
      <c r="AK626" s="62"/>
      <c r="AL626" s="63">
        <f t="shared" si="53"/>
        <v>0</v>
      </c>
      <c r="AM626" s="64"/>
      <c r="AN626" s="65"/>
      <c r="AO626" s="61"/>
      <c r="AP626" s="61"/>
      <c r="AQ626" s="61"/>
      <c r="AR626" s="61"/>
      <c r="AS626" s="61"/>
      <c r="AT626" s="61"/>
      <c r="AU626" s="61"/>
      <c r="AV626" s="61"/>
      <c r="AW626" s="61"/>
      <c r="AX626" s="65"/>
      <c r="AY626" s="66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6"/>
      <c r="BL626" s="67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7"/>
      <c r="BY626" s="61"/>
      <c r="BZ626" s="61"/>
      <c r="CA626" s="61"/>
      <c r="CB626" s="61"/>
      <c r="CC626" s="61"/>
      <c r="CD626" s="61"/>
      <c r="CE626" s="73"/>
      <c r="CF626" s="73"/>
      <c r="CG626" s="74"/>
      <c r="CH626" s="63"/>
      <c r="CI626" s="63"/>
      <c r="CJ626" s="63"/>
      <c r="CK626" s="63"/>
      <c r="CL626" s="70"/>
      <c r="CM626" s="61"/>
      <c r="CN626" s="61"/>
      <c r="CO626" s="61"/>
      <c r="CP626" s="61"/>
      <c r="CQ626" s="61"/>
      <c r="CR626" s="61"/>
      <c r="CS626" s="61"/>
      <c r="CT626" s="61"/>
      <c r="CU626" s="61"/>
      <c r="CV626" s="61"/>
      <c r="CW626" s="61"/>
      <c r="CX626" s="61"/>
      <c r="CY626" s="61"/>
      <c r="CZ626" s="61"/>
      <c r="DA626" s="61"/>
      <c r="DB626" s="61"/>
      <c r="DC626" s="61"/>
      <c r="DD626" s="61"/>
      <c r="DE626" s="61"/>
      <c r="DF626" s="61"/>
      <c r="DG626" s="61"/>
      <c r="DH626" s="61"/>
      <c r="DI626" s="61"/>
      <c r="DJ626" s="61"/>
      <c r="DK626" s="61"/>
      <c r="DL626" s="61"/>
      <c r="DM626" s="61"/>
      <c r="DN626" s="61"/>
      <c r="DO626" s="61"/>
      <c r="DP626" s="61"/>
      <c r="DQ626" s="61"/>
      <c r="DR626" s="61"/>
      <c r="DS626" s="61"/>
      <c r="DT626" s="61"/>
      <c r="DU626" s="61"/>
      <c r="DV626" s="61"/>
      <c r="DW626" s="61"/>
      <c r="DX626" s="61"/>
      <c r="DY626" s="61"/>
      <c r="DZ626" s="61"/>
      <c r="EA626" s="61"/>
      <c r="EB626" s="61"/>
      <c r="EC626" s="61"/>
      <c r="ED626" s="61"/>
      <c r="EE626" s="61"/>
      <c r="EF626" s="61"/>
      <c r="EG626" s="61"/>
      <c r="EH626" s="61"/>
      <c r="EI626" s="61"/>
      <c r="EJ626" s="61"/>
      <c r="EK626" s="61"/>
      <c r="EL626" s="61"/>
      <c r="EM626" s="61"/>
      <c r="EN626" s="61"/>
      <c r="EO626" s="61"/>
      <c r="EP626" s="61"/>
      <c r="EQ626" s="61"/>
      <c r="ER626" s="61"/>
      <c r="ES626" s="61"/>
      <c r="ET626" s="61"/>
      <c r="EU626" s="61"/>
      <c r="EV626" s="61"/>
      <c r="EW626" s="61"/>
    </row>
    <row r="627" spans="1:153">
      <c r="A627" s="56">
        <v>45658</v>
      </c>
      <c r="B627" s="57">
        <f t="shared" si="54"/>
        <v>2025</v>
      </c>
      <c r="C627" s="71"/>
      <c r="D627" s="61"/>
      <c r="E627" s="61"/>
      <c r="F627" s="61">
        <v>78.200999999999993</v>
      </c>
      <c r="G627" s="61"/>
      <c r="H627" s="61">
        <v>78</v>
      </c>
      <c r="I627" s="61">
        <v>194.51300000000001</v>
      </c>
      <c r="J627" s="61">
        <v>-116.51300000000001</v>
      </c>
      <c r="K627" s="61">
        <v>3057.5520000000001</v>
      </c>
      <c r="L627" s="61">
        <v>-494.51</v>
      </c>
      <c r="M627" s="61">
        <v>2239.9189999999999</v>
      </c>
      <c r="N627" s="61">
        <v>94.076999999999998</v>
      </c>
      <c r="O627" s="71"/>
      <c r="P627" s="60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0"/>
      <c r="AC627" s="62"/>
      <c r="AD627" s="61"/>
      <c r="AE627" s="61"/>
      <c r="AF627" s="61"/>
      <c r="AG627" s="61"/>
      <c r="AH627" s="61"/>
      <c r="AI627" s="61"/>
      <c r="AJ627" s="61"/>
      <c r="AK627" s="62"/>
      <c r="AL627" s="63">
        <f t="shared" si="53"/>
        <v>0</v>
      </c>
      <c r="AM627" s="64"/>
      <c r="AN627" s="65"/>
      <c r="AO627" s="61"/>
      <c r="AP627" s="61"/>
      <c r="AQ627" s="61"/>
      <c r="AR627" s="61"/>
      <c r="AS627" s="61"/>
      <c r="AT627" s="61"/>
      <c r="AU627" s="61"/>
      <c r="AV627" s="61"/>
      <c r="AW627" s="61"/>
      <c r="AX627" s="65"/>
      <c r="AY627" s="66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6"/>
      <c r="BL627" s="67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7"/>
      <c r="BY627" s="61"/>
      <c r="BZ627" s="61"/>
      <c r="CA627" s="61"/>
      <c r="CB627" s="61"/>
      <c r="CC627" s="61"/>
      <c r="CD627" s="61"/>
      <c r="CE627" s="64"/>
      <c r="CF627" s="64"/>
      <c r="CG627" s="63"/>
      <c r="CH627" s="63"/>
      <c r="CI627" s="63"/>
      <c r="CJ627" s="63"/>
      <c r="CK627" s="63"/>
      <c r="CL627" s="70"/>
      <c r="CM627" s="61"/>
      <c r="CN627" s="61"/>
      <c r="CO627" s="61"/>
      <c r="CP627" s="61"/>
      <c r="CQ627" s="61"/>
      <c r="CR627" s="61"/>
      <c r="CS627" s="61"/>
      <c r="CT627" s="61"/>
      <c r="CU627" s="61"/>
      <c r="CV627" s="61"/>
      <c r="CW627" s="61"/>
      <c r="CX627" s="61"/>
      <c r="CY627" s="61"/>
      <c r="CZ627" s="61"/>
      <c r="DA627" s="61"/>
      <c r="DB627" s="61"/>
      <c r="DC627" s="61"/>
      <c r="DD627" s="61"/>
      <c r="DE627" s="61"/>
      <c r="DF627" s="61"/>
      <c r="DG627" s="61"/>
      <c r="DH627" s="61"/>
      <c r="DI627" s="61"/>
      <c r="DJ627" s="61"/>
      <c r="DK627" s="61"/>
      <c r="DL627" s="61"/>
      <c r="DM627" s="61"/>
      <c r="DN627" s="61"/>
      <c r="DO627" s="61"/>
      <c r="DP627" s="61"/>
      <c r="DQ627" s="61"/>
      <c r="DR627" s="61"/>
      <c r="DS627" s="61"/>
      <c r="DT627" s="61"/>
      <c r="DU627" s="61"/>
      <c r="DV627" s="61"/>
      <c r="DW627" s="61"/>
      <c r="DX627" s="61"/>
      <c r="DY627" s="61"/>
      <c r="DZ627" s="61"/>
      <c r="EA627" s="61"/>
      <c r="EB627" s="61"/>
      <c r="EC627" s="61"/>
      <c r="ED627" s="61"/>
      <c r="EE627" s="61"/>
      <c r="EF627" s="61"/>
      <c r="EG627" s="61"/>
      <c r="EH627" s="61"/>
      <c r="EI627" s="61"/>
      <c r="EJ627" s="61"/>
      <c r="EK627" s="61"/>
      <c r="EL627" s="61"/>
      <c r="EM627" s="61"/>
      <c r="EN627" s="61"/>
      <c r="EO627" s="61"/>
      <c r="EP627" s="61"/>
      <c r="EQ627" s="61"/>
      <c r="ER627" s="61"/>
      <c r="ES627" s="61"/>
      <c r="ET627" s="61"/>
      <c r="EU627" s="61"/>
      <c r="EV627" s="61"/>
      <c r="EW627" s="61"/>
    </row>
    <row r="628" spans="1:153">
      <c r="A628" s="56">
        <v>45689</v>
      </c>
      <c r="B628" s="57">
        <f t="shared" si="54"/>
        <v>2025</v>
      </c>
      <c r="C628" s="71"/>
      <c r="D628" s="61"/>
      <c r="E628" s="61"/>
      <c r="F628" s="61">
        <v>81.307000000000002</v>
      </c>
      <c r="G628" s="61"/>
      <c r="H628" s="61">
        <v>165</v>
      </c>
      <c r="I628" s="61">
        <v>55.668999999999997</v>
      </c>
      <c r="J628" s="61">
        <v>109.331</v>
      </c>
      <c r="K628" s="61">
        <v>3013.8310000000001</v>
      </c>
      <c r="L628" s="61">
        <v>-43.720999999999997</v>
      </c>
      <c r="M628" s="61">
        <v>2088.9349999999999</v>
      </c>
      <c r="N628" s="61">
        <v>87.734999999999999</v>
      </c>
      <c r="O628" s="71"/>
      <c r="P628" s="60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0"/>
      <c r="AC628" s="62"/>
      <c r="AD628" s="61"/>
      <c r="AE628" s="61"/>
      <c r="AF628" s="61"/>
      <c r="AG628" s="61"/>
      <c r="AH628" s="61"/>
      <c r="AI628" s="61"/>
      <c r="AJ628" s="61"/>
      <c r="AK628" s="62"/>
      <c r="AL628" s="63">
        <f t="shared" si="53"/>
        <v>0</v>
      </c>
      <c r="AM628" s="64"/>
      <c r="AN628" s="65"/>
      <c r="AO628" s="61"/>
      <c r="AP628" s="61"/>
      <c r="AQ628" s="61"/>
      <c r="AR628" s="61"/>
      <c r="AS628" s="61"/>
      <c r="AT628" s="61"/>
      <c r="AU628" s="61"/>
      <c r="AV628" s="61"/>
      <c r="AW628" s="61"/>
      <c r="AX628" s="65"/>
      <c r="AY628" s="66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6"/>
      <c r="BL628" s="67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7"/>
      <c r="BY628" s="61"/>
      <c r="BZ628" s="61"/>
      <c r="CA628" s="61"/>
      <c r="CB628" s="61"/>
      <c r="CC628" s="61"/>
      <c r="CD628" s="61"/>
      <c r="CE628" s="64"/>
      <c r="CF628" s="64"/>
      <c r="CG628" s="63"/>
      <c r="CH628" s="63"/>
      <c r="CI628" s="63"/>
      <c r="CJ628" s="63"/>
      <c r="CK628" s="63"/>
      <c r="CL628" s="70"/>
      <c r="CM628" s="61"/>
      <c r="CN628" s="61"/>
      <c r="CO628" s="61"/>
      <c r="CP628" s="61"/>
      <c r="CQ628" s="61"/>
      <c r="CR628" s="61"/>
      <c r="CS628" s="61"/>
      <c r="CT628" s="61"/>
      <c r="CU628" s="61"/>
      <c r="CV628" s="61"/>
      <c r="CW628" s="61"/>
      <c r="CX628" s="61"/>
      <c r="CY628" s="61"/>
      <c r="CZ628" s="61"/>
      <c r="DA628" s="61"/>
      <c r="DB628" s="61"/>
      <c r="DC628" s="61"/>
      <c r="DD628" s="61"/>
      <c r="DE628" s="61"/>
      <c r="DF628" s="61"/>
      <c r="DG628" s="61"/>
      <c r="DH628" s="61"/>
      <c r="DI628" s="61"/>
      <c r="DJ628" s="61"/>
      <c r="DK628" s="61"/>
      <c r="DL628" s="61"/>
      <c r="DM628" s="61"/>
      <c r="DN628" s="61"/>
      <c r="DO628" s="61"/>
      <c r="DP628" s="61"/>
      <c r="DQ628" s="61"/>
      <c r="DR628" s="61"/>
      <c r="DS628" s="61"/>
      <c r="DT628" s="61"/>
      <c r="DU628" s="61"/>
      <c r="DV628" s="61"/>
      <c r="DW628" s="61"/>
      <c r="DX628" s="61"/>
      <c r="DY628" s="61"/>
      <c r="DZ628" s="61"/>
      <c r="EA628" s="61"/>
      <c r="EB628" s="61"/>
      <c r="EC628" s="61"/>
      <c r="ED628" s="61"/>
      <c r="EE628" s="61"/>
      <c r="EF628" s="61"/>
      <c r="EG628" s="61"/>
      <c r="EH628" s="61"/>
      <c r="EI628" s="61"/>
      <c r="EJ628" s="61"/>
      <c r="EK628" s="61"/>
      <c r="EL628" s="61"/>
      <c r="EM628" s="61"/>
      <c r="EN628" s="61"/>
      <c r="EO628" s="61"/>
      <c r="EP628" s="61"/>
      <c r="EQ628" s="61"/>
      <c r="ER628" s="61"/>
      <c r="ES628" s="61"/>
      <c r="ET628" s="61"/>
      <c r="EU628" s="61"/>
      <c r="EV628" s="61"/>
      <c r="EW628" s="61"/>
    </row>
    <row r="629" spans="1:153">
      <c r="A629" s="56">
        <v>45717</v>
      </c>
      <c r="B629" s="57">
        <f t="shared" si="54"/>
        <v>2025</v>
      </c>
      <c r="C629" s="71"/>
      <c r="D629" s="61"/>
      <c r="E629" s="61"/>
      <c r="F629" s="61">
        <v>98.929000000000002</v>
      </c>
      <c r="G629" s="61"/>
      <c r="H629" s="61">
        <v>111</v>
      </c>
      <c r="I629" s="61">
        <v>106.666</v>
      </c>
      <c r="J629" s="61">
        <v>4.3339999999999996</v>
      </c>
      <c r="K629" s="61">
        <v>3027.5010000000002</v>
      </c>
      <c r="L629" s="61">
        <v>13.670999999999999</v>
      </c>
      <c r="M629" s="61">
        <v>2346.1039999999998</v>
      </c>
      <c r="N629" s="61">
        <v>98.536000000000001</v>
      </c>
      <c r="O629" s="71"/>
      <c r="P629" s="60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0"/>
      <c r="AC629" s="62"/>
      <c r="AD629" s="61"/>
      <c r="AE629" s="61"/>
      <c r="AF629" s="61"/>
      <c r="AG629" s="61"/>
      <c r="AH629" s="61"/>
      <c r="AI629" s="61"/>
      <c r="AJ629" s="61"/>
      <c r="AK629" s="62"/>
      <c r="AL629" s="63">
        <f t="shared" si="53"/>
        <v>0</v>
      </c>
      <c r="AM629" s="64"/>
      <c r="AN629" s="65"/>
      <c r="AO629" s="61"/>
      <c r="AP629" s="61"/>
      <c r="AQ629" s="61"/>
      <c r="AR629" s="61"/>
      <c r="AS629" s="61"/>
      <c r="AT629" s="61"/>
      <c r="AU629" s="61"/>
      <c r="AV629" s="61"/>
      <c r="AW629" s="61"/>
      <c r="AX629" s="65"/>
      <c r="AY629" s="66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6"/>
      <c r="BL629" s="67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7"/>
      <c r="BY629" s="61"/>
      <c r="BZ629" s="61"/>
      <c r="CA629" s="61"/>
      <c r="CB629" s="61"/>
      <c r="CC629" s="61"/>
      <c r="CD629" s="61"/>
      <c r="CE629" s="64"/>
      <c r="CF629" s="64"/>
      <c r="CG629" s="63"/>
      <c r="CH629" s="63"/>
      <c r="CI629" s="63"/>
      <c r="CJ629" s="63"/>
      <c r="CK629" s="63"/>
      <c r="CL629" s="70"/>
      <c r="CM629" s="61"/>
      <c r="CN629" s="61"/>
      <c r="CO629" s="61"/>
      <c r="CP629" s="61"/>
      <c r="CQ629" s="61"/>
      <c r="CR629" s="61"/>
      <c r="CS629" s="61"/>
      <c r="CT629" s="61"/>
      <c r="CU629" s="61"/>
      <c r="CV629" s="61"/>
      <c r="CW629" s="61"/>
      <c r="CX629" s="61"/>
      <c r="CY629" s="61"/>
      <c r="CZ629" s="61"/>
      <c r="DA629" s="61"/>
      <c r="DB629" s="61"/>
      <c r="DC629" s="61"/>
      <c r="DD629" s="61"/>
      <c r="DE629" s="61"/>
      <c r="DF629" s="61"/>
      <c r="DG629" s="61"/>
      <c r="DH629" s="61"/>
      <c r="DI629" s="61"/>
      <c r="DJ629" s="61"/>
      <c r="DK629" s="61"/>
      <c r="DL629" s="61"/>
      <c r="DM629" s="61"/>
      <c r="DN629" s="61"/>
      <c r="DO629" s="61"/>
      <c r="DP629" s="61"/>
      <c r="DQ629" s="61"/>
      <c r="DR629" s="61"/>
      <c r="DS629" s="61"/>
      <c r="DT629" s="61"/>
      <c r="DU629" s="61"/>
      <c r="DV629" s="61"/>
      <c r="DW629" s="61"/>
      <c r="DX629" s="61"/>
      <c r="DY629" s="61"/>
      <c r="DZ629" s="61"/>
      <c r="EA629" s="61"/>
      <c r="EB629" s="61"/>
      <c r="EC629" s="61"/>
      <c r="ED629" s="61"/>
      <c r="EE629" s="61"/>
      <c r="EF629" s="61"/>
      <c r="EG629" s="61"/>
      <c r="EH629" s="61"/>
      <c r="EI629" s="61"/>
      <c r="EJ629" s="61"/>
      <c r="EK629" s="61"/>
      <c r="EL629" s="61"/>
      <c r="EM629" s="61"/>
      <c r="EN629" s="61"/>
      <c r="EO629" s="61"/>
      <c r="EP629" s="61"/>
      <c r="EQ629" s="61"/>
      <c r="ER629" s="61"/>
      <c r="ES629" s="61"/>
      <c r="ET629" s="61"/>
      <c r="EU629" s="61"/>
      <c r="EV629" s="61"/>
      <c r="EW629" s="61"/>
    </row>
    <row r="630" spans="1:153">
      <c r="A630" s="56">
        <v>45748</v>
      </c>
      <c r="B630" s="57">
        <f t="shared" si="54"/>
        <v>2025</v>
      </c>
      <c r="C630" s="71"/>
      <c r="D630" s="61"/>
      <c r="E630" s="61"/>
      <c r="F630" s="61">
        <v>104.102</v>
      </c>
      <c r="G630" s="61"/>
      <c r="H630" s="61">
        <v>32</v>
      </c>
      <c r="I630" s="61">
        <v>152.87200000000001</v>
      </c>
      <c r="J630" s="61">
        <v>-120.872</v>
      </c>
      <c r="K630" s="61">
        <v>2914.154</v>
      </c>
      <c r="L630" s="61">
        <v>-113.348</v>
      </c>
      <c r="M630" s="61">
        <v>2471.0970000000002</v>
      </c>
      <c r="N630" s="61">
        <v>103.786</v>
      </c>
      <c r="O630" s="71"/>
      <c r="P630" s="60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0"/>
      <c r="AC630" s="62"/>
      <c r="AD630" s="61"/>
      <c r="AE630" s="61"/>
      <c r="AF630" s="61"/>
      <c r="AG630" s="61"/>
      <c r="AH630" s="61"/>
      <c r="AI630" s="61"/>
      <c r="AJ630" s="61"/>
      <c r="AK630" s="62"/>
      <c r="AL630" s="63">
        <f t="shared" si="53"/>
        <v>0</v>
      </c>
      <c r="AM630" s="64"/>
      <c r="AN630" s="65"/>
      <c r="AO630" s="61"/>
      <c r="AP630" s="61"/>
      <c r="AQ630" s="61"/>
      <c r="AR630" s="61"/>
      <c r="AS630" s="61"/>
      <c r="AT630" s="61"/>
      <c r="AU630" s="61"/>
      <c r="AV630" s="61"/>
      <c r="AW630" s="61"/>
      <c r="AX630" s="65"/>
      <c r="AY630" s="66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6"/>
      <c r="BL630" s="67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7"/>
      <c r="BY630" s="61"/>
      <c r="BZ630" s="61"/>
      <c r="CA630" s="61"/>
      <c r="CB630" s="61"/>
      <c r="CC630" s="61"/>
      <c r="CD630" s="61"/>
      <c r="CE630" s="64"/>
      <c r="CF630" s="64"/>
      <c r="CG630" s="63"/>
      <c r="CH630" s="63"/>
      <c r="CI630" s="63"/>
      <c r="CJ630" s="63"/>
      <c r="CK630" s="63"/>
      <c r="CL630" s="70"/>
      <c r="CM630" s="61"/>
      <c r="CN630" s="61"/>
      <c r="CO630" s="61"/>
      <c r="CP630" s="61"/>
      <c r="CQ630" s="61"/>
      <c r="CR630" s="61"/>
      <c r="CS630" s="61"/>
      <c r="CT630" s="61"/>
      <c r="CU630" s="61"/>
      <c r="CV630" s="61"/>
      <c r="CW630" s="61"/>
      <c r="CX630" s="61"/>
      <c r="CY630" s="61"/>
      <c r="CZ630" s="61"/>
      <c r="DA630" s="61"/>
      <c r="DB630" s="61"/>
      <c r="DC630" s="61"/>
      <c r="DD630" s="61"/>
      <c r="DE630" s="61"/>
      <c r="DF630" s="61"/>
      <c r="DG630" s="61"/>
      <c r="DH630" s="61"/>
      <c r="DI630" s="61"/>
      <c r="DJ630" s="61"/>
      <c r="DK630" s="61"/>
      <c r="DL630" s="61"/>
      <c r="DM630" s="61"/>
      <c r="DN630" s="61"/>
      <c r="DO630" s="61"/>
      <c r="DP630" s="61"/>
      <c r="DQ630" s="61"/>
      <c r="DR630" s="61"/>
      <c r="DS630" s="61"/>
      <c r="DT630" s="61"/>
      <c r="DU630" s="61"/>
      <c r="DV630" s="61"/>
      <c r="DW630" s="61"/>
      <c r="DX630" s="61"/>
      <c r="DY630" s="61"/>
      <c r="DZ630" s="61"/>
      <c r="EA630" s="61"/>
      <c r="EB630" s="61"/>
      <c r="EC630" s="61"/>
      <c r="ED630" s="61"/>
      <c r="EE630" s="61"/>
      <c r="EF630" s="61"/>
      <c r="EG630" s="61"/>
      <c r="EH630" s="61"/>
      <c r="EI630" s="61"/>
      <c r="EJ630" s="61"/>
      <c r="EK630" s="61"/>
      <c r="EL630" s="61"/>
      <c r="EM630" s="61"/>
      <c r="EN630" s="61"/>
      <c r="EO630" s="61"/>
      <c r="EP630" s="61"/>
      <c r="EQ630" s="61"/>
      <c r="ER630" s="61"/>
      <c r="ES630" s="61"/>
      <c r="ET630" s="61"/>
      <c r="EU630" s="61"/>
      <c r="EV630" s="61"/>
      <c r="EW630" s="61"/>
    </row>
    <row r="631" spans="1:153">
      <c r="A631" s="56">
        <v>45778</v>
      </c>
      <c r="B631" s="57">
        <f t="shared" si="54"/>
        <v>2025</v>
      </c>
      <c r="C631" s="7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71"/>
      <c r="P631" s="60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0"/>
      <c r="AC631" s="62"/>
      <c r="AD631" s="61"/>
      <c r="AE631" s="61"/>
      <c r="AF631" s="61"/>
      <c r="AG631" s="61"/>
      <c r="AH631" s="61"/>
      <c r="AI631" s="61"/>
      <c r="AJ631" s="61"/>
      <c r="AK631" s="62"/>
      <c r="AL631" s="63">
        <f t="shared" si="53"/>
        <v>0</v>
      </c>
      <c r="AM631" s="64"/>
      <c r="AN631" s="65"/>
      <c r="AO631" s="61"/>
      <c r="AP631" s="61"/>
      <c r="AQ631" s="61"/>
      <c r="AR631" s="61"/>
      <c r="AS631" s="61"/>
      <c r="AT631" s="61"/>
      <c r="AU631" s="61"/>
      <c r="AV631" s="61"/>
      <c r="AW631" s="61"/>
      <c r="AX631" s="65"/>
      <c r="AY631" s="66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6"/>
      <c r="BL631" s="67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7"/>
      <c r="BY631" s="61"/>
      <c r="BZ631" s="61"/>
      <c r="CA631" s="61"/>
      <c r="CB631" s="61"/>
      <c r="CC631" s="61"/>
      <c r="CD631" s="61"/>
      <c r="CE631" s="64"/>
      <c r="CF631" s="64"/>
      <c r="CG631" s="63"/>
      <c r="CH631" s="63"/>
      <c r="CI631" s="63"/>
      <c r="CJ631" s="63"/>
      <c r="CK631" s="63"/>
      <c r="CL631" s="70"/>
      <c r="CM631" s="61"/>
      <c r="CN631" s="61"/>
      <c r="CO631" s="61"/>
      <c r="CP631" s="61"/>
      <c r="CQ631" s="61"/>
      <c r="CR631" s="61"/>
      <c r="CS631" s="61"/>
      <c r="CT631" s="61"/>
      <c r="CU631" s="61"/>
      <c r="CV631" s="61"/>
      <c r="CW631" s="61"/>
      <c r="CX631" s="61"/>
      <c r="CY631" s="61"/>
      <c r="CZ631" s="61"/>
      <c r="DA631" s="61"/>
      <c r="DB631" s="61"/>
      <c r="DC631" s="61"/>
      <c r="DD631" s="61"/>
      <c r="DE631" s="61"/>
      <c r="DF631" s="61"/>
      <c r="DG631" s="61"/>
      <c r="DH631" s="61"/>
      <c r="DI631" s="61"/>
      <c r="DJ631" s="61"/>
      <c r="DK631" s="61"/>
      <c r="DL631" s="61"/>
      <c r="DM631" s="61"/>
      <c r="DN631" s="61"/>
      <c r="DO631" s="61"/>
      <c r="DP631" s="61"/>
      <c r="DQ631" s="61"/>
      <c r="DR631" s="61"/>
      <c r="DS631" s="61"/>
      <c r="DT631" s="61"/>
      <c r="DU631" s="61"/>
      <c r="DV631" s="61"/>
      <c r="DW631" s="61"/>
      <c r="DX631" s="61"/>
      <c r="DY631" s="61"/>
      <c r="DZ631" s="61"/>
      <c r="EA631" s="61"/>
      <c r="EB631" s="61"/>
      <c r="EC631" s="61"/>
      <c r="ED631" s="61"/>
      <c r="EE631" s="61"/>
      <c r="EF631" s="61"/>
      <c r="EG631" s="61"/>
      <c r="EH631" s="61"/>
      <c r="EI631" s="61"/>
      <c r="EJ631" s="61"/>
      <c r="EK631" s="61"/>
      <c r="EL631" s="61"/>
      <c r="EM631" s="61"/>
      <c r="EN631" s="61"/>
      <c r="EO631" s="61"/>
      <c r="EP631" s="61"/>
      <c r="EQ631" s="61"/>
      <c r="ER631" s="61"/>
      <c r="ES631" s="61"/>
      <c r="ET631" s="61"/>
      <c r="EU631" s="61"/>
      <c r="EV631" s="61"/>
      <c r="EW631" s="61"/>
    </row>
    <row r="632" spans="1:153">
      <c r="A632" s="56">
        <v>45809</v>
      </c>
      <c r="B632" s="57">
        <f t="shared" si="54"/>
        <v>2025</v>
      </c>
      <c r="C632" s="7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71"/>
      <c r="P632" s="60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0"/>
      <c r="AC632" s="62"/>
      <c r="AD632" s="61"/>
      <c r="AE632" s="61"/>
      <c r="AF632" s="61"/>
      <c r="AG632" s="61"/>
      <c r="AH632" s="61"/>
      <c r="AI632" s="61"/>
      <c r="AJ632" s="61"/>
      <c r="AK632" s="62"/>
      <c r="AL632" s="63">
        <f t="shared" si="53"/>
        <v>0</v>
      </c>
      <c r="AM632" s="64"/>
      <c r="AN632" s="65"/>
      <c r="AO632" s="61"/>
      <c r="AP632" s="61"/>
      <c r="AQ632" s="61"/>
      <c r="AR632" s="61"/>
      <c r="AS632" s="61"/>
      <c r="AT632" s="61"/>
      <c r="AU632" s="61"/>
      <c r="AV632" s="61"/>
      <c r="AW632" s="61"/>
      <c r="AX632" s="65"/>
      <c r="AY632" s="66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6"/>
      <c r="BL632" s="67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7"/>
      <c r="BY632" s="61"/>
      <c r="BZ632" s="61"/>
      <c r="CA632" s="61"/>
      <c r="CB632" s="61"/>
      <c r="CC632" s="61"/>
      <c r="CD632" s="61"/>
      <c r="CE632" s="64"/>
      <c r="CF632" s="64"/>
      <c r="CG632" s="63"/>
      <c r="CH632" s="63"/>
      <c r="CI632" s="63"/>
      <c r="CJ632" s="63"/>
      <c r="CK632" s="63"/>
      <c r="CL632" s="70"/>
      <c r="CM632" s="61"/>
      <c r="CN632" s="61"/>
      <c r="CO632" s="61"/>
      <c r="CP632" s="61"/>
      <c r="CQ632" s="61"/>
      <c r="CR632" s="61"/>
      <c r="CS632" s="61"/>
      <c r="CT632" s="61"/>
      <c r="CU632" s="61"/>
      <c r="CV632" s="61"/>
      <c r="CW632" s="61"/>
      <c r="CX632" s="61"/>
      <c r="CY632" s="61"/>
      <c r="CZ632" s="61"/>
      <c r="DA632" s="61"/>
      <c r="DB632" s="61"/>
      <c r="DC632" s="61"/>
      <c r="DD632" s="61"/>
      <c r="DE632" s="61"/>
      <c r="DF632" s="61"/>
      <c r="DG632" s="61"/>
      <c r="DH632" s="61"/>
      <c r="DI632" s="61"/>
      <c r="DJ632" s="61"/>
      <c r="DK632" s="61"/>
      <c r="DL632" s="61"/>
      <c r="DM632" s="61"/>
      <c r="DN632" s="61"/>
      <c r="DO632" s="61"/>
      <c r="DP632" s="61"/>
      <c r="DQ632" s="61"/>
      <c r="DR632" s="61"/>
      <c r="DS632" s="61"/>
      <c r="DT632" s="61"/>
      <c r="DU632" s="61"/>
      <c r="DV632" s="61"/>
      <c r="DW632" s="61"/>
      <c r="DX632" s="61"/>
      <c r="DY632" s="61"/>
      <c r="DZ632" s="61"/>
      <c r="EA632" s="61"/>
      <c r="EB632" s="61"/>
      <c r="EC632" s="61"/>
      <c r="ED632" s="61"/>
      <c r="EE632" s="61"/>
      <c r="EF632" s="61"/>
      <c r="EG632" s="61"/>
      <c r="EH632" s="61"/>
      <c r="EI632" s="61"/>
      <c r="EJ632" s="61"/>
      <c r="EK632" s="61"/>
      <c r="EL632" s="61"/>
      <c r="EM632" s="61"/>
      <c r="EN632" s="61"/>
      <c r="EO632" s="61"/>
      <c r="EP632" s="61"/>
      <c r="EQ632" s="61"/>
      <c r="ER632" s="61"/>
      <c r="ES632" s="61"/>
      <c r="ET632" s="61"/>
      <c r="EU632" s="61"/>
      <c r="EV632" s="61"/>
      <c r="EW632" s="61"/>
    </row>
    <row r="633" spans="1:153">
      <c r="A633" s="56">
        <v>45839</v>
      </c>
      <c r="B633" s="57">
        <f t="shared" si="54"/>
        <v>2025</v>
      </c>
      <c r="C633" s="7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71"/>
      <c r="P633" s="60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0"/>
      <c r="AC633" s="62"/>
      <c r="AD633" s="61"/>
      <c r="AE633" s="61"/>
      <c r="AF633" s="61"/>
      <c r="AG633" s="61"/>
      <c r="AH633" s="61"/>
      <c r="AI633" s="61"/>
      <c r="AJ633" s="61"/>
      <c r="AK633" s="62"/>
      <c r="AL633" s="63">
        <f t="shared" si="53"/>
        <v>0</v>
      </c>
      <c r="AM633" s="64"/>
      <c r="AN633" s="65"/>
      <c r="AO633" s="61"/>
      <c r="AP633" s="61"/>
      <c r="AQ633" s="61"/>
      <c r="AR633" s="61"/>
      <c r="AS633" s="61"/>
      <c r="AT633" s="61"/>
      <c r="AU633" s="61"/>
      <c r="AV633" s="61"/>
      <c r="AW633" s="61"/>
      <c r="AX633" s="65"/>
      <c r="AY633" s="66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6"/>
      <c r="BL633" s="67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7"/>
      <c r="BY633" s="61"/>
      <c r="BZ633" s="61"/>
      <c r="CA633" s="61"/>
      <c r="CB633" s="61"/>
      <c r="CC633" s="61"/>
      <c r="CD633" s="61"/>
      <c r="CE633" s="64"/>
      <c r="CF633" s="64"/>
      <c r="CG633" s="63"/>
      <c r="CH633" s="63"/>
      <c r="CI633" s="63"/>
      <c r="CJ633" s="63"/>
      <c r="CK633" s="63"/>
      <c r="CL633" s="70"/>
      <c r="CM633" s="61"/>
      <c r="CN633" s="61"/>
      <c r="CO633" s="61"/>
      <c r="CP633" s="61"/>
      <c r="CQ633" s="61"/>
      <c r="CR633" s="61"/>
      <c r="CS633" s="61"/>
      <c r="CT633" s="61"/>
      <c r="CU633" s="61"/>
      <c r="CV633" s="61"/>
      <c r="CW633" s="61"/>
      <c r="CX633" s="61"/>
      <c r="CY633" s="61"/>
      <c r="CZ633" s="61"/>
      <c r="DA633" s="61"/>
      <c r="DB633" s="61"/>
      <c r="DC633" s="61"/>
      <c r="DD633" s="61"/>
      <c r="DE633" s="61"/>
      <c r="DF633" s="61"/>
      <c r="DG633" s="61"/>
      <c r="DH633" s="61"/>
      <c r="DI633" s="61"/>
      <c r="DJ633" s="61"/>
      <c r="DK633" s="61"/>
      <c r="DL633" s="61"/>
      <c r="DM633" s="61"/>
      <c r="DN633" s="61"/>
      <c r="DO633" s="61"/>
      <c r="DP633" s="61"/>
      <c r="DQ633" s="61"/>
      <c r="DR633" s="61"/>
      <c r="DS633" s="61"/>
      <c r="DT633" s="61"/>
      <c r="DU633" s="61"/>
      <c r="DV633" s="61"/>
      <c r="DW633" s="61"/>
      <c r="DX633" s="61"/>
      <c r="DY633" s="61"/>
      <c r="DZ633" s="61"/>
      <c r="EA633" s="61"/>
      <c r="EB633" s="61"/>
      <c r="EC633" s="61"/>
      <c r="ED633" s="61"/>
      <c r="EE633" s="61"/>
      <c r="EF633" s="61"/>
      <c r="EG633" s="61"/>
      <c r="EH633" s="61"/>
      <c r="EI633" s="61"/>
      <c r="EJ633" s="61"/>
      <c r="EK633" s="61"/>
      <c r="EL633" s="61"/>
      <c r="EM633" s="61"/>
      <c r="EN633" s="61"/>
      <c r="EO633" s="61"/>
      <c r="EP633" s="61"/>
      <c r="EQ633" s="61"/>
      <c r="ER633" s="61"/>
      <c r="ES633" s="61"/>
      <c r="ET633" s="61"/>
      <c r="EU633" s="61"/>
      <c r="EV633" s="61"/>
      <c r="EW633" s="61"/>
    </row>
    <row r="634" spans="1:153">
      <c r="A634" s="56">
        <v>45870</v>
      </c>
      <c r="B634" s="57">
        <f t="shared" si="54"/>
        <v>2025</v>
      </c>
      <c r="C634" s="7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71"/>
      <c r="P634" s="60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0"/>
      <c r="AC634" s="62"/>
      <c r="AD634" s="61"/>
      <c r="AE634" s="61"/>
      <c r="AF634" s="61"/>
      <c r="AG634" s="61"/>
      <c r="AH634" s="61"/>
      <c r="AI634" s="61"/>
      <c r="AJ634" s="61"/>
      <c r="AK634" s="62"/>
      <c r="AL634" s="63">
        <f t="shared" si="53"/>
        <v>0</v>
      </c>
      <c r="AM634" s="64"/>
      <c r="AN634" s="65"/>
      <c r="AO634" s="61"/>
      <c r="AP634" s="61"/>
      <c r="AQ634" s="61"/>
      <c r="AR634" s="61"/>
      <c r="AS634" s="61"/>
      <c r="AT634" s="61"/>
      <c r="AU634" s="61"/>
      <c r="AV634" s="61"/>
      <c r="AW634" s="61"/>
      <c r="AX634" s="65"/>
      <c r="AY634" s="66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6"/>
      <c r="BL634" s="67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7"/>
      <c r="BY634" s="61"/>
      <c r="BZ634" s="61"/>
      <c r="CA634" s="61"/>
      <c r="CB634" s="61"/>
      <c r="CC634" s="61"/>
      <c r="CD634" s="61"/>
      <c r="CE634" s="64"/>
      <c r="CF634" s="64"/>
      <c r="CG634" s="63"/>
      <c r="CH634" s="63"/>
      <c r="CI634" s="63"/>
      <c r="CJ634" s="63"/>
      <c r="CK634" s="63"/>
      <c r="CL634" s="70"/>
      <c r="CM634" s="61"/>
      <c r="CN634" s="61"/>
      <c r="CO634" s="61"/>
      <c r="CP634" s="61"/>
      <c r="CQ634" s="61"/>
      <c r="CR634" s="61"/>
      <c r="CS634" s="61"/>
      <c r="CT634" s="61"/>
      <c r="CU634" s="61"/>
      <c r="CV634" s="61"/>
      <c r="CW634" s="61"/>
      <c r="CX634" s="61"/>
      <c r="CY634" s="61"/>
      <c r="CZ634" s="61"/>
      <c r="DA634" s="61"/>
      <c r="DB634" s="61"/>
      <c r="DC634" s="61"/>
      <c r="DD634" s="61"/>
      <c r="DE634" s="61"/>
      <c r="DF634" s="61"/>
      <c r="DG634" s="61"/>
      <c r="DH634" s="61"/>
      <c r="DI634" s="61"/>
      <c r="DJ634" s="61"/>
      <c r="DK634" s="61"/>
      <c r="DL634" s="61"/>
      <c r="DM634" s="61"/>
      <c r="DN634" s="61"/>
      <c r="DO634" s="61"/>
      <c r="DP634" s="61"/>
      <c r="DQ634" s="61"/>
      <c r="DR634" s="61"/>
      <c r="DS634" s="61"/>
      <c r="DT634" s="61"/>
      <c r="DU634" s="61"/>
      <c r="DV634" s="61"/>
      <c r="DW634" s="61"/>
      <c r="DX634" s="61"/>
      <c r="DY634" s="61"/>
      <c r="DZ634" s="61"/>
      <c r="EA634" s="61"/>
      <c r="EB634" s="61"/>
      <c r="EC634" s="61"/>
      <c r="ED634" s="61"/>
      <c r="EE634" s="61"/>
      <c r="EF634" s="61"/>
      <c r="EG634" s="61"/>
      <c r="EH634" s="61"/>
      <c r="EI634" s="61"/>
      <c r="EJ634" s="61"/>
      <c r="EK634" s="61"/>
      <c r="EL634" s="61"/>
      <c r="EM634" s="61"/>
      <c r="EN634" s="61"/>
      <c r="EO634" s="61"/>
      <c r="EP634" s="61"/>
      <c r="EQ634" s="61"/>
      <c r="ER634" s="61"/>
      <c r="ES634" s="61"/>
      <c r="ET634" s="61"/>
      <c r="EU634" s="61"/>
      <c r="EV634" s="61"/>
      <c r="EW634" s="61"/>
    </row>
    <row r="635" spans="1:153">
      <c r="A635" s="56">
        <v>45901</v>
      </c>
      <c r="B635" s="57">
        <f t="shared" si="54"/>
        <v>2025</v>
      </c>
      <c r="C635" s="7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71"/>
      <c r="P635" s="60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0"/>
      <c r="AC635" s="62"/>
      <c r="AD635" s="61"/>
      <c r="AE635" s="61"/>
      <c r="AF635" s="61"/>
      <c r="AG635" s="61"/>
      <c r="AH635" s="61"/>
      <c r="AI635" s="61"/>
      <c r="AJ635" s="61"/>
      <c r="AK635" s="62"/>
      <c r="AL635" s="63">
        <f t="shared" si="53"/>
        <v>0</v>
      </c>
      <c r="AM635" s="64"/>
      <c r="AN635" s="65"/>
      <c r="AO635" s="61"/>
      <c r="AP635" s="61"/>
      <c r="AQ635" s="61"/>
      <c r="AR635" s="61"/>
      <c r="AS635" s="61"/>
      <c r="AT635" s="61"/>
      <c r="AU635" s="61"/>
      <c r="AV635" s="61"/>
      <c r="AW635" s="61"/>
      <c r="AX635" s="65"/>
      <c r="AY635" s="66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6"/>
      <c r="BL635" s="67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7"/>
      <c r="BY635" s="61"/>
      <c r="BZ635" s="61"/>
      <c r="CA635" s="61"/>
      <c r="CB635" s="61"/>
      <c r="CC635" s="61"/>
      <c r="CD635" s="61"/>
      <c r="CE635" s="64"/>
      <c r="CF635" s="64"/>
      <c r="CG635" s="63"/>
      <c r="CH635" s="63"/>
      <c r="CI635" s="63"/>
      <c r="CJ635" s="63"/>
      <c r="CK635" s="63"/>
      <c r="CL635" s="70"/>
      <c r="CM635" s="61"/>
      <c r="CN635" s="61"/>
      <c r="CO635" s="61"/>
      <c r="CP635" s="61"/>
      <c r="CQ635" s="61"/>
      <c r="CR635" s="61"/>
      <c r="CS635" s="61"/>
      <c r="CT635" s="61"/>
      <c r="CU635" s="61"/>
      <c r="CV635" s="61"/>
      <c r="CW635" s="61"/>
      <c r="CX635" s="61"/>
      <c r="CY635" s="61"/>
      <c r="CZ635" s="61"/>
      <c r="DA635" s="61"/>
      <c r="DB635" s="61"/>
      <c r="DC635" s="61"/>
      <c r="DD635" s="61"/>
      <c r="DE635" s="61"/>
      <c r="DF635" s="61"/>
      <c r="DG635" s="61"/>
      <c r="DH635" s="61"/>
      <c r="DI635" s="61"/>
      <c r="DJ635" s="61"/>
      <c r="DK635" s="61"/>
      <c r="DL635" s="61"/>
      <c r="DM635" s="61"/>
      <c r="DN635" s="61"/>
      <c r="DO635" s="61"/>
      <c r="DP635" s="61"/>
      <c r="DQ635" s="61"/>
      <c r="DR635" s="61"/>
      <c r="DS635" s="61"/>
      <c r="DT635" s="61"/>
      <c r="DU635" s="61"/>
      <c r="DV635" s="61"/>
      <c r="DW635" s="61"/>
      <c r="DX635" s="61"/>
      <c r="DY635" s="61"/>
      <c r="DZ635" s="61"/>
      <c r="EA635" s="61"/>
      <c r="EB635" s="61"/>
      <c r="EC635" s="61"/>
      <c r="ED635" s="61"/>
      <c r="EE635" s="61"/>
      <c r="EF635" s="61"/>
      <c r="EG635" s="61"/>
      <c r="EH635" s="61"/>
      <c r="EI635" s="61"/>
      <c r="EJ635" s="61"/>
      <c r="EK635" s="61"/>
      <c r="EL635" s="61"/>
      <c r="EM635" s="61"/>
      <c r="EN635" s="61"/>
      <c r="EO635" s="61"/>
      <c r="EP635" s="61"/>
      <c r="EQ635" s="61"/>
      <c r="ER635" s="61"/>
      <c r="ES635" s="61"/>
      <c r="ET635" s="61"/>
      <c r="EU635" s="61"/>
      <c r="EV635" s="61"/>
      <c r="EW635" s="61"/>
    </row>
    <row r="636" spans="1:153">
      <c r="A636" s="56">
        <v>45931</v>
      </c>
      <c r="B636" s="57">
        <f t="shared" si="54"/>
        <v>2025</v>
      </c>
      <c r="C636" s="7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71"/>
      <c r="P636" s="60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0"/>
      <c r="AC636" s="62"/>
      <c r="AD636" s="61"/>
      <c r="AE636" s="61"/>
      <c r="AF636" s="61"/>
      <c r="AG636" s="61"/>
      <c r="AH636" s="61"/>
      <c r="AI636" s="61"/>
      <c r="AJ636" s="61"/>
      <c r="AK636" s="62"/>
      <c r="AL636" s="63">
        <f t="shared" si="53"/>
        <v>0</v>
      </c>
      <c r="AM636" s="64"/>
      <c r="AN636" s="65"/>
      <c r="AO636" s="61"/>
      <c r="AP636" s="61"/>
      <c r="AQ636" s="61"/>
      <c r="AR636" s="61"/>
      <c r="AS636" s="61"/>
      <c r="AT636" s="61"/>
      <c r="AU636" s="61"/>
      <c r="AV636" s="61"/>
      <c r="AW636" s="61"/>
      <c r="AX636" s="65"/>
      <c r="AY636" s="66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6"/>
      <c r="BL636" s="67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7"/>
      <c r="BY636" s="61"/>
      <c r="BZ636" s="61"/>
      <c r="CA636" s="61"/>
      <c r="CB636" s="61"/>
      <c r="CC636" s="61"/>
      <c r="CD636" s="61"/>
      <c r="CE636" s="64"/>
      <c r="CF636" s="64"/>
      <c r="CG636" s="63"/>
      <c r="CH636" s="63"/>
      <c r="CI636" s="63"/>
      <c r="CJ636" s="63"/>
      <c r="CK636" s="63"/>
      <c r="CL636" s="70"/>
      <c r="CM636" s="61"/>
      <c r="CN636" s="61"/>
      <c r="CO636" s="61"/>
      <c r="CP636" s="61"/>
      <c r="CQ636" s="61"/>
      <c r="CR636" s="61"/>
      <c r="CS636" s="61"/>
      <c r="CT636" s="61"/>
      <c r="CU636" s="61"/>
      <c r="CV636" s="61"/>
      <c r="CW636" s="61"/>
      <c r="CX636" s="61"/>
      <c r="CY636" s="61"/>
      <c r="CZ636" s="61"/>
      <c r="DA636" s="61"/>
      <c r="DB636" s="61"/>
      <c r="DC636" s="61"/>
      <c r="DD636" s="61"/>
      <c r="DE636" s="61"/>
      <c r="DF636" s="61"/>
      <c r="DG636" s="61"/>
      <c r="DH636" s="61"/>
      <c r="DI636" s="61"/>
      <c r="DJ636" s="61"/>
      <c r="DK636" s="61"/>
      <c r="DL636" s="61"/>
      <c r="DM636" s="61"/>
      <c r="DN636" s="61"/>
      <c r="DO636" s="61"/>
      <c r="DP636" s="61"/>
      <c r="DQ636" s="61"/>
      <c r="DR636" s="61"/>
      <c r="DS636" s="61"/>
      <c r="DT636" s="61"/>
      <c r="DU636" s="61"/>
      <c r="DV636" s="61"/>
      <c r="DW636" s="61"/>
      <c r="DX636" s="61"/>
      <c r="DY636" s="61"/>
      <c r="DZ636" s="61"/>
      <c r="EA636" s="61"/>
      <c r="EB636" s="61"/>
      <c r="EC636" s="61"/>
      <c r="ED636" s="61"/>
      <c r="EE636" s="61"/>
      <c r="EF636" s="61"/>
      <c r="EG636" s="61"/>
      <c r="EH636" s="61"/>
      <c r="EI636" s="61"/>
      <c r="EJ636" s="61"/>
      <c r="EK636" s="61"/>
      <c r="EL636" s="61"/>
      <c r="EM636" s="61"/>
      <c r="EN636" s="61"/>
      <c r="EO636" s="61"/>
      <c r="EP636" s="61"/>
      <c r="EQ636" s="61"/>
      <c r="ER636" s="61"/>
      <c r="ES636" s="61"/>
      <c r="ET636" s="61"/>
      <c r="EU636" s="61"/>
      <c r="EV636" s="61"/>
      <c r="EW636" s="61"/>
    </row>
    <row r="637" spans="1:153">
      <c r="A637" s="56">
        <v>45962</v>
      </c>
      <c r="B637" s="57">
        <f t="shared" si="54"/>
        <v>2025</v>
      </c>
      <c r="C637" s="7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71"/>
      <c r="P637" s="60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0"/>
      <c r="AC637" s="62"/>
      <c r="AD637" s="61"/>
      <c r="AE637" s="61"/>
      <c r="AF637" s="61"/>
      <c r="AG637" s="61"/>
      <c r="AH637" s="61"/>
      <c r="AI637" s="61"/>
      <c r="AJ637" s="61"/>
      <c r="AK637" s="62"/>
      <c r="AL637" s="63">
        <f t="shared" si="53"/>
        <v>0</v>
      </c>
      <c r="AM637" s="64"/>
      <c r="AN637" s="65"/>
      <c r="AO637" s="61"/>
      <c r="AP637" s="61"/>
      <c r="AQ637" s="61"/>
      <c r="AR637" s="61"/>
      <c r="AS637" s="61"/>
      <c r="AT637" s="61"/>
      <c r="AU637" s="61"/>
      <c r="AV637" s="61"/>
      <c r="AW637" s="61"/>
      <c r="AX637" s="65"/>
      <c r="AY637" s="66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6"/>
      <c r="BL637" s="67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7"/>
      <c r="BY637" s="61"/>
      <c r="BZ637" s="61"/>
      <c r="CA637" s="61"/>
      <c r="CB637" s="61"/>
      <c r="CC637" s="61"/>
      <c r="CD637" s="61"/>
      <c r="CE637" s="64"/>
      <c r="CF637" s="64"/>
      <c r="CG637" s="63"/>
      <c r="CH637" s="63"/>
      <c r="CI637" s="63"/>
      <c r="CJ637" s="63"/>
      <c r="CK637" s="63"/>
      <c r="CL637" s="70"/>
      <c r="CM637" s="61"/>
      <c r="CN637" s="61"/>
      <c r="CO637" s="61"/>
      <c r="CP637" s="61"/>
      <c r="CQ637" s="61"/>
      <c r="CR637" s="61"/>
      <c r="CS637" s="61"/>
      <c r="CT637" s="61"/>
      <c r="CU637" s="61"/>
      <c r="CV637" s="61"/>
      <c r="CW637" s="61"/>
      <c r="CX637" s="61"/>
      <c r="CY637" s="61"/>
      <c r="CZ637" s="61"/>
      <c r="DA637" s="61"/>
      <c r="DB637" s="61"/>
      <c r="DC637" s="61"/>
      <c r="DD637" s="61"/>
      <c r="DE637" s="61"/>
      <c r="DF637" s="61"/>
      <c r="DG637" s="61"/>
      <c r="DH637" s="61"/>
      <c r="DI637" s="61"/>
      <c r="DJ637" s="61"/>
      <c r="DK637" s="61"/>
      <c r="DL637" s="61"/>
      <c r="DM637" s="61"/>
      <c r="DN637" s="61"/>
      <c r="DO637" s="61"/>
      <c r="DP637" s="61"/>
      <c r="DQ637" s="61"/>
      <c r="DR637" s="61"/>
      <c r="DS637" s="61"/>
      <c r="DT637" s="61"/>
      <c r="DU637" s="61"/>
      <c r="DV637" s="61"/>
      <c r="DW637" s="61"/>
      <c r="DX637" s="61"/>
      <c r="DY637" s="61"/>
      <c r="DZ637" s="61"/>
      <c r="EA637" s="61"/>
      <c r="EB637" s="61"/>
      <c r="EC637" s="61"/>
      <c r="ED637" s="61"/>
      <c r="EE637" s="61"/>
      <c r="EF637" s="61"/>
      <c r="EG637" s="61"/>
      <c r="EH637" s="61"/>
      <c r="EI637" s="61"/>
      <c r="EJ637" s="61"/>
      <c r="EK637" s="61"/>
      <c r="EL637" s="61"/>
      <c r="EM637" s="61"/>
      <c r="EN637" s="61"/>
      <c r="EO637" s="61"/>
      <c r="EP637" s="61"/>
      <c r="EQ637" s="61"/>
      <c r="ER637" s="61"/>
      <c r="ES637" s="61"/>
      <c r="ET637" s="61"/>
      <c r="EU637" s="61"/>
      <c r="EV637" s="61"/>
      <c r="EW637" s="61"/>
    </row>
    <row r="638" spans="1:153">
      <c r="A638" s="56">
        <v>45992</v>
      </c>
      <c r="B638" s="57">
        <f t="shared" si="54"/>
        <v>2025</v>
      </c>
      <c r="C638" s="7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71"/>
      <c r="P638" s="60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0"/>
      <c r="AC638" s="62"/>
      <c r="AD638" s="61"/>
      <c r="AE638" s="61"/>
      <c r="AF638" s="61"/>
      <c r="AG638" s="61"/>
      <c r="AH638" s="61"/>
      <c r="AI638" s="61"/>
      <c r="AJ638" s="61"/>
      <c r="AK638" s="62"/>
      <c r="AL638" s="63">
        <f t="shared" si="53"/>
        <v>0</v>
      </c>
      <c r="AM638" s="64"/>
      <c r="AN638" s="65"/>
      <c r="AO638" s="61"/>
      <c r="AP638" s="61"/>
      <c r="AQ638" s="61"/>
      <c r="AR638" s="61"/>
      <c r="AS638" s="61"/>
      <c r="AT638" s="61"/>
      <c r="AU638" s="61"/>
      <c r="AV638" s="61"/>
      <c r="AW638" s="61"/>
      <c r="AX638" s="65"/>
      <c r="AY638" s="66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6"/>
      <c r="BL638" s="67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7"/>
      <c r="BY638" s="61"/>
      <c r="BZ638" s="61"/>
      <c r="CA638" s="61"/>
      <c r="CB638" s="61"/>
      <c r="CC638" s="61"/>
      <c r="CD638" s="61"/>
      <c r="CE638" s="64"/>
      <c r="CF638" s="64"/>
      <c r="CG638" s="63"/>
      <c r="CH638" s="63"/>
      <c r="CI638" s="63"/>
      <c r="CJ638" s="63"/>
      <c r="CK638" s="63"/>
      <c r="CL638" s="70"/>
      <c r="CM638" s="61"/>
      <c r="CN638" s="61"/>
      <c r="CO638" s="61"/>
      <c r="CP638" s="61"/>
      <c r="CQ638" s="61"/>
      <c r="CR638" s="61"/>
      <c r="CS638" s="61"/>
      <c r="CT638" s="61"/>
      <c r="CU638" s="61"/>
      <c r="CV638" s="61"/>
      <c r="CW638" s="61"/>
      <c r="CX638" s="61"/>
      <c r="CY638" s="61"/>
      <c r="CZ638" s="61"/>
      <c r="DA638" s="61"/>
      <c r="DB638" s="61"/>
      <c r="DC638" s="61"/>
      <c r="DD638" s="61"/>
      <c r="DE638" s="61"/>
      <c r="DF638" s="61"/>
      <c r="DG638" s="61"/>
      <c r="DH638" s="61"/>
      <c r="DI638" s="61"/>
      <c r="DJ638" s="61"/>
      <c r="DK638" s="61"/>
      <c r="DL638" s="61"/>
      <c r="DM638" s="61"/>
      <c r="DN638" s="61"/>
      <c r="DO638" s="61"/>
      <c r="DP638" s="61"/>
      <c r="DQ638" s="61"/>
      <c r="DR638" s="61"/>
      <c r="DS638" s="61"/>
      <c r="DT638" s="61"/>
      <c r="DU638" s="61"/>
      <c r="DV638" s="61"/>
      <c r="DW638" s="61"/>
      <c r="DX638" s="61"/>
      <c r="DY638" s="61"/>
      <c r="DZ638" s="61"/>
      <c r="EA638" s="61"/>
      <c r="EB638" s="61"/>
      <c r="EC638" s="61"/>
      <c r="ED638" s="61"/>
      <c r="EE638" s="61"/>
      <c r="EF638" s="61"/>
      <c r="EG638" s="61"/>
      <c r="EH638" s="61"/>
      <c r="EI638" s="61"/>
      <c r="EJ638" s="61"/>
      <c r="EK638" s="61"/>
      <c r="EL638" s="61"/>
      <c r="EM638" s="61"/>
      <c r="EN638" s="61"/>
      <c r="EO638" s="61"/>
      <c r="EP638" s="61"/>
      <c r="EQ638" s="61"/>
      <c r="ER638" s="61"/>
      <c r="ES638" s="61"/>
      <c r="ET638" s="61"/>
      <c r="EU638" s="61"/>
      <c r="EV638" s="61"/>
      <c r="EW638" s="61"/>
    </row>
  </sheetData>
  <hyperlinks>
    <hyperlink ref="BZ2" r:id="rId1" xr:uid="{31A91A99-66CA-4EA0-BDB6-825DBFADAD87}"/>
    <hyperlink ref="BY2" r:id="rId2" xr:uid="{460C2CBA-C4F7-41AE-BBBD-7A6D0E5B7149}"/>
    <hyperlink ref="CA2" r:id="rId3" xr:uid="{D65431A6-C4E3-405D-A34B-57977B256D54}"/>
    <hyperlink ref="CB2" r:id="rId4" xr:uid="{9743D593-696C-466C-8C95-618F24CEA6B2}"/>
    <hyperlink ref="CC2" r:id="rId5" xr:uid="{4E84109A-A5B1-48D7-A2AF-0A8A3585CE21}"/>
    <hyperlink ref="CD2" r:id="rId6" xr:uid="{3E1F9B95-B96F-405D-A9D0-F533FDA9D07D}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2338-43CB-492F-BD12-0867619C5024}">
  <sheetPr>
    <pageSetUpPr fitToPage="1"/>
  </sheetPr>
  <dimension ref="A1:BR176"/>
  <sheetViews>
    <sheetView showGridLines="0" tabSelected="1" zoomScale="115" zoomScaleNormal="115" workbookViewId="0">
      <pane xSplit="1" ySplit="3" topLeftCell="R4" activePane="bottomRight" state="frozen"/>
      <selection activeCell="B7" sqref="B7"/>
      <selection pane="topRight" activeCell="B7" sqref="B7"/>
      <selection pane="bottomLeft" activeCell="B7" sqref="B7"/>
      <selection pane="bottomRight" activeCell="Z29" sqref="Z29"/>
    </sheetView>
  </sheetViews>
  <sheetFormatPr defaultColWidth="8.85546875" defaultRowHeight="11.25"/>
  <cols>
    <col min="1" max="1" width="53.42578125" style="68" bestFit="1" customWidth="1"/>
    <col min="2" max="23" width="9.28515625" style="68" customWidth="1"/>
    <col min="24" max="24" width="9.28515625" style="234" customWidth="1"/>
    <col min="25" max="51" width="9.28515625" style="68" customWidth="1"/>
    <col min="52" max="52" width="8.85546875" style="235"/>
    <col min="53" max="54" width="9.7109375" style="68" bestFit="1" customWidth="1"/>
    <col min="55" max="55" width="11.140625" style="68" bestFit="1" customWidth="1"/>
    <col min="56" max="56" width="9.7109375" style="68" bestFit="1" customWidth="1"/>
    <col min="57" max="57" width="8.85546875" style="68"/>
    <col min="58" max="61" width="9" style="68" bestFit="1" customWidth="1"/>
    <col min="62" max="64" width="8.85546875" style="68"/>
    <col min="65" max="68" width="9" style="68" bestFit="1" customWidth="1"/>
    <col min="69" max="16384" width="8.85546875" style="68"/>
  </cols>
  <sheetData>
    <row r="1" spans="1:63" s="267" customFormat="1" ht="16.5" thickBot="1">
      <c r="A1" s="308" t="s">
        <v>144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5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6"/>
      <c r="BA1" s="266"/>
      <c r="BB1" s="266"/>
      <c r="BC1" s="266"/>
      <c r="BD1" s="266"/>
      <c r="BE1" s="266"/>
    </row>
    <row r="2" spans="1:63" ht="12" thickTop="1">
      <c r="A2" s="209"/>
      <c r="B2" s="268">
        <v>2001</v>
      </c>
      <c r="C2" s="268">
        <v>2002</v>
      </c>
      <c r="D2" s="268">
        <v>2003</v>
      </c>
      <c r="E2" s="268">
        <v>2004</v>
      </c>
      <c r="F2" s="268">
        <v>2005</v>
      </c>
      <c r="G2" s="268">
        <v>2006</v>
      </c>
      <c r="H2" s="268">
        <v>2007</v>
      </c>
      <c r="I2" s="268">
        <v>2008</v>
      </c>
      <c r="J2" s="268">
        <v>2009</v>
      </c>
      <c r="K2" s="268">
        <v>2010</v>
      </c>
      <c r="L2" s="268">
        <v>2011</v>
      </c>
      <c r="M2" s="268">
        <v>2012</v>
      </c>
      <c r="N2" s="268">
        <v>2013</v>
      </c>
      <c r="O2" s="268">
        <v>2014</v>
      </c>
      <c r="P2" s="268">
        <v>2015</v>
      </c>
      <c r="Q2" s="268">
        <v>2016</v>
      </c>
      <c r="R2" s="268">
        <v>2017</v>
      </c>
      <c r="S2" s="268">
        <v>2018</v>
      </c>
      <c r="T2" s="268">
        <v>2019</v>
      </c>
      <c r="U2" s="268">
        <v>2020</v>
      </c>
      <c r="V2" s="268">
        <v>2021</v>
      </c>
      <c r="W2" s="268">
        <v>2022</v>
      </c>
      <c r="X2" s="268">
        <v>2023</v>
      </c>
      <c r="Y2" s="268">
        <v>2024</v>
      </c>
      <c r="Z2" s="268">
        <v>2025</v>
      </c>
      <c r="AA2" s="268">
        <v>2026</v>
      </c>
      <c r="AB2" s="268">
        <v>2027</v>
      </c>
      <c r="AC2" s="268">
        <v>2028</v>
      </c>
      <c r="AD2" s="268">
        <v>2029</v>
      </c>
      <c r="AE2" s="268">
        <v>2030</v>
      </c>
      <c r="AF2" s="268">
        <v>2031</v>
      </c>
      <c r="AG2" s="268">
        <v>2032</v>
      </c>
      <c r="AH2" s="268">
        <v>2033</v>
      </c>
      <c r="AI2" s="268">
        <v>2034</v>
      </c>
      <c r="AJ2" s="268">
        <v>2035</v>
      </c>
      <c r="AK2" s="268">
        <v>2036</v>
      </c>
      <c r="AL2" s="268">
        <v>2037</v>
      </c>
      <c r="AM2" s="268">
        <v>2038</v>
      </c>
      <c r="AN2" s="268">
        <v>2039</v>
      </c>
      <c r="AO2" s="268">
        <v>2040</v>
      </c>
      <c r="AP2" s="268">
        <v>2041</v>
      </c>
      <c r="AQ2" s="268">
        <v>2042</v>
      </c>
      <c r="AR2" s="268">
        <v>2043</v>
      </c>
      <c r="AS2" s="268">
        <v>2044</v>
      </c>
      <c r="AT2" s="268">
        <v>2045</v>
      </c>
      <c r="AU2" s="268">
        <v>2046</v>
      </c>
      <c r="AV2" s="268">
        <v>2047</v>
      </c>
      <c r="AW2" s="268">
        <v>2048</v>
      </c>
      <c r="AX2" s="268">
        <v>2049</v>
      </c>
      <c r="AY2" s="268">
        <v>2050</v>
      </c>
      <c r="AZ2" s="268"/>
      <c r="BA2" s="269" t="s">
        <v>145</v>
      </c>
      <c r="BB2" s="269" t="s">
        <v>146</v>
      </c>
      <c r="BC2" s="269" t="s">
        <v>147</v>
      </c>
      <c r="BD2" s="269"/>
      <c r="BE2" s="268"/>
    </row>
    <row r="3" spans="1:63" hidden="1">
      <c r="A3" s="200" t="s">
        <v>148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E3" s="207"/>
    </row>
    <row r="4" spans="1:63">
      <c r="A4" s="209" t="s">
        <v>149</v>
      </c>
      <c r="B4" s="211">
        <v>0</v>
      </c>
      <c r="C4" s="211">
        <f t="shared" ref="C4:K4" si="0">B12</f>
        <v>0</v>
      </c>
      <c r="D4" s="211">
        <f t="shared" si="0"/>
        <v>0</v>
      </c>
      <c r="E4" s="211">
        <f t="shared" si="0"/>
        <v>0</v>
      </c>
      <c r="F4" s="211">
        <f t="shared" si="0"/>
        <v>0</v>
      </c>
      <c r="G4" s="211">
        <f t="shared" si="0"/>
        <v>0</v>
      </c>
      <c r="H4" s="211">
        <f t="shared" si="0"/>
        <v>0</v>
      </c>
      <c r="I4" s="211">
        <f t="shared" si="0"/>
        <v>0</v>
      </c>
      <c r="J4" s="211">
        <f t="shared" si="0"/>
        <v>0</v>
      </c>
      <c r="K4" s="211">
        <f t="shared" si="0"/>
        <v>29.861999999999998</v>
      </c>
      <c r="L4" s="211">
        <f>K12</f>
        <v>28.224</v>
      </c>
      <c r="M4" s="211">
        <f>L12</f>
        <v>91.380870000000016</v>
      </c>
      <c r="N4" s="211">
        <f t="shared" ref="N4:AY4" si="1">M12</f>
        <v>83.342952000000011</v>
      </c>
      <c r="O4" s="211">
        <f t="shared" si="1"/>
        <v>160.007778</v>
      </c>
      <c r="P4" s="211">
        <f t="shared" si="1"/>
        <v>131.485998</v>
      </c>
      <c r="Q4" s="211">
        <f t="shared" si="1"/>
        <v>165.61855799999998</v>
      </c>
      <c r="R4" s="211">
        <f t="shared" si="1"/>
        <v>268.70508000000001</v>
      </c>
      <c r="S4" s="211">
        <f t="shared" si="1"/>
        <v>179.25385799999998</v>
      </c>
      <c r="T4" s="211">
        <f t="shared" si="1"/>
        <v>195.81311399999998</v>
      </c>
      <c r="U4" s="211">
        <f t="shared" si="1"/>
        <v>164.07808199999999</v>
      </c>
      <c r="V4" s="211">
        <f t="shared" si="1"/>
        <v>153.94617000000002</v>
      </c>
      <c r="W4" s="211">
        <f t="shared" si="1"/>
        <v>175.87495799999999</v>
      </c>
      <c r="X4" s="211">
        <f t="shared" si="1"/>
        <v>151.529742</v>
      </c>
      <c r="Y4" s="211">
        <f t="shared" si="1"/>
        <v>160.165908</v>
      </c>
      <c r="Z4" s="212">
        <f t="shared" si="1"/>
        <v>291.37155999999959</v>
      </c>
      <c r="AA4" s="212">
        <f t="shared" si="1"/>
        <v>510.06955750798716</v>
      </c>
      <c r="AB4" s="212">
        <f t="shared" si="1"/>
        <v>865.91214286846298</v>
      </c>
      <c r="AC4" s="212">
        <f t="shared" si="1"/>
        <v>1081.1982033429713</v>
      </c>
      <c r="AD4" s="212">
        <f t="shared" si="1"/>
        <v>1498.1565911942007</v>
      </c>
      <c r="AE4" s="212">
        <f t="shared" si="1"/>
        <v>1869.2380366160296</v>
      </c>
      <c r="AF4" s="212">
        <f t="shared" si="1"/>
        <v>2241.8941513480618</v>
      </c>
      <c r="AG4" s="212">
        <f t="shared" si="1"/>
        <v>2586.6971571164754</v>
      </c>
      <c r="AH4" s="212">
        <f t="shared" si="1"/>
        <v>2890.5892114423732</v>
      </c>
      <c r="AI4" s="212">
        <f t="shared" si="1"/>
        <v>3246.7513244834226</v>
      </c>
      <c r="AJ4" s="212">
        <f t="shared" si="1"/>
        <v>3591.8643856716126</v>
      </c>
      <c r="AK4" s="212">
        <f t="shared" si="1"/>
        <v>3969.7083769796363</v>
      </c>
      <c r="AL4" s="212">
        <f t="shared" si="1"/>
        <v>4336.9213714777761</v>
      </c>
      <c r="AM4" s="212">
        <f t="shared" si="1"/>
        <v>4808.5354028618822</v>
      </c>
      <c r="AN4" s="212">
        <f t="shared" si="1"/>
        <v>5243.7975952463048</v>
      </c>
      <c r="AO4" s="212">
        <f t="shared" si="1"/>
        <v>5746.6125528189759</v>
      </c>
      <c r="AP4" s="212" t="e">
        <f t="shared" si="1"/>
        <v>#NUM!</v>
      </c>
      <c r="AQ4" s="212" t="e">
        <f t="shared" si="1"/>
        <v>#NUM!</v>
      </c>
      <c r="AR4" s="212" t="e">
        <f t="shared" si="1"/>
        <v>#NUM!</v>
      </c>
      <c r="AS4" s="212" t="e">
        <f t="shared" si="1"/>
        <v>#NUM!</v>
      </c>
      <c r="AT4" s="212" t="e">
        <f t="shared" si="1"/>
        <v>#NUM!</v>
      </c>
      <c r="AU4" s="212" t="e">
        <f t="shared" si="1"/>
        <v>#NUM!</v>
      </c>
      <c r="AV4" s="212" t="e">
        <f t="shared" si="1"/>
        <v>#NUM!</v>
      </c>
      <c r="AW4" s="212" t="e">
        <f t="shared" si="1"/>
        <v>#NUM!</v>
      </c>
      <c r="AX4" s="212" t="e">
        <f t="shared" si="1"/>
        <v>#NUM!</v>
      </c>
      <c r="AY4" s="212" t="e">
        <f t="shared" si="1"/>
        <v>#NUM!</v>
      </c>
      <c r="AZ4" s="211"/>
      <c r="BA4" s="210"/>
      <c r="BB4" s="210"/>
      <c r="BC4" s="210"/>
      <c r="BD4" s="270"/>
      <c r="BE4" s="210"/>
      <c r="BF4" s="210"/>
      <c r="BG4" s="210"/>
      <c r="BH4" s="210"/>
      <c r="BI4" s="210"/>
      <c r="BJ4" s="210"/>
      <c r="BK4" s="210"/>
    </row>
    <row r="5" spans="1:63">
      <c r="A5" s="209" t="s">
        <v>150</v>
      </c>
      <c r="B5" s="211">
        <f t="shared" ref="B5:V5" si="2">B37</f>
        <v>8.5739999999999998</v>
      </c>
      <c r="C5" s="211">
        <f t="shared" si="2"/>
        <v>10.482000000000001</v>
      </c>
      <c r="D5" s="211">
        <f t="shared" si="2"/>
        <v>14.211000000000002</v>
      </c>
      <c r="E5" s="211">
        <f t="shared" si="2"/>
        <v>27.983000000000004</v>
      </c>
      <c r="F5" s="211">
        <f t="shared" si="2"/>
        <v>90.789000000000001</v>
      </c>
      <c r="G5" s="211">
        <f t="shared" si="2"/>
        <v>250.44000000000003</v>
      </c>
      <c r="H5" s="211">
        <f t="shared" si="2"/>
        <v>489.82600000000002</v>
      </c>
      <c r="I5" s="211">
        <f t="shared" si="2"/>
        <v>678.10699999999997</v>
      </c>
      <c r="J5" s="211">
        <f t="shared" si="2"/>
        <v>515.80700000000002</v>
      </c>
      <c r="K5" s="211">
        <f t="shared" si="2"/>
        <v>343.44400000000002</v>
      </c>
      <c r="L5" s="211">
        <f t="shared" si="2"/>
        <v>967.4799999999999</v>
      </c>
      <c r="M5" s="211">
        <f t="shared" si="2"/>
        <v>990.7120000000001</v>
      </c>
      <c r="N5" s="211">
        <f t="shared" si="2"/>
        <v>1359.4559999999997</v>
      </c>
      <c r="O5" s="211">
        <f t="shared" si="2"/>
        <v>1278.9789999999998</v>
      </c>
      <c r="P5" s="211">
        <f t="shared" si="2"/>
        <v>1263.3470000000002</v>
      </c>
      <c r="Q5" s="211">
        <f t="shared" si="2"/>
        <v>1567.73</v>
      </c>
      <c r="R5" s="211">
        <f t="shared" si="2"/>
        <v>1595.7089999999998</v>
      </c>
      <c r="S5" s="211">
        <f t="shared" si="2"/>
        <v>1857.318</v>
      </c>
      <c r="T5" s="211">
        <f t="shared" si="2"/>
        <v>1724.5050000000001</v>
      </c>
      <c r="U5" s="211">
        <f t="shared" si="2"/>
        <v>1814.6990000000001</v>
      </c>
      <c r="V5" s="211">
        <f t="shared" si="2"/>
        <v>1708.8249999999998</v>
      </c>
      <c r="W5" s="211">
        <f>W37</f>
        <v>1622.027</v>
      </c>
      <c r="X5" s="211">
        <f>X37</f>
        <v>1696.8270000000002</v>
      </c>
      <c r="Y5" s="212">
        <f t="shared" ref="Y5:AY5" si="3">Y37</f>
        <v>1683.1543339999998</v>
      </c>
      <c r="Z5" s="212">
        <f t="shared" si="3"/>
        <v>1583.6979975079876</v>
      </c>
      <c r="AA5" s="212">
        <f t="shared" si="3"/>
        <v>1460.8425853604758</v>
      </c>
      <c r="AB5" s="212">
        <f t="shared" si="3"/>
        <v>1470.2860604745085</v>
      </c>
      <c r="AC5" s="212">
        <f t="shared" si="3"/>
        <v>1171.9583878512296</v>
      </c>
      <c r="AD5" s="212">
        <f t="shared" si="3"/>
        <v>1351.0814454218289</v>
      </c>
      <c r="AE5" s="212">
        <f t="shared" si="3"/>
        <v>1367.6561147320322</v>
      </c>
      <c r="AF5" s="212">
        <f t="shared" si="3"/>
        <v>1359.8030057684136</v>
      </c>
      <c r="AG5" s="212">
        <f t="shared" si="3"/>
        <v>1438.8920543258982</v>
      </c>
      <c r="AH5" s="212">
        <f t="shared" si="3"/>
        <v>1351.1621130410497</v>
      </c>
      <c r="AI5" s="212">
        <f t="shared" si="3"/>
        <v>1320.1130611881897</v>
      </c>
      <c r="AJ5" s="212">
        <f t="shared" si="3"/>
        <v>1267.843991308024</v>
      </c>
      <c r="AK5" s="212">
        <f t="shared" si="3"/>
        <v>1062.2129944981396</v>
      </c>
      <c r="AL5" s="212">
        <f t="shared" si="3"/>
        <v>861.61403138410628</v>
      </c>
      <c r="AM5" s="212">
        <f t="shared" si="3"/>
        <v>845.26219238442263</v>
      </c>
      <c r="AN5" s="212">
        <f t="shared" si="3"/>
        <v>702.81495757267112</v>
      </c>
      <c r="AO5" s="212">
        <f t="shared" si="3"/>
        <v>422.33241950028099</v>
      </c>
      <c r="AP5" s="212">
        <f t="shared" si="3"/>
        <v>467.54623562363827</v>
      </c>
      <c r="AQ5" s="212">
        <f t="shared" si="3"/>
        <v>448.63500469407262</v>
      </c>
      <c r="AR5" s="212">
        <f t="shared" si="3"/>
        <v>369.02208329888953</v>
      </c>
      <c r="AS5" s="212">
        <f t="shared" si="3"/>
        <v>372.88866553711733</v>
      </c>
      <c r="AT5" s="212">
        <f t="shared" si="3"/>
        <v>374.34471367332026</v>
      </c>
      <c r="AU5" s="212">
        <f t="shared" si="3"/>
        <v>373.16720447525609</v>
      </c>
      <c r="AV5" s="212">
        <f t="shared" si="3"/>
        <v>373.39552093563475</v>
      </c>
      <c r="AW5" s="212">
        <f t="shared" si="3"/>
        <v>379.5308770604035</v>
      </c>
      <c r="AX5" s="212">
        <f t="shared" si="3"/>
        <v>385.99505619845149</v>
      </c>
      <c r="AY5" s="212">
        <f t="shared" si="3"/>
        <v>394.49491141562794</v>
      </c>
      <c r="AZ5" s="211"/>
      <c r="BA5" s="270">
        <f>(Z5/X5)^(1/3)-1</f>
        <v>-2.2736675575885101E-2</v>
      </c>
      <c r="BB5" s="270">
        <f>(AH5/X5)^(1/11)-1</f>
        <v>-2.0495684157306293E-2</v>
      </c>
      <c r="BC5" s="270">
        <f>(AH5/X5)^(1/8)-1</f>
        <v>-2.8072799301574136E-2</v>
      </c>
      <c r="BD5" s="270">
        <f>(AH5/X5)-1</f>
        <v>-0.20371250985454059</v>
      </c>
      <c r="BE5" s="210"/>
      <c r="BF5" s="210"/>
      <c r="BG5" s="210"/>
    </row>
    <row r="6" spans="1:63" s="278" customFormat="1">
      <c r="A6" s="271" t="s">
        <v>151</v>
      </c>
      <c r="B6" s="272">
        <f t="shared" ref="B6:V6" si="4">B53</f>
        <v>1.9267380952380955</v>
      </c>
      <c r="C6" s="272">
        <f t="shared" si="4"/>
        <v>4.6985952380952378</v>
      </c>
      <c r="D6" s="272">
        <f t="shared" si="4"/>
        <v>2.3048571428571427</v>
      </c>
      <c r="E6" s="272">
        <f t="shared" si="4"/>
        <v>2.3938809523809521</v>
      </c>
      <c r="F6" s="272">
        <f t="shared" si="4"/>
        <v>5.0878571428571426</v>
      </c>
      <c r="G6" s="272">
        <f t="shared" si="4"/>
        <v>26.317</v>
      </c>
      <c r="H6" s="272">
        <f t="shared" si="4"/>
        <v>82.261047619047616</v>
      </c>
      <c r="I6" s="272">
        <f t="shared" si="4"/>
        <v>184.64359523809526</v>
      </c>
      <c r="J6" s="272">
        <f t="shared" si="4"/>
        <v>45.378</v>
      </c>
      <c r="K6" s="272">
        <f t="shared" si="4"/>
        <v>13.427523809523809</v>
      </c>
      <c r="L6" s="272">
        <f t="shared" si="4"/>
        <v>25.784952380952383</v>
      </c>
      <c r="M6" s="272">
        <f t="shared" si="4"/>
        <v>20.30952380952381</v>
      </c>
      <c r="N6" s="272">
        <f t="shared" si="4"/>
        <v>194.09523809523807</v>
      </c>
      <c r="O6" s="272">
        <f t="shared" si="4"/>
        <v>109.00000000000001</v>
      </c>
      <c r="P6" s="272">
        <f t="shared" si="4"/>
        <v>199.97619047619045</v>
      </c>
      <c r="Q6" s="272">
        <f t="shared" si="4"/>
        <v>401.88095238095241</v>
      </c>
      <c r="R6" s="272">
        <f t="shared" si="4"/>
        <v>223.19047619047615</v>
      </c>
      <c r="S6" s="272">
        <f t="shared" si="4"/>
        <v>94.499999999999986</v>
      </c>
      <c r="T6" s="272">
        <f t="shared" si="4"/>
        <v>97.095238095238102</v>
      </c>
      <c r="U6" s="272">
        <f t="shared" si="4"/>
        <v>111.52380952380953</v>
      </c>
      <c r="V6" s="272">
        <f t="shared" si="4"/>
        <v>119.16666666666666</v>
      </c>
      <c r="W6" s="272">
        <f>W53</f>
        <v>141.66666666666666</v>
      </c>
      <c r="X6" s="272">
        <f>X53</f>
        <v>284.02380952380952</v>
      </c>
      <c r="Y6" s="273">
        <f>[8]Biodiesel!P$131/1000000</f>
        <v>398.05131799999998</v>
      </c>
      <c r="Z6" s="273">
        <f>[8]Biodiesel!Q$131/1000000</f>
        <v>340</v>
      </c>
      <c r="AA6" s="273">
        <f>[8]Biodiesel!R$131/1000000</f>
        <v>190.00000000000006</v>
      </c>
      <c r="AB6" s="273">
        <f>[8]Biodiesel!S$131/1000000</f>
        <v>200</v>
      </c>
      <c r="AC6" s="273">
        <f>[8]Biodiesel!T$131/1000000</f>
        <v>220</v>
      </c>
      <c r="AD6" s="273">
        <f>[8]Biodiesel!U$131/1000000</f>
        <v>219.99999999999997</v>
      </c>
      <c r="AE6" s="273">
        <f>[8]Biodiesel!V$131/1000000</f>
        <v>230.00000000000006</v>
      </c>
      <c r="AF6" s="273">
        <f>[8]Biodiesel!W$131/1000000</f>
        <v>210</v>
      </c>
      <c r="AG6" s="273">
        <f>[8]Biodiesel!X$131/1000000</f>
        <v>189.99999999999994</v>
      </c>
      <c r="AH6" s="273">
        <f>[8]Biodiesel!Y$131/1000000</f>
        <v>180</v>
      </c>
      <c r="AI6" s="273">
        <f>[8]Biodiesel!Z$131/1000000</f>
        <v>175</v>
      </c>
      <c r="AJ6" s="273">
        <f>[8]Biodiesel!AA$131/1000000</f>
        <v>160</v>
      </c>
      <c r="AK6" s="273">
        <f>[8]Biodiesel!AB$131/1000000</f>
        <v>130</v>
      </c>
      <c r="AL6" s="273">
        <f>[8]Biodiesel!AC$131/1000000</f>
        <v>110</v>
      </c>
      <c r="AM6" s="273">
        <f>[8]Biodiesel!AD$131/1000000</f>
        <v>90.000000000000028</v>
      </c>
      <c r="AN6" s="273">
        <f>[8]Biodiesel!AE$131/1000000</f>
        <v>74.999999999999986</v>
      </c>
      <c r="AO6" s="273">
        <f>[8]Biodiesel!AF$131/1000000</f>
        <v>75</v>
      </c>
      <c r="AP6" s="273">
        <f>[8]Biodiesel!AQ$131/1000000</f>
        <v>0</v>
      </c>
      <c r="AQ6" s="273">
        <f>[8]Biodiesel!AR$131/1000000</f>
        <v>0</v>
      </c>
      <c r="AR6" s="273">
        <f>[8]Biodiesel!AS$131/1000000</f>
        <v>0</v>
      </c>
      <c r="AS6" s="273">
        <f>[8]Biodiesel!AT$131/1000000</f>
        <v>0</v>
      </c>
      <c r="AT6" s="273">
        <f>[8]Biodiesel!AU$131/1000000</f>
        <v>0</v>
      </c>
      <c r="AU6" s="273">
        <f>[8]Biodiesel!AV$131/1000000</f>
        <v>0</v>
      </c>
      <c r="AV6" s="273">
        <f>[8]Biodiesel!AW$131/1000000</f>
        <v>0</v>
      </c>
      <c r="AW6" s="273">
        <f>[8]Biodiesel!AX$131/1000000</f>
        <v>0</v>
      </c>
      <c r="AX6" s="273">
        <f>[8]Biodiesel!AY$131/1000000</f>
        <v>0</v>
      </c>
      <c r="AY6" s="273">
        <f>[8]Biodiesel!AZ$131/1000000</f>
        <v>0</v>
      </c>
      <c r="AZ6" s="274"/>
      <c r="BA6" s="275">
        <f t="shared" ref="BA6:BA9" si="5">(Z6/X6)^(1/3)-1</f>
        <v>6.1796744918817259E-2</v>
      </c>
      <c r="BB6" s="275">
        <f t="shared" ref="BB6:BB11" si="6">(AH6/X6)^(1/11)-1</f>
        <v>-4.0615885007740715E-2</v>
      </c>
      <c r="BC6" s="276"/>
      <c r="BD6" s="275">
        <f t="shared" ref="BD6:BD11" si="7">(AH6/X6)-1</f>
        <v>-0.36625031435996314</v>
      </c>
      <c r="BE6" s="277"/>
      <c r="BF6" s="277"/>
      <c r="BG6" s="277"/>
    </row>
    <row r="7" spans="1:63">
      <c r="A7" s="217" t="s">
        <v>152</v>
      </c>
      <c r="B7" s="219">
        <f t="shared" ref="B7:K7" si="8">B4+B5+B6</f>
        <v>10.500738095238095</v>
      </c>
      <c r="C7" s="219">
        <f t="shared" si="8"/>
        <v>15.18059523809524</v>
      </c>
      <c r="D7" s="219">
        <f t="shared" si="8"/>
        <v>16.515857142857143</v>
      </c>
      <c r="E7" s="219">
        <f t="shared" si="8"/>
        <v>30.376880952380958</v>
      </c>
      <c r="F7" s="219">
        <f t="shared" si="8"/>
        <v>95.876857142857148</v>
      </c>
      <c r="G7" s="219">
        <f t="shared" si="8"/>
        <v>276.75700000000001</v>
      </c>
      <c r="H7" s="219">
        <f t="shared" si="8"/>
        <v>572.08704761904767</v>
      </c>
      <c r="I7" s="219">
        <f t="shared" si="8"/>
        <v>862.75059523809523</v>
      </c>
      <c r="J7" s="219">
        <f t="shared" si="8"/>
        <v>561.18500000000006</v>
      </c>
      <c r="K7" s="219">
        <f t="shared" si="8"/>
        <v>386.73352380952383</v>
      </c>
      <c r="L7" s="219">
        <f>L4+L5+L6</f>
        <v>1021.4889523809524</v>
      </c>
      <c r="M7" s="219">
        <f t="shared" ref="M7:AY7" si="9">M4+M5+M6</f>
        <v>1102.402393809524</v>
      </c>
      <c r="N7" s="219">
        <f t="shared" si="9"/>
        <v>1636.8941900952377</v>
      </c>
      <c r="O7" s="219">
        <f t="shared" si="9"/>
        <v>1547.9867779999997</v>
      </c>
      <c r="P7" s="219">
        <f t="shared" si="9"/>
        <v>1594.8091884761907</v>
      </c>
      <c r="Q7" s="219">
        <f t="shared" si="9"/>
        <v>2135.2295103809524</v>
      </c>
      <c r="R7" s="219">
        <f t="shared" si="9"/>
        <v>2087.6045561904757</v>
      </c>
      <c r="S7" s="219">
        <f t="shared" si="9"/>
        <v>2131.0718579999998</v>
      </c>
      <c r="T7" s="219">
        <f t="shared" si="9"/>
        <v>2017.4133520952382</v>
      </c>
      <c r="U7" s="219">
        <f t="shared" si="9"/>
        <v>2090.3008915238097</v>
      </c>
      <c r="V7" s="219">
        <f t="shared" si="9"/>
        <v>1981.9378366666665</v>
      </c>
      <c r="W7" s="219">
        <f t="shared" si="9"/>
        <v>1939.5686246666667</v>
      </c>
      <c r="X7" s="219">
        <f t="shared" si="9"/>
        <v>2132.3805515238096</v>
      </c>
      <c r="Y7" s="220">
        <f t="shared" si="9"/>
        <v>2241.3715599999996</v>
      </c>
      <c r="Z7" s="220">
        <f t="shared" si="9"/>
        <v>2215.0695575079872</v>
      </c>
      <c r="AA7" s="220">
        <f t="shared" si="9"/>
        <v>2160.912142868463</v>
      </c>
      <c r="AB7" s="220">
        <f t="shared" si="9"/>
        <v>2536.1982033429713</v>
      </c>
      <c r="AC7" s="220">
        <f t="shared" si="9"/>
        <v>2473.1565911942007</v>
      </c>
      <c r="AD7" s="220">
        <f t="shared" si="9"/>
        <v>3069.2380366160296</v>
      </c>
      <c r="AE7" s="220">
        <f t="shared" si="9"/>
        <v>3466.8941513480618</v>
      </c>
      <c r="AF7" s="220">
        <f t="shared" si="9"/>
        <v>3811.6971571164754</v>
      </c>
      <c r="AG7" s="220">
        <f t="shared" si="9"/>
        <v>4215.5892114423732</v>
      </c>
      <c r="AH7" s="220">
        <f t="shared" si="9"/>
        <v>4421.7513244834226</v>
      </c>
      <c r="AI7" s="220">
        <f t="shared" si="9"/>
        <v>4741.8643856716126</v>
      </c>
      <c r="AJ7" s="220">
        <f t="shared" si="9"/>
        <v>5019.7083769796363</v>
      </c>
      <c r="AK7" s="220">
        <f t="shared" si="9"/>
        <v>5161.9213714777761</v>
      </c>
      <c r="AL7" s="220">
        <f t="shared" si="9"/>
        <v>5308.5354028618822</v>
      </c>
      <c r="AM7" s="220">
        <f t="shared" si="9"/>
        <v>5743.7975952463048</v>
      </c>
      <c r="AN7" s="220">
        <f t="shared" si="9"/>
        <v>6021.6125528189759</v>
      </c>
      <c r="AO7" s="220">
        <f t="shared" si="9"/>
        <v>6243.9449723192565</v>
      </c>
      <c r="AP7" s="220" t="e">
        <f t="shared" si="9"/>
        <v>#NUM!</v>
      </c>
      <c r="AQ7" s="220" t="e">
        <f t="shared" si="9"/>
        <v>#NUM!</v>
      </c>
      <c r="AR7" s="220" t="e">
        <f t="shared" si="9"/>
        <v>#NUM!</v>
      </c>
      <c r="AS7" s="220" t="e">
        <f t="shared" si="9"/>
        <v>#NUM!</v>
      </c>
      <c r="AT7" s="220" t="e">
        <f t="shared" si="9"/>
        <v>#NUM!</v>
      </c>
      <c r="AU7" s="220" t="e">
        <f t="shared" si="9"/>
        <v>#NUM!</v>
      </c>
      <c r="AV7" s="220" t="e">
        <f t="shared" si="9"/>
        <v>#NUM!</v>
      </c>
      <c r="AW7" s="220" t="e">
        <f t="shared" si="9"/>
        <v>#NUM!</v>
      </c>
      <c r="AX7" s="220" t="e">
        <f t="shared" si="9"/>
        <v>#NUM!</v>
      </c>
      <c r="AY7" s="220" t="e">
        <f t="shared" si="9"/>
        <v>#NUM!</v>
      </c>
      <c r="AZ7" s="211"/>
      <c r="BA7" s="270">
        <f t="shared" si="5"/>
        <v>1.2762359399168588E-2</v>
      </c>
      <c r="BB7" s="270">
        <f t="shared" si="6"/>
        <v>6.8546928177174671E-2</v>
      </c>
      <c r="BC7" s="279"/>
      <c r="BD7" s="270">
        <f t="shared" si="7"/>
        <v>1.073622047117067</v>
      </c>
      <c r="BE7" s="210"/>
      <c r="BF7" s="210"/>
      <c r="BG7" s="210"/>
    </row>
    <row r="8" spans="1:63">
      <c r="A8" s="210" t="s">
        <v>153</v>
      </c>
      <c r="B8" s="211">
        <f t="shared" ref="B8:V8" si="10">B11-B10</f>
        <v>10.500738095238095</v>
      </c>
      <c r="C8" s="211">
        <f t="shared" si="10"/>
        <v>15.18059523809524</v>
      </c>
      <c r="D8" s="211">
        <f t="shared" si="10"/>
        <v>16.515857142857143</v>
      </c>
      <c r="E8" s="211">
        <f t="shared" si="10"/>
        <v>30.376880952380958</v>
      </c>
      <c r="F8" s="211">
        <f t="shared" si="10"/>
        <v>95.876857142857148</v>
      </c>
      <c r="G8" s="211">
        <f t="shared" si="10"/>
        <v>276.75700000000001</v>
      </c>
      <c r="H8" s="211">
        <f t="shared" si="10"/>
        <v>572.08704761904767</v>
      </c>
      <c r="I8" s="211">
        <f t="shared" si="10"/>
        <v>862.75059523809523</v>
      </c>
      <c r="J8" s="211">
        <f t="shared" si="10"/>
        <v>531.32300000000009</v>
      </c>
      <c r="K8" s="211">
        <f t="shared" si="10"/>
        <v>358.50952380952384</v>
      </c>
      <c r="L8" s="211">
        <f t="shared" si="10"/>
        <v>930.10808238095228</v>
      </c>
      <c r="M8" s="211">
        <f t="shared" si="10"/>
        <v>897.31061610952406</v>
      </c>
      <c r="N8" s="211">
        <f t="shared" si="10"/>
        <v>1279.1744228952377</v>
      </c>
      <c r="O8" s="211">
        <f t="shared" si="10"/>
        <v>1333.0210717999998</v>
      </c>
      <c r="P8" s="211">
        <f t="shared" si="10"/>
        <v>1340.7257829761909</v>
      </c>
      <c r="Q8" s="211">
        <f t="shared" si="10"/>
        <v>1776.1905360809524</v>
      </c>
      <c r="R8" s="211">
        <f t="shared" si="10"/>
        <v>1814.0348570904757</v>
      </c>
      <c r="S8" s="211">
        <f t="shared" si="10"/>
        <v>1830.7932860999997</v>
      </c>
      <c r="T8" s="211">
        <f t="shared" si="10"/>
        <v>1738.7078485952381</v>
      </c>
      <c r="U8" s="211">
        <f t="shared" si="10"/>
        <v>1793.4174604238096</v>
      </c>
      <c r="V8" s="211">
        <f t="shared" si="10"/>
        <v>1620.5927287666666</v>
      </c>
      <c r="W8" s="211">
        <f>W11-W10</f>
        <v>1548.2302826666667</v>
      </c>
      <c r="X8" s="211">
        <f>X11-X10</f>
        <v>1719.3107435238096</v>
      </c>
      <c r="Y8" s="212">
        <f>MROUND(FORECAST(Y5,O8:X8,O5:X5),25)+100</f>
        <v>1800</v>
      </c>
      <c r="Z8" s="212">
        <f>MROUND(FORECAST(Z5,P8:Y8,P5:Y5),25)-50</f>
        <v>1600</v>
      </c>
      <c r="AA8" s="212">
        <f>MROUND(FORECAST(AA5,Q8:Z8,Q5:Z5),25)-400</f>
        <v>1225</v>
      </c>
      <c r="AB8" s="212">
        <f>MROUND(FORECAST(AB5,R8:AA8,R5:AA5),25)</f>
        <v>1425</v>
      </c>
      <c r="AC8" s="212">
        <f>MROUND(FORECAST(AC5,S8:AB8,S5:AB5),25)</f>
        <v>975</v>
      </c>
      <c r="AD8" s="212">
        <f>MROUND(FORECAST(AD5,T8:AC8,T5:AC5),25)</f>
        <v>1200</v>
      </c>
      <c r="AE8" s="212">
        <f>MROUND(FORECAST(AE5,U8:AD8,U5:AD5),25)</f>
        <v>1225</v>
      </c>
      <c r="AF8" s="212">
        <f>MROUND(FORECAST(AF5,V8:AE8,V5:AE5),25)</f>
        <v>1225</v>
      </c>
      <c r="AG8" s="212">
        <f t="shared" ref="AG8" si="11">MROUND(FORECAST(AG5,W8:AF8,W5:AF5),25)</f>
        <v>1325</v>
      </c>
      <c r="AH8" s="212">
        <f>MROUND(FORECAST(AH5,X8:AG8,X5:AG5),25)-25</f>
        <v>1175</v>
      </c>
      <c r="AI8" s="212">
        <f t="shared" ref="AI8" si="12">MROUND(FORECAST(AI5,Y8:AH8,Y5:AH5),25)</f>
        <v>1150</v>
      </c>
      <c r="AJ8" s="212">
        <f t="shared" ref="AJ8" si="13">MROUND(FORECAST(AJ5,Z8:AI8,Z5:AI5),25)-25</f>
        <v>1050</v>
      </c>
      <c r="AK8" s="212">
        <f t="shared" ref="AK8" si="14">MROUND(FORECAST(AK5,AA8:AJ8,AA5:AJ5),25)</f>
        <v>825</v>
      </c>
      <c r="AL8" s="212">
        <f t="shared" ref="AL8" si="15">MROUND(FORECAST(AL5,AB8:AK8,AB5:AK5),25)-25</f>
        <v>500</v>
      </c>
      <c r="AM8" s="212">
        <f t="shared" ref="AM8" si="16">MROUND(FORECAST(AM5,AC8:AL8,AC5:AL5),25)</f>
        <v>500</v>
      </c>
      <c r="AN8" s="212">
        <f t="shared" ref="AN8" si="17">MROUND(FORECAST(AN5,AD8:AM8,AD5:AM5),25)-25</f>
        <v>275</v>
      </c>
      <c r="AO8" s="212" t="e">
        <f t="shared" ref="AO8" si="18">MROUND(FORECAST(AO5,AE8:AN8,AE5:AN5),25)</f>
        <v>#NUM!</v>
      </c>
      <c r="AP8" s="212" t="e">
        <f t="shared" ref="AP8" si="19">MROUND(FORECAST(AP5,AF8:AO8,AF5:AO5),25)-25</f>
        <v>#NUM!</v>
      </c>
      <c r="AQ8" s="212" t="e">
        <f t="shared" ref="AQ8:AR8" si="20">MROUND(FORECAST(AQ5,AG8:AP8,AG5:AP5),25)</f>
        <v>#NUM!</v>
      </c>
      <c r="AR8" s="212" t="e">
        <f t="shared" si="20"/>
        <v>#NUM!</v>
      </c>
      <c r="AS8" s="212" t="e">
        <f>MROUND(FORECAST(AS5,AI8:AR8,AI5:AR5),25)-25</f>
        <v>#NUM!</v>
      </c>
      <c r="AT8" s="212" t="e">
        <f t="shared" ref="AT8" si="21">MROUND(FORECAST(AT5,AJ8:AS8,AJ5:AS5),25)</f>
        <v>#NUM!</v>
      </c>
      <c r="AU8" s="212" t="e">
        <f t="shared" ref="AU8" si="22">MROUND(FORECAST(AU5,AK8:AT8,AK5:AT5),25)-25</f>
        <v>#NUM!</v>
      </c>
      <c r="AV8" s="212" t="e">
        <f t="shared" ref="AV8" si="23">MROUND(FORECAST(AV5,AL8:AU8,AL5:AU5),25)</f>
        <v>#NUM!</v>
      </c>
      <c r="AW8" s="212" t="e">
        <f t="shared" ref="AW8" si="24">MROUND(FORECAST(AW5,AM8:AV8,AM5:AV5),25)-25</f>
        <v>#NUM!</v>
      </c>
      <c r="AX8" s="212" t="e">
        <f t="shared" ref="AX8" si="25">MROUND(FORECAST(AX5,AN8:AW8,AN5:AW5),25)</f>
        <v>#NUM!</v>
      </c>
      <c r="AY8" s="212" t="e">
        <f t="shared" ref="AY8" si="26">MROUND(FORECAST(AY5,AO8:AX8,AO5:AX5),25)-25</f>
        <v>#NUM!</v>
      </c>
      <c r="AZ8" s="211"/>
      <c r="BA8" s="270">
        <f t="shared" si="5"/>
        <v>-2.3688207039905373E-2</v>
      </c>
      <c r="BB8" s="270">
        <f t="shared" si="6"/>
        <v>-3.4013123454685434E-2</v>
      </c>
      <c r="BC8" s="230">
        <f>(AH8/X8)-1</f>
        <v>-0.3165866005165644</v>
      </c>
      <c r="BD8" s="270">
        <f>(AH8/X8)-1</f>
        <v>-0.3165866005165644</v>
      </c>
      <c r="BE8" s="210"/>
      <c r="BF8" s="210"/>
      <c r="BG8" s="210"/>
    </row>
    <row r="9" spans="1:63" hidden="1">
      <c r="A9" s="210" t="s">
        <v>154</v>
      </c>
      <c r="B9" s="280">
        <f>annual_data!$D55*42/1000</f>
        <v>8.035676810073452E-8</v>
      </c>
      <c r="C9" s="280">
        <f>annual_data!$D56*42/1000</f>
        <v>9.648302174742464E-8</v>
      </c>
      <c r="D9" s="280">
        <f>annual_data!$D57*42/1000</f>
        <v>1.3396551724137929E-7</v>
      </c>
      <c r="E9" s="280">
        <f>annual_data!$D58*42/1000</f>
        <v>2.6256379100850546E-7</v>
      </c>
      <c r="F9" s="280">
        <f>annual_data!$D59*42/1000</f>
        <v>8.574408230253229E-7</v>
      </c>
      <c r="G9" s="280">
        <f>annual_data!$D60*42/1000</f>
        <v>2.3633320289571511E-6</v>
      </c>
      <c r="H9" s="280">
        <f>annual_data!$D61*42/1000</f>
        <v>4.6247920257234715E-6</v>
      </c>
      <c r="I9" s="280">
        <f>annual_data!$D62*42/1000</f>
        <v>6.4039978557924573E-6</v>
      </c>
      <c r="J9" s="280">
        <f>annual_data!$D63*42/1000</f>
        <v>4.8713116235786783E-6</v>
      </c>
      <c r="K9" s="280">
        <f>annual_data!$D64*42/1000</f>
        <v>3.2421989547089055E-6</v>
      </c>
      <c r="L9" s="280">
        <f>annual_data!$D65*42/1000</f>
        <v>9.1370973280095441E-6</v>
      </c>
      <c r="M9" s="280">
        <f>annual_data!$D66*42/1000</f>
        <v>9.3568135611697042E-6</v>
      </c>
      <c r="N9" s="280">
        <f>annual_data!$D67*42/1000</f>
        <v>1.2834796712802771E-5</v>
      </c>
      <c r="O9" s="280">
        <f>annual_data!$D68*42/1000</f>
        <v>1.2073854372902134E-5</v>
      </c>
      <c r="P9" s="280">
        <f>annual_data!$D69*42/1000</f>
        <v>1.1929129466409467E-5</v>
      </c>
      <c r="Q9" s="280">
        <f>annual_data!$D70*42/1000</f>
        <v>1.4801566685589995E-5</v>
      </c>
      <c r="R9" s="280">
        <f>annual_data!$D71*42/1000</f>
        <v>1.506415863418706E-5</v>
      </c>
      <c r="S9" s="280">
        <f>annual_data!$D72*42/1000</f>
        <v>1.7534643558807074E-5</v>
      </c>
      <c r="T9" s="280">
        <f>annual_data!$D73*42/1000</f>
        <v>1.6280650785412874E-5</v>
      </c>
      <c r="U9" s="211">
        <f>annual_data!$D74*42/1000</f>
        <v>1.7132736068480813E-5</v>
      </c>
      <c r="V9" s="211">
        <f>annual_data!$D75*42/1000</f>
        <v>1.6135944535019951E-5</v>
      </c>
      <c r="W9" s="211">
        <f>annual_data!$D76*42/1000</f>
        <v>1.5316018384392872E-5</v>
      </c>
      <c r="X9" s="211">
        <f>annual_data!$D76*42/1000</f>
        <v>1.5316018384392872E-5</v>
      </c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11"/>
      <c r="AY9" s="211"/>
      <c r="AZ9" s="211"/>
      <c r="BA9" s="270">
        <f t="shared" si="5"/>
        <v>-1</v>
      </c>
      <c r="BB9" s="270">
        <f t="shared" si="6"/>
        <v>-1</v>
      </c>
      <c r="BC9" s="83"/>
      <c r="BD9" s="270">
        <f t="shared" si="7"/>
        <v>-1</v>
      </c>
      <c r="BE9" s="210"/>
      <c r="BF9" s="210"/>
      <c r="BG9" s="210"/>
      <c r="BH9" s="210"/>
      <c r="BI9" s="210"/>
      <c r="BJ9" s="210"/>
      <c r="BK9" s="210"/>
    </row>
    <row r="10" spans="1:63">
      <c r="A10" s="209" t="s">
        <v>155</v>
      </c>
      <c r="B10" s="211">
        <f t="shared" ref="B10:V10" si="27">B69</f>
        <v>0</v>
      </c>
      <c r="C10" s="211">
        <f t="shared" si="27"/>
        <v>0</v>
      </c>
      <c r="D10" s="211">
        <f t="shared" si="27"/>
        <v>0</v>
      </c>
      <c r="E10" s="211">
        <f t="shared" si="27"/>
        <v>0</v>
      </c>
      <c r="F10" s="211">
        <f t="shared" si="27"/>
        <v>0</v>
      </c>
      <c r="G10" s="211">
        <f t="shared" si="27"/>
        <v>0</v>
      </c>
      <c r="H10" s="211">
        <f t="shared" si="27"/>
        <v>0</v>
      </c>
      <c r="I10" s="211">
        <f t="shared" si="27"/>
        <v>0</v>
      </c>
      <c r="J10" s="211">
        <f t="shared" si="27"/>
        <v>0</v>
      </c>
      <c r="K10" s="211">
        <f t="shared" si="27"/>
        <v>0</v>
      </c>
      <c r="L10" s="211">
        <f t="shared" si="27"/>
        <v>0</v>
      </c>
      <c r="M10" s="211">
        <f t="shared" si="27"/>
        <v>121.7488257</v>
      </c>
      <c r="N10" s="211">
        <f t="shared" si="27"/>
        <v>197.7119892</v>
      </c>
      <c r="O10" s="211">
        <f t="shared" si="27"/>
        <v>83.479708200000005</v>
      </c>
      <c r="P10" s="211">
        <f t="shared" si="27"/>
        <v>88.464847500000005</v>
      </c>
      <c r="Q10" s="211">
        <f t="shared" si="27"/>
        <v>90.333894300000011</v>
      </c>
      <c r="R10" s="211">
        <f t="shared" si="27"/>
        <v>94.315841099999986</v>
      </c>
      <c r="S10" s="211">
        <f t="shared" si="27"/>
        <v>104.4654579</v>
      </c>
      <c r="T10" s="211">
        <f t="shared" si="27"/>
        <v>114.6274215</v>
      </c>
      <c r="U10" s="211">
        <f t="shared" si="27"/>
        <v>142.9372611</v>
      </c>
      <c r="V10" s="211">
        <f t="shared" si="27"/>
        <v>185.47014990000002</v>
      </c>
      <c r="W10" s="211">
        <f>W69</f>
        <v>239.80860000000004</v>
      </c>
      <c r="X10" s="211">
        <f>X69</f>
        <v>252.90389999999996</v>
      </c>
      <c r="Y10" s="212">
        <f>MROUND(FORECAST(Y5,O10:X10,O5:X5),5)</f>
        <v>150</v>
      </c>
      <c r="Z10" s="212">
        <f>MROUND(FORECAST(Z5,P10:Y10,P5:Y5)*0.75,5)</f>
        <v>105</v>
      </c>
      <c r="AA10" s="212">
        <f>MROUND(FORECAST(AA5,Q10:Z10,Q5:Z5)*0.5,5)</f>
        <v>70</v>
      </c>
      <c r="AB10" s="212">
        <f>MROUND(FORECAST(AB5,R10:AA10,R5:AA5)*0.25,5)</f>
        <v>30</v>
      </c>
      <c r="AC10" s="212">
        <f>MROUND(FORECAST(AC5,S10:AB10,S5:AB5)*0,5)</f>
        <v>0</v>
      </c>
      <c r="AD10" s="212">
        <f t="shared" ref="AD10:AY10" si="28">MROUND(FORECAST(AD5,T10:AC10,T5:AC5)*0,5)</f>
        <v>0</v>
      </c>
      <c r="AE10" s="212">
        <f t="shared" si="28"/>
        <v>0</v>
      </c>
      <c r="AF10" s="212">
        <f t="shared" si="28"/>
        <v>0</v>
      </c>
      <c r="AG10" s="212">
        <f t="shared" si="28"/>
        <v>0</v>
      </c>
      <c r="AH10" s="212">
        <f t="shared" si="28"/>
        <v>0</v>
      </c>
      <c r="AI10" s="212">
        <f t="shared" si="28"/>
        <v>0</v>
      </c>
      <c r="AJ10" s="212">
        <f t="shared" si="28"/>
        <v>0</v>
      </c>
      <c r="AK10" s="212">
        <f t="shared" si="28"/>
        <v>0</v>
      </c>
      <c r="AL10" s="212">
        <f t="shared" si="28"/>
        <v>0</v>
      </c>
      <c r="AM10" s="212">
        <f t="shared" si="28"/>
        <v>0</v>
      </c>
      <c r="AN10" s="212">
        <f t="shared" si="28"/>
        <v>0</v>
      </c>
      <c r="AO10" s="212">
        <f t="shared" si="28"/>
        <v>0</v>
      </c>
      <c r="AP10" s="212">
        <f t="shared" si="28"/>
        <v>0</v>
      </c>
      <c r="AQ10" s="212">
        <f t="shared" si="28"/>
        <v>0</v>
      </c>
      <c r="AR10" s="212">
        <f t="shared" si="28"/>
        <v>0</v>
      </c>
      <c r="AS10" s="212">
        <f t="shared" si="28"/>
        <v>0</v>
      </c>
      <c r="AT10" s="212">
        <f t="shared" si="28"/>
        <v>0</v>
      </c>
      <c r="AU10" s="212">
        <f t="shared" si="28"/>
        <v>0</v>
      </c>
      <c r="AV10" s="212">
        <f t="shared" si="28"/>
        <v>0</v>
      </c>
      <c r="AW10" s="212">
        <f t="shared" si="28"/>
        <v>0</v>
      </c>
      <c r="AX10" s="212">
        <f t="shared" si="28"/>
        <v>0</v>
      </c>
      <c r="AY10" s="212">
        <f t="shared" si="28"/>
        <v>0</v>
      </c>
      <c r="AZ10" s="211"/>
      <c r="BA10" s="270"/>
      <c r="BB10" s="270"/>
      <c r="BC10" s="230"/>
      <c r="BD10" s="270"/>
      <c r="BE10" s="210"/>
      <c r="BF10" s="210"/>
      <c r="BG10" s="210"/>
    </row>
    <row r="11" spans="1:63">
      <c r="A11" s="281" t="s">
        <v>156</v>
      </c>
      <c r="B11" s="282">
        <f t="shared" ref="B11:V11" si="29">B7-B12</f>
        <v>10.500738095238095</v>
      </c>
      <c r="C11" s="282">
        <f t="shared" si="29"/>
        <v>15.18059523809524</v>
      </c>
      <c r="D11" s="282">
        <f t="shared" si="29"/>
        <v>16.515857142857143</v>
      </c>
      <c r="E11" s="282">
        <f t="shared" si="29"/>
        <v>30.376880952380958</v>
      </c>
      <c r="F11" s="282">
        <f t="shared" si="29"/>
        <v>95.876857142857148</v>
      </c>
      <c r="G11" s="282">
        <f t="shared" si="29"/>
        <v>276.75700000000001</v>
      </c>
      <c r="H11" s="282">
        <f t="shared" si="29"/>
        <v>572.08704761904767</v>
      </c>
      <c r="I11" s="282">
        <f t="shared" si="29"/>
        <v>862.75059523809523</v>
      </c>
      <c r="J11" s="282">
        <f t="shared" si="29"/>
        <v>531.32300000000009</v>
      </c>
      <c r="K11" s="282">
        <f t="shared" si="29"/>
        <v>358.50952380952384</v>
      </c>
      <c r="L11" s="282">
        <f t="shared" si="29"/>
        <v>930.10808238095228</v>
      </c>
      <c r="M11" s="282">
        <f t="shared" si="29"/>
        <v>1019.0594418095241</v>
      </c>
      <c r="N11" s="282">
        <f t="shared" si="29"/>
        <v>1476.8864120952378</v>
      </c>
      <c r="O11" s="282">
        <f t="shared" si="29"/>
        <v>1416.5007799999998</v>
      </c>
      <c r="P11" s="282">
        <f t="shared" si="29"/>
        <v>1429.1906304761908</v>
      </c>
      <c r="Q11" s="282">
        <f t="shared" si="29"/>
        <v>1866.5244303809525</v>
      </c>
      <c r="R11" s="282">
        <f t="shared" si="29"/>
        <v>1908.3506981904757</v>
      </c>
      <c r="S11" s="282">
        <f t="shared" si="29"/>
        <v>1935.2587439999998</v>
      </c>
      <c r="T11" s="282">
        <f t="shared" si="29"/>
        <v>1853.3352700952382</v>
      </c>
      <c r="U11" s="282">
        <f t="shared" si="29"/>
        <v>1936.3547215238098</v>
      </c>
      <c r="V11" s="282">
        <f t="shared" si="29"/>
        <v>1806.0628786666666</v>
      </c>
      <c r="W11" s="282">
        <f>W7-W12</f>
        <v>1788.0388826666667</v>
      </c>
      <c r="X11" s="282">
        <f>X7-X12</f>
        <v>1972.2146435238096</v>
      </c>
      <c r="Y11" s="283">
        <f t="shared" ref="Y11:AH11" si="30">SUM(Y8:Y10)</f>
        <v>1950</v>
      </c>
      <c r="Z11" s="283">
        <f t="shared" si="30"/>
        <v>1705</v>
      </c>
      <c r="AA11" s="283">
        <f t="shared" si="30"/>
        <v>1295</v>
      </c>
      <c r="AB11" s="283">
        <f t="shared" si="30"/>
        <v>1455</v>
      </c>
      <c r="AC11" s="283">
        <f t="shared" si="30"/>
        <v>975</v>
      </c>
      <c r="AD11" s="283">
        <f t="shared" si="30"/>
        <v>1200</v>
      </c>
      <c r="AE11" s="283">
        <f t="shared" si="30"/>
        <v>1225</v>
      </c>
      <c r="AF11" s="283">
        <f t="shared" si="30"/>
        <v>1225</v>
      </c>
      <c r="AG11" s="283">
        <f t="shared" si="30"/>
        <v>1325</v>
      </c>
      <c r="AH11" s="283">
        <f t="shared" si="30"/>
        <v>1175</v>
      </c>
      <c r="AI11" s="283">
        <f t="shared" ref="AI11:AY11" si="31">SUM(AI8:AI10)</f>
        <v>1150</v>
      </c>
      <c r="AJ11" s="283">
        <f t="shared" si="31"/>
        <v>1050</v>
      </c>
      <c r="AK11" s="283">
        <f t="shared" si="31"/>
        <v>825</v>
      </c>
      <c r="AL11" s="283">
        <f t="shared" si="31"/>
        <v>500</v>
      </c>
      <c r="AM11" s="283">
        <f t="shared" si="31"/>
        <v>500</v>
      </c>
      <c r="AN11" s="283">
        <f t="shared" si="31"/>
        <v>275</v>
      </c>
      <c r="AO11" s="283" t="e">
        <f t="shared" si="31"/>
        <v>#NUM!</v>
      </c>
      <c r="AP11" s="283" t="e">
        <f t="shared" si="31"/>
        <v>#NUM!</v>
      </c>
      <c r="AQ11" s="283" t="e">
        <f t="shared" si="31"/>
        <v>#NUM!</v>
      </c>
      <c r="AR11" s="283" t="e">
        <f t="shared" si="31"/>
        <v>#NUM!</v>
      </c>
      <c r="AS11" s="283" t="e">
        <f t="shared" si="31"/>
        <v>#NUM!</v>
      </c>
      <c r="AT11" s="283" t="e">
        <f t="shared" si="31"/>
        <v>#NUM!</v>
      </c>
      <c r="AU11" s="283" t="e">
        <f t="shared" si="31"/>
        <v>#NUM!</v>
      </c>
      <c r="AV11" s="283" t="e">
        <f t="shared" si="31"/>
        <v>#NUM!</v>
      </c>
      <c r="AW11" s="283" t="e">
        <f t="shared" si="31"/>
        <v>#NUM!</v>
      </c>
      <c r="AX11" s="283" t="e">
        <f t="shared" si="31"/>
        <v>#NUM!</v>
      </c>
      <c r="AY11" s="283" t="e">
        <f t="shared" si="31"/>
        <v>#NUM!</v>
      </c>
      <c r="AZ11" s="211"/>
      <c r="BA11" s="270">
        <f t="shared" ref="BA11" si="32">(AB11/X11)^(1/5)-1</f>
        <v>-5.9017031616564797E-2</v>
      </c>
      <c r="BB11" s="270">
        <f t="shared" si="6"/>
        <v>-4.5989702415435318E-2</v>
      </c>
      <c r="BC11" s="255"/>
      <c r="BD11" s="270">
        <f t="shared" si="7"/>
        <v>-0.40422306270853181</v>
      </c>
      <c r="BE11" s="210"/>
      <c r="BF11" s="210"/>
      <c r="BG11" s="210"/>
    </row>
    <row r="12" spans="1:63">
      <c r="A12" s="210" t="s">
        <v>157</v>
      </c>
      <c r="B12" s="211">
        <f t="shared" ref="B12:X12" si="33">B100</f>
        <v>0</v>
      </c>
      <c r="C12" s="211">
        <f t="shared" si="33"/>
        <v>0</v>
      </c>
      <c r="D12" s="211">
        <f t="shared" si="33"/>
        <v>0</v>
      </c>
      <c r="E12" s="211">
        <f t="shared" si="33"/>
        <v>0</v>
      </c>
      <c r="F12" s="211">
        <f t="shared" si="33"/>
        <v>0</v>
      </c>
      <c r="G12" s="211">
        <f t="shared" si="33"/>
        <v>0</v>
      </c>
      <c r="H12" s="211">
        <f t="shared" si="33"/>
        <v>0</v>
      </c>
      <c r="I12" s="211">
        <f t="shared" si="33"/>
        <v>0</v>
      </c>
      <c r="J12" s="211">
        <f t="shared" si="33"/>
        <v>29.861999999999998</v>
      </c>
      <c r="K12" s="211">
        <f t="shared" si="33"/>
        <v>28.224</v>
      </c>
      <c r="L12" s="211">
        <f t="shared" si="33"/>
        <v>91.380870000000016</v>
      </c>
      <c r="M12" s="211">
        <f t="shared" si="33"/>
        <v>83.342952000000011</v>
      </c>
      <c r="N12" s="211">
        <f t="shared" si="33"/>
        <v>160.007778</v>
      </c>
      <c r="O12" s="211">
        <f t="shared" si="33"/>
        <v>131.485998</v>
      </c>
      <c r="P12" s="211">
        <f t="shared" si="33"/>
        <v>165.61855799999998</v>
      </c>
      <c r="Q12" s="211">
        <f t="shared" si="33"/>
        <v>268.70508000000001</v>
      </c>
      <c r="R12" s="211">
        <f t="shared" si="33"/>
        <v>179.25385799999998</v>
      </c>
      <c r="S12" s="211">
        <f t="shared" si="33"/>
        <v>195.81311399999998</v>
      </c>
      <c r="T12" s="211">
        <f t="shared" si="33"/>
        <v>164.07808199999999</v>
      </c>
      <c r="U12" s="211">
        <f t="shared" si="33"/>
        <v>153.94617000000002</v>
      </c>
      <c r="V12" s="211">
        <f t="shared" si="33"/>
        <v>175.87495799999999</v>
      </c>
      <c r="W12" s="211">
        <f t="shared" si="33"/>
        <v>151.529742</v>
      </c>
      <c r="X12" s="211">
        <f t="shared" si="33"/>
        <v>160.165908</v>
      </c>
      <c r="Y12" s="212">
        <f t="shared" ref="Y12:AY12" si="34">Y7-Y11</f>
        <v>291.37155999999959</v>
      </c>
      <c r="Z12" s="212">
        <f t="shared" si="34"/>
        <v>510.06955750798716</v>
      </c>
      <c r="AA12" s="212">
        <f t="shared" si="34"/>
        <v>865.91214286846298</v>
      </c>
      <c r="AB12" s="212">
        <f t="shared" si="34"/>
        <v>1081.1982033429713</v>
      </c>
      <c r="AC12" s="212">
        <f t="shared" si="34"/>
        <v>1498.1565911942007</v>
      </c>
      <c r="AD12" s="212">
        <f t="shared" si="34"/>
        <v>1869.2380366160296</v>
      </c>
      <c r="AE12" s="212">
        <f t="shared" si="34"/>
        <v>2241.8941513480618</v>
      </c>
      <c r="AF12" s="212">
        <f t="shared" si="34"/>
        <v>2586.6971571164754</v>
      </c>
      <c r="AG12" s="212">
        <f t="shared" si="34"/>
        <v>2890.5892114423732</v>
      </c>
      <c r="AH12" s="212">
        <f t="shared" si="34"/>
        <v>3246.7513244834226</v>
      </c>
      <c r="AI12" s="212">
        <f t="shared" si="34"/>
        <v>3591.8643856716126</v>
      </c>
      <c r="AJ12" s="212">
        <f t="shared" si="34"/>
        <v>3969.7083769796363</v>
      </c>
      <c r="AK12" s="212">
        <f t="shared" si="34"/>
        <v>4336.9213714777761</v>
      </c>
      <c r="AL12" s="212">
        <f t="shared" si="34"/>
        <v>4808.5354028618822</v>
      </c>
      <c r="AM12" s="212">
        <f t="shared" si="34"/>
        <v>5243.7975952463048</v>
      </c>
      <c r="AN12" s="212">
        <f t="shared" si="34"/>
        <v>5746.6125528189759</v>
      </c>
      <c r="AO12" s="212" t="e">
        <f t="shared" si="34"/>
        <v>#NUM!</v>
      </c>
      <c r="AP12" s="212" t="e">
        <f t="shared" si="34"/>
        <v>#NUM!</v>
      </c>
      <c r="AQ12" s="212" t="e">
        <f t="shared" si="34"/>
        <v>#NUM!</v>
      </c>
      <c r="AR12" s="212" t="e">
        <f t="shared" si="34"/>
        <v>#NUM!</v>
      </c>
      <c r="AS12" s="212" t="e">
        <f t="shared" si="34"/>
        <v>#NUM!</v>
      </c>
      <c r="AT12" s="212" t="e">
        <f t="shared" si="34"/>
        <v>#NUM!</v>
      </c>
      <c r="AU12" s="212" t="e">
        <f t="shared" si="34"/>
        <v>#NUM!</v>
      </c>
      <c r="AV12" s="212" t="e">
        <f t="shared" si="34"/>
        <v>#NUM!</v>
      </c>
      <c r="AW12" s="212" t="e">
        <f t="shared" si="34"/>
        <v>#NUM!</v>
      </c>
      <c r="AX12" s="212" t="e">
        <f t="shared" si="34"/>
        <v>#NUM!</v>
      </c>
      <c r="AY12" s="212" t="e">
        <f t="shared" si="34"/>
        <v>#NUM!</v>
      </c>
      <c r="AZ12" s="211"/>
      <c r="BE12" s="210"/>
      <c r="BF12" s="210"/>
      <c r="BG12" s="210"/>
    </row>
    <row r="13" spans="1:63" s="278" customFormat="1">
      <c r="A13" s="284" t="s">
        <v>158</v>
      </c>
      <c r="B13" s="285"/>
      <c r="C13" s="285"/>
      <c r="D13" s="285"/>
      <c r="E13" s="285"/>
      <c r="F13" s="285"/>
      <c r="G13" s="286">
        <f>('[5]VO CY Balance Sheets'!AU$354+'[6]FOG CY Balance Sheet'!N$65)/G5</f>
        <v>7.238222322205055</v>
      </c>
      <c r="H13" s="286">
        <f>('[5]VO CY Balance Sheets'!AV$354+'[6]FOG CY Balance Sheet'!O$65)/H5</f>
        <v>6.5074128363949635</v>
      </c>
      <c r="I13" s="286">
        <f>('[5]VO CY Balance Sheets'!AW$354+'[6]FOG CY Balance Sheet'!P$65)/I5</f>
        <v>6.0749999631326626</v>
      </c>
      <c r="J13" s="286">
        <f>('[5]VO CY Balance Sheets'!AX$354+'[6]FOG CY Balance Sheet'!Q$65)/J5</f>
        <v>4.4532160284757669</v>
      </c>
      <c r="K13" s="286">
        <f>('[5]VO CY Balance Sheets'!AY$354+'[6]FOG CY Balance Sheet'!R$65)/K5</f>
        <v>4.0443274594984917</v>
      </c>
      <c r="L13" s="286">
        <f>('[5]VO CY Balance Sheets'!AZ$354+'[6]FOG CY Balance Sheet'!S$65)/L5</f>
        <v>5.168065489725886</v>
      </c>
      <c r="M13" s="286">
        <f>('[5]VO CY Balance Sheets'!BA$354+'[6]FOG CY Balance Sheet'!T$65)/M5</f>
        <v>4.8783097408732301</v>
      </c>
      <c r="N13" s="286">
        <f>('[5]VO CY Balance Sheets'!BB$354+'[6]FOG CY Balance Sheet'!U$65)/N5</f>
        <v>4.5268107242897173</v>
      </c>
      <c r="O13" s="286">
        <f>('[5]VO CY Balance Sheets'!BC$354+'[6]FOG CY Balance Sheet'!V$65)/O5</f>
        <v>4.5737576613845894</v>
      </c>
      <c r="P13" s="286">
        <f>('[5]VO CY Balance Sheets'!BD$354+'[6]FOG CY Balance Sheet'!W$65)/P5</f>
        <v>4.4771547326269019</v>
      </c>
      <c r="Q13" s="286">
        <f>('[5]VO CY Balance Sheets'!BE$354+'[6]FOG CY Balance Sheet'!X$65)/Q5</f>
        <v>4.6603177843123493</v>
      </c>
      <c r="R13" s="286">
        <f>('[5]VO CY Balance Sheets'!BF$354+'[6]FOG CY Balance Sheet'!Y$65)/R5</f>
        <v>4.8291574466271738</v>
      </c>
      <c r="S13" s="286">
        <f>('[5]VO CY Balance Sheets'!BG$354+'[6]FOG CY Balance Sheet'!Z$65)/S5</f>
        <v>4.7376934326893005</v>
      </c>
      <c r="T13" s="286">
        <f>('[5]VO CY Balance Sheets'!BH$354+'[6]FOG CY Balance Sheet'!AA$65)/T5</f>
        <v>4.9773101916357563</v>
      </c>
      <c r="U13" s="286">
        <f>('[5]VO CY Balance Sheets'!BI$354+'[6]FOG CY Balance Sheet'!AB$65)/U5</f>
        <v>5.3129746755054414</v>
      </c>
      <c r="V13" s="286">
        <f>('[5]VO CY Balance Sheets'!BJ$354+'[6]FOG CY Balance Sheet'!AC$65)/V5</f>
        <v>4.8270584980461333</v>
      </c>
      <c r="W13" s="286">
        <f>('[5]VO CY Balance Sheets'!BK$354+'[6]FOG CY Balance Sheet'!AD$65)/W5</f>
        <v>5.205744471709008</v>
      </c>
      <c r="X13" s="286">
        <f>('[5]VO CY Balance Sheets'!BL$354+'[6]FOG CY Balance Sheet'!AE$65)/X5</f>
        <v>5.4257290863747425</v>
      </c>
      <c r="Y13" s="287">
        <f>('[5]VO CY Balance Sheets'!BM$354+'[6]FOG CY Balance Sheet'!AF$65)/Y5</f>
        <v>5.1087804952442353</v>
      </c>
      <c r="Z13" s="287">
        <f>('[5]VO CY Balance Sheets'!BN$354+'[6]FOG CY Balance Sheet'!AG$65)/Z5</f>
        <v>5.4681507289116924</v>
      </c>
      <c r="AA13" s="287">
        <f>('[5]VO CY Balance Sheets'!BO$354+'[6]FOG CY Balance Sheet'!AH$65)/AA5</f>
        <v>5.3820162060252086</v>
      </c>
      <c r="AB13" s="287">
        <f>('[5]VO CY Balance Sheets'!BP$354+'[6]FOG CY Balance Sheet'!AI$65)/AB5</f>
        <v>5.2916196502528017</v>
      </c>
      <c r="AC13" s="287">
        <f>('[5]VO CY Balance Sheets'!BQ$354+'[6]FOG CY Balance Sheet'!AJ$65)/AC5</f>
        <v>5.2813709932172674</v>
      </c>
      <c r="AD13" s="287">
        <f>('[5]VO CY Balance Sheets'!BR$354+'[6]FOG CY Balance Sheet'!AK$65)/AD5</f>
        <v>5.0935914199512364</v>
      </c>
      <c r="AE13" s="287">
        <f>('[5]VO CY Balance Sheets'!BS$354+'[6]FOG CY Balance Sheet'!AL$65)/AE5</f>
        <v>4.983453209309058</v>
      </c>
      <c r="AF13" s="287">
        <f>('[5]VO CY Balance Sheets'!BT$354+'[6]FOG CY Balance Sheet'!AM$65)/AF5</f>
        <v>4.8827716058163144</v>
      </c>
      <c r="AG13" s="287">
        <f>('[5]VO CY Balance Sheets'!BU$354+'[6]FOG CY Balance Sheet'!AN$65)/AG5</f>
        <v>4.7662763907384615</v>
      </c>
      <c r="AH13" s="287">
        <f>('[5]VO CY Balance Sheets'!BV$354+'[6]FOG CY Balance Sheet'!AO$65)/AH5</f>
        <v>3.7394181508039104</v>
      </c>
      <c r="AI13" s="287">
        <f>('[5]VO CY Balance Sheets'!BW$354+'[6]FOG CY Balance Sheet'!AP$65)/AI5</f>
        <v>4.6221075414149793</v>
      </c>
      <c r="AJ13" s="287">
        <f>('[5]VO CY Balance Sheets'!BX$354+'[6]FOG CY Balance Sheet'!AQ$65)/AJ5</f>
        <v>4.8040449792479771</v>
      </c>
      <c r="AK13" s="287">
        <f>('[5]VO CY Balance Sheets'!BY$354+'[6]FOG CY Balance Sheet'!AR$65)/AK5</f>
        <v>5.002271980033318</v>
      </c>
      <c r="AL13" s="287">
        <f>('[5]VO CY Balance Sheets'!BZ$354+'[6]FOG CY Balance Sheet'!AS$65)/AL5</f>
        <v>5.0688801797012433</v>
      </c>
      <c r="AM13" s="287">
        <f>('[5]VO CY Balance Sheets'!CA$354+'[6]FOG CY Balance Sheet'!AT$65)/AM5</f>
        <v>5.089981524925971</v>
      </c>
      <c r="AN13" s="287">
        <f>('[5]VO CY Balance Sheets'!CB$354+'[6]FOG CY Balance Sheet'!AU$65)/AN5</f>
        <v>5.8775385578051011</v>
      </c>
      <c r="AO13" s="287">
        <f>('[5]VO CY Balance Sheets'!CC$354+'[6]FOG CY Balance Sheet'!AV$65)/AO5</f>
        <v>5.6199402901087829</v>
      </c>
      <c r="AP13" s="287">
        <f>('[5]VO CY Balance Sheets'!CD$354+'[6]FOG CY Balance Sheet'!AW$65)/AP5</f>
        <v>5.3264938609512242</v>
      </c>
      <c r="AQ13" s="287">
        <f>('[5]VO CY Balance Sheets'!CE$354+'[6]FOG CY Balance Sheet'!AX$65)/AQ5</f>
        <v>5.107624754190029</v>
      </c>
      <c r="AR13" s="287">
        <f>('[5]VO CY Balance Sheets'!CF$354+'[6]FOG CY Balance Sheet'!AY$65)/AR5</f>
        <v>4.8403995053687998</v>
      </c>
      <c r="AS13" s="287">
        <f>('[5]VO CY Balance Sheets'!CG$354+'[6]FOG CY Balance Sheet'!AZ$65)/AS5</f>
        <v>4.5205998638298768</v>
      </c>
      <c r="AT13" s="287">
        <f>('[5]VO CY Balance Sheets'!CH$354+'[6]FOG CY Balance Sheet'!BA$65)/AT5</f>
        <v>4.1988483901399727</v>
      </c>
      <c r="AU13" s="287">
        <f>('[5]VO CY Balance Sheets'!CI$354+'[6]FOG CY Balance Sheet'!BB$65)/AU5</f>
        <v>3.8632892806930097</v>
      </c>
      <c r="AV13" s="287">
        <f>('[5]VO CY Balance Sheets'!CJ$354+'[6]FOG CY Balance Sheet'!BC$65)/AV5</f>
        <v>3.5244133146870618</v>
      </c>
      <c r="AW13" s="287">
        <f>('[5]VO CY Balance Sheets'!CK$354+'[6]FOG CY Balance Sheet'!BD$65)/AW5</f>
        <v>3.3687277380169376</v>
      </c>
      <c r="AX13" s="287">
        <f>('[5]VO CY Balance Sheets'!CL$354+'[6]FOG CY Balance Sheet'!BE$65)/AX5</f>
        <v>3.1012898202763677</v>
      </c>
      <c r="AY13" s="287">
        <f>('[5]VO CY Balance Sheets'!CM$354+'[6]FOG CY Balance Sheet'!BF$65)/AY5</f>
        <v>3.2073057331528685</v>
      </c>
      <c r="AZ13" s="274"/>
      <c r="BE13" s="277"/>
      <c r="BF13" s="277"/>
      <c r="BG13" s="277"/>
      <c r="BI13" s="68"/>
    </row>
    <row r="14" spans="1:63">
      <c r="A14" s="213" t="s">
        <v>159</v>
      </c>
      <c r="B14" s="226"/>
      <c r="C14" s="226"/>
      <c r="D14" s="226"/>
      <c r="E14" s="226"/>
      <c r="F14" s="226"/>
      <c r="G14" s="226"/>
      <c r="H14" s="226"/>
      <c r="I14" s="226"/>
      <c r="J14" s="226">
        <f t="shared" ref="J14:AY14" si="35">J12/J8</f>
        <v>5.6203100562181557E-2</v>
      </c>
      <c r="K14" s="226">
        <f t="shared" si="35"/>
        <v>7.8725942061710519E-2</v>
      </c>
      <c r="L14" s="226">
        <f t="shared" si="35"/>
        <v>9.8247581900457431E-2</v>
      </c>
      <c r="M14" s="226">
        <f t="shared" si="35"/>
        <v>9.2880826888408652E-2</v>
      </c>
      <c r="N14" s="226">
        <f t="shared" si="35"/>
        <v>0.1250867552822422</v>
      </c>
      <c r="O14" s="226">
        <f t="shared" si="35"/>
        <v>9.8637599045941812E-2</v>
      </c>
      <c r="P14" s="226">
        <f t="shared" si="35"/>
        <v>0.12352903188924584</v>
      </c>
      <c r="Q14" s="226">
        <f t="shared" si="35"/>
        <v>0.15128167532796347</v>
      </c>
      <c r="R14" s="226">
        <f t="shared" si="35"/>
        <v>9.8815001982654638E-2</v>
      </c>
      <c r="S14" s="226">
        <f t="shared" si="35"/>
        <v>0.10695533760511315</v>
      </c>
      <c r="T14" s="226">
        <f t="shared" si="35"/>
        <v>9.4367827310703353E-2</v>
      </c>
      <c r="U14" s="226">
        <f t="shared" si="35"/>
        <v>8.5839562398160429E-2</v>
      </c>
      <c r="V14" s="226">
        <f t="shared" si="35"/>
        <v>0.10852508151992488</v>
      </c>
      <c r="W14" s="226">
        <f t="shared" si="35"/>
        <v>9.787287052608587E-2</v>
      </c>
      <c r="X14" s="226">
        <f t="shared" si="35"/>
        <v>9.3157044823515917E-2</v>
      </c>
      <c r="Y14" s="227">
        <f t="shared" si="35"/>
        <v>0.16187308888888866</v>
      </c>
      <c r="Z14" s="227">
        <f t="shared" si="35"/>
        <v>0.31879347344249198</v>
      </c>
      <c r="AA14" s="227">
        <f t="shared" si="35"/>
        <v>0.7068670554028269</v>
      </c>
      <c r="AB14" s="227">
        <f t="shared" si="35"/>
        <v>0.7587355812933132</v>
      </c>
      <c r="AC14" s="227">
        <f t="shared" si="35"/>
        <v>1.5365708627632828</v>
      </c>
      <c r="AD14" s="227">
        <f t="shared" si="35"/>
        <v>1.5576983638466912</v>
      </c>
      <c r="AE14" s="227">
        <f t="shared" si="35"/>
        <v>1.8301176745698464</v>
      </c>
      <c r="AF14" s="227">
        <f t="shared" si="35"/>
        <v>2.1115895160134492</v>
      </c>
      <c r="AG14" s="227">
        <f t="shared" si="35"/>
        <v>2.1815767633527345</v>
      </c>
      <c r="AH14" s="227">
        <f t="shared" si="35"/>
        <v>2.7631926165816365</v>
      </c>
      <c r="AI14" s="227">
        <f t="shared" si="35"/>
        <v>3.1233603353666197</v>
      </c>
      <c r="AJ14" s="227">
        <f t="shared" si="35"/>
        <v>3.7806746447425108</v>
      </c>
      <c r="AK14" s="227">
        <f t="shared" si="35"/>
        <v>5.2568743896700321</v>
      </c>
      <c r="AL14" s="227">
        <f t="shared" si="35"/>
        <v>9.617070805723765</v>
      </c>
      <c r="AM14" s="227">
        <f t="shared" si="35"/>
        <v>10.487595190492609</v>
      </c>
      <c r="AN14" s="227">
        <f t="shared" si="35"/>
        <v>20.896772919341732</v>
      </c>
      <c r="AO14" s="227" t="e">
        <f t="shared" si="35"/>
        <v>#NUM!</v>
      </c>
      <c r="AP14" s="227" t="e">
        <f t="shared" si="35"/>
        <v>#NUM!</v>
      </c>
      <c r="AQ14" s="227" t="e">
        <f t="shared" si="35"/>
        <v>#NUM!</v>
      </c>
      <c r="AR14" s="227" t="e">
        <f t="shared" si="35"/>
        <v>#NUM!</v>
      </c>
      <c r="AS14" s="227" t="e">
        <f t="shared" si="35"/>
        <v>#NUM!</v>
      </c>
      <c r="AT14" s="227" t="e">
        <f t="shared" si="35"/>
        <v>#NUM!</v>
      </c>
      <c r="AU14" s="227" t="e">
        <f t="shared" si="35"/>
        <v>#NUM!</v>
      </c>
      <c r="AV14" s="227" t="e">
        <f t="shared" si="35"/>
        <v>#NUM!</v>
      </c>
      <c r="AW14" s="227" t="e">
        <f t="shared" si="35"/>
        <v>#NUM!</v>
      </c>
      <c r="AX14" s="227" t="e">
        <f t="shared" si="35"/>
        <v>#NUM!</v>
      </c>
      <c r="AY14" s="227" t="e">
        <f t="shared" si="35"/>
        <v>#NUM!</v>
      </c>
      <c r="AZ14" s="211"/>
      <c r="BE14" s="210"/>
      <c r="BF14" s="210"/>
    </row>
    <row r="15" spans="1:63">
      <c r="A15" s="68" t="s">
        <v>160</v>
      </c>
      <c r="U15" s="224">
        <f>U116</f>
        <v>0.47118303717996407</v>
      </c>
      <c r="V15" s="224">
        <f>V116</f>
        <v>1.5831531467904429</v>
      </c>
      <c r="W15" s="224">
        <f>W116</f>
        <v>3.4434914643978995</v>
      </c>
      <c r="X15" s="225">
        <f>X116</f>
        <v>2.8120436873985586</v>
      </c>
      <c r="Y15" s="225">
        <f>Y116</f>
        <v>2.4824527692743636</v>
      </c>
      <c r="Z15" s="225">
        <f t="shared" ref="Z15:AY15" si="36">Z116</f>
        <v>1.7087521433427624</v>
      </c>
      <c r="AA15" s="225">
        <f t="shared" si="36"/>
        <v>2.4623577625008721</v>
      </c>
      <c r="AB15" s="225">
        <f t="shared" si="36"/>
        <v>2.6926876975301521</v>
      </c>
      <c r="AC15" s="225">
        <f t="shared" si="36"/>
        <v>3.3207023358837975</v>
      </c>
      <c r="AD15" s="225">
        <f t="shared" si="36"/>
        <v>3.9800331198517447</v>
      </c>
      <c r="AE15" s="225">
        <f t="shared" si="36"/>
        <v>4.1961768300005193</v>
      </c>
      <c r="AF15" s="225">
        <f t="shared" si="36"/>
        <v>4.0595251861603501</v>
      </c>
      <c r="AG15" s="225">
        <f t="shared" si="36"/>
        <v>3.7783545703912949</v>
      </c>
      <c r="AH15" s="225">
        <f t="shared" si="36"/>
        <v>3.4015856454378492</v>
      </c>
      <c r="AI15" s="225">
        <f t="shared" si="36"/>
        <v>3.7783545703912949</v>
      </c>
      <c r="AJ15" s="225">
        <f t="shared" si="36"/>
        <v>3.4015856454378492</v>
      </c>
      <c r="AK15" s="225">
        <f t="shared" si="36"/>
        <v>3.7783545703912949</v>
      </c>
      <c r="AL15" s="225">
        <f t="shared" si="36"/>
        <v>3.4015856454378492</v>
      </c>
      <c r="AM15" s="225">
        <f t="shared" si="36"/>
        <v>3.7783545703912949</v>
      </c>
      <c r="AN15" s="225">
        <f t="shared" si="36"/>
        <v>3.4015856454378492</v>
      </c>
      <c r="AO15" s="225">
        <f t="shared" si="36"/>
        <v>3.7783545703912949</v>
      </c>
      <c r="AP15" s="225">
        <f t="shared" si="36"/>
        <v>3.4015856454378492</v>
      </c>
      <c r="AQ15" s="225">
        <f t="shared" si="36"/>
        <v>3.7783545703912949</v>
      </c>
      <c r="AR15" s="225">
        <f t="shared" si="36"/>
        <v>3.7783545703912949</v>
      </c>
      <c r="AS15" s="225">
        <f t="shared" si="36"/>
        <v>3.4015856454378492</v>
      </c>
      <c r="AT15" s="225">
        <f t="shared" si="36"/>
        <v>3.7783545703912949</v>
      </c>
      <c r="AU15" s="225">
        <f t="shared" si="36"/>
        <v>3.4015856454378492</v>
      </c>
      <c r="AV15" s="225">
        <f t="shared" si="36"/>
        <v>3.7783545703912949</v>
      </c>
      <c r="AW15" s="225">
        <f t="shared" si="36"/>
        <v>3.4015856454378492</v>
      </c>
      <c r="AX15" s="225">
        <f t="shared" si="36"/>
        <v>3.7783545703912949</v>
      </c>
      <c r="AY15" s="225">
        <f t="shared" si="36"/>
        <v>3.4015856454378492</v>
      </c>
      <c r="AZ15" s="211"/>
      <c r="BE15" s="210"/>
      <c r="BF15" s="210"/>
    </row>
    <row r="16" spans="1:63" hidden="1">
      <c r="A16" s="210" t="s">
        <v>161</v>
      </c>
      <c r="B16" s="211"/>
      <c r="C16" s="231">
        <f t="shared" ref="C16:AY16" si="37">(C5/B5)-1</f>
        <v>0.2225332400279918</v>
      </c>
      <c r="D16" s="231">
        <f t="shared" si="37"/>
        <v>0.35575271894676597</v>
      </c>
      <c r="E16" s="231">
        <f t="shared" si="37"/>
        <v>0.96910843712616979</v>
      </c>
      <c r="F16" s="231">
        <f t="shared" si="37"/>
        <v>2.2444341207161487</v>
      </c>
      <c r="G16" s="231">
        <f t="shared" si="37"/>
        <v>1.7584839573076034</v>
      </c>
      <c r="H16" s="231">
        <f t="shared" si="37"/>
        <v>0.9558616834371505</v>
      </c>
      <c r="I16" s="231">
        <f t="shared" si="37"/>
        <v>0.38438343411742126</v>
      </c>
      <c r="J16" s="231">
        <f t="shared" si="37"/>
        <v>-0.23934275859119569</v>
      </c>
      <c r="K16" s="231">
        <f t="shared" si="37"/>
        <v>-0.33416180858344302</v>
      </c>
      <c r="L16" s="231">
        <f t="shared" si="37"/>
        <v>1.8169949103784018</v>
      </c>
      <c r="M16" s="231">
        <f t="shared" si="37"/>
        <v>2.4012899491462569E-2</v>
      </c>
      <c r="N16" s="231">
        <f t="shared" si="37"/>
        <v>0.37220100291507485</v>
      </c>
      <c r="O16" s="231">
        <f t="shared" si="37"/>
        <v>-5.9197943883435689E-2</v>
      </c>
      <c r="P16" s="231">
        <f t="shared" si="37"/>
        <v>-1.2222249153425957E-2</v>
      </c>
      <c r="Q16" s="231">
        <f t="shared" si="37"/>
        <v>0.24093380520157948</v>
      </c>
      <c r="R16" s="231">
        <f t="shared" si="37"/>
        <v>1.7846823113673693E-2</v>
      </c>
      <c r="S16" s="231">
        <f t="shared" si="37"/>
        <v>0.16394530581703814</v>
      </c>
      <c r="T16" s="231">
        <f t="shared" si="37"/>
        <v>-7.1507948558082068E-2</v>
      </c>
      <c r="U16" s="231">
        <f t="shared" si="37"/>
        <v>5.2301385035125936E-2</v>
      </c>
      <c r="V16" s="231">
        <f t="shared" si="37"/>
        <v>-5.83424578952213E-2</v>
      </c>
      <c r="W16" s="231">
        <f t="shared" si="37"/>
        <v>-5.079396661448643E-2</v>
      </c>
      <c r="X16" s="232">
        <f t="shared" si="37"/>
        <v>4.6115138650589804E-2</v>
      </c>
      <c r="Y16" s="232">
        <f t="shared" si="37"/>
        <v>-8.0577843233283764E-3</v>
      </c>
      <c r="Z16" s="232">
        <f t="shared" si="37"/>
        <v>-5.9089255502586813E-2</v>
      </c>
      <c r="AA16" s="232">
        <f t="shared" si="37"/>
        <v>-7.7575025251550245E-2</v>
      </c>
      <c r="AB16" s="232">
        <f t="shared" si="37"/>
        <v>6.4644029470857234E-3</v>
      </c>
      <c r="AC16" s="232">
        <f t="shared" si="37"/>
        <v>-0.2029045099747453</v>
      </c>
      <c r="AD16" s="232">
        <f t="shared" si="37"/>
        <v>0.15284080000401645</v>
      </c>
      <c r="AE16" s="232">
        <f t="shared" si="37"/>
        <v>1.226770552313261E-2</v>
      </c>
      <c r="AF16" s="232">
        <f t="shared" si="37"/>
        <v>-5.7420201460197662E-3</v>
      </c>
      <c r="AG16" s="232">
        <f t="shared" si="37"/>
        <v>5.816213688452021E-2</v>
      </c>
      <c r="AH16" s="232">
        <f t="shared" si="37"/>
        <v>-6.0970481434723611E-2</v>
      </c>
      <c r="AI16" s="232">
        <f t="shared" si="37"/>
        <v>-2.2979516338700545E-2</v>
      </c>
      <c r="AJ16" s="232">
        <f t="shared" si="37"/>
        <v>-3.9594388857209006E-2</v>
      </c>
      <c r="AK16" s="232">
        <f t="shared" si="37"/>
        <v>-0.16218951087013211</v>
      </c>
      <c r="AL16" s="232">
        <f t="shared" si="37"/>
        <v>-0.18885003681282364</v>
      </c>
      <c r="AM16" s="232">
        <f t="shared" si="37"/>
        <v>-1.8978148456352151E-2</v>
      </c>
      <c r="AN16" s="232">
        <f t="shared" si="37"/>
        <v>-0.1685243183655456</v>
      </c>
      <c r="AO16" s="232">
        <f t="shared" si="37"/>
        <v>-0.39908447458360785</v>
      </c>
      <c r="AP16" s="232">
        <f t="shared" si="37"/>
        <v>0.10705741268182978</v>
      </c>
      <c r="AQ16" s="232">
        <f t="shared" si="37"/>
        <v>-4.0447830585868871E-2</v>
      </c>
      <c r="AR16" s="232">
        <f t="shared" si="37"/>
        <v>-0.17745588409774604</v>
      </c>
      <c r="AS16" s="232">
        <f t="shared" si="37"/>
        <v>1.0477915586141417E-2</v>
      </c>
      <c r="AT16" s="232">
        <f t="shared" si="37"/>
        <v>3.904779819750237E-3</v>
      </c>
      <c r="AU16" s="232">
        <f t="shared" si="37"/>
        <v>-3.1455211067619171E-3</v>
      </c>
      <c r="AV16" s="232">
        <f t="shared" si="37"/>
        <v>6.11834206330375E-4</v>
      </c>
      <c r="AW16" s="232">
        <f t="shared" si="37"/>
        <v>1.6431252601517787E-2</v>
      </c>
      <c r="AX16" s="232">
        <f t="shared" si="37"/>
        <v>1.7032024345727148E-2</v>
      </c>
      <c r="AY16" s="232">
        <f t="shared" si="37"/>
        <v>2.2020632338892954E-2</v>
      </c>
      <c r="BE16" s="210"/>
      <c r="BF16" s="210"/>
    </row>
    <row r="17" spans="1:70" hidden="1">
      <c r="A17" s="210" t="s">
        <v>162</v>
      </c>
      <c r="B17" s="211"/>
      <c r="C17" s="231">
        <f t="shared" ref="C17:AY17" si="38">(C8/B8)-1</f>
        <v>0.4456693520410131</v>
      </c>
      <c r="D17" s="231">
        <f t="shared" si="38"/>
        <v>8.7958468282660185E-2</v>
      </c>
      <c r="E17" s="231">
        <f t="shared" si="38"/>
        <v>0.8392554918361288</v>
      </c>
      <c r="F17" s="231">
        <f t="shared" si="38"/>
        <v>2.1562442929264027</v>
      </c>
      <c r="G17" s="231">
        <f t="shared" si="38"/>
        <v>1.8865881532561111</v>
      </c>
      <c r="H17" s="231">
        <f t="shared" si="38"/>
        <v>1.0671095857342277</v>
      </c>
      <c r="I17" s="231">
        <f t="shared" si="38"/>
        <v>0.50807573572719678</v>
      </c>
      <c r="J17" s="231">
        <f t="shared" si="38"/>
        <v>-0.3841522649388962</v>
      </c>
      <c r="K17" s="231">
        <f t="shared" si="38"/>
        <v>-0.32525126183221176</v>
      </c>
      <c r="L17" s="231">
        <f t="shared" si="38"/>
        <v>1.5943748230106123</v>
      </c>
      <c r="M17" s="231">
        <f t="shared" si="38"/>
        <v>-3.5261994700090171E-2</v>
      </c>
      <c r="N17" s="231">
        <f t="shared" si="38"/>
        <v>0.42556479320546026</v>
      </c>
      <c r="O17" s="231">
        <f t="shared" si="38"/>
        <v>4.209484487884585E-2</v>
      </c>
      <c r="P17" s="231">
        <f t="shared" si="38"/>
        <v>5.7798870094283306E-3</v>
      </c>
      <c r="Q17" s="231">
        <f t="shared" si="38"/>
        <v>0.32479777642382723</v>
      </c>
      <c r="R17" s="231">
        <f t="shared" si="38"/>
        <v>2.1306453469245756E-2</v>
      </c>
      <c r="S17" s="231">
        <f t="shared" si="38"/>
        <v>9.238206721343234E-3</v>
      </c>
      <c r="T17" s="231">
        <f t="shared" si="38"/>
        <v>-5.0298107494661015E-2</v>
      </c>
      <c r="U17" s="231">
        <f t="shared" si="38"/>
        <v>3.1465672552621893E-2</v>
      </c>
      <c r="V17" s="231">
        <f t="shared" si="38"/>
        <v>-9.636614757631623E-2</v>
      </c>
      <c r="W17" s="231">
        <f t="shared" si="38"/>
        <v>-4.4651839302691787E-2</v>
      </c>
      <c r="X17" s="232">
        <f t="shared" si="38"/>
        <v>0.11050065534338627</v>
      </c>
      <c r="Y17" s="232">
        <f t="shared" si="38"/>
        <v>4.6931165166114175E-2</v>
      </c>
      <c r="Z17" s="232">
        <f t="shared" si="38"/>
        <v>-0.11111111111111116</v>
      </c>
      <c r="AA17" s="232">
        <f t="shared" si="38"/>
        <v>-0.234375</v>
      </c>
      <c r="AB17" s="232">
        <f t="shared" si="38"/>
        <v>0.16326530612244894</v>
      </c>
      <c r="AC17" s="232">
        <f t="shared" si="38"/>
        <v>-0.31578947368421051</v>
      </c>
      <c r="AD17" s="232">
        <f t="shared" si="38"/>
        <v>0.23076923076923084</v>
      </c>
      <c r="AE17" s="232">
        <f t="shared" si="38"/>
        <v>2.0833333333333259E-2</v>
      </c>
      <c r="AF17" s="232">
        <f t="shared" si="38"/>
        <v>0</v>
      </c>
      <c r="AG17" s="232">
        <f t="shared" si="38"/>
        <v>8.163265306122458E-2</v>
      </c>
      <c r="AH17" s="232">
        <f t="shared" si="38"/>
        <v>-0.1132075471698113</v>
      </c>
      <c r="AI17" s="232">
        <f t="shared" si="38"/>
        <v>-2.1276595744680882E-2</v>
      </c>
      <c r="AJ17" s="232">
        <f t="shared" si="38"/>
        <v>-8.6956521739130488E-2</v>
      </c>
      <c r="AK17" s="232">
        <f t="shared" si="38"/>
        <v>-0.2142857142857143</v>
      </c>
      <c r="AL17" s="232">
        <f t="shared" si="38"/>
        <v>-0.39393939393939392</v>
      </c>
      <c r="AM17" s="232">
        <f t="shared" si="38"/>
        <v>0</v>
      </c>
      <c r="AN17" s="232">
        <f t="shared" si="38"/>
        <v>-0.44999999999999996</v>
      </c>
      <c r="AO17" s="232" t="e">
        <f t="shared" si="38"/>
        <v>#NUM!</v>
      </c>
      <c r="AP17" s="232" t="e">
        <f t="shared" si="38"/>
        <v>#NUM!</v>
      </c>
      <c r="AQ17" s="232" t="e">
        <f t="shared" si="38"/>
        <v>#NUM!</v>
      </c>
      <c r="AR17" s="232" t="e">
        <f t="shared" si="38"/>
        <v>#NUM!</v>
      </c>
      <c r="AS17" s="232" t="e">
        <f t="shared" si="38"/>
        <v>#NUM!</v>
      </c>
      <c r="AT17" s="232" t="e">
        <f t="shared" si="38"/>
        <v>#NUM!</v>
      </c>
      <c r="AU17" s="232" t="e">
        <f t="shared" si="38"/>
        <v>#NUM!</v>
      </c>
      <c r="AV17" s="232" t="e">
        <f t="shared" si="38"/>
        <v>#NUM!</v>
      </c>
      <c r="AW17" s="232" t="e">
        <f t="shared" si="38"/>
        <v>#NUM!</v>
      </c>
      <c r="AX17" s="232" t="e">
        <f t="shared" si="38"/>
        <v>#NUM!</v>
      </c>
      <c r="AY17" s="232" t="e">
        <f t="shared" si="38"/>
        <v>#NUM!</v>
      </c>
      <c r="BE17" s="210"/>
      <c r="BF17" s="210"/>
    </row>
    <row r="18" spans="1:70" hidden="1">
      <c r="A18" s="210" t="s">
        <v>163</v>
      </c>
      <c r="B18" s="211"/>
      <c r="C18" s="231" t="e">
        <f t="shared" ref="C18:AY18" si="39">(C12/B12)-1</f>
        <v>#DIV/0!</v>
      </c>
      <c r="D18" s="231" t="e">
        <f t="shared" si="39"/>
        <v>#DIV/0!</v>
      </c>
      <c r="E18" s="231" t="e">
        <f t="shared" si="39"/>
        <v>#DIV/0!</v>
      </c>
      <c r="F18" s="231" t="e">
        <f t="shared" si="39"/>
        <v>#DIV/0!</v>
      </c>
      <c r="G18" s="231" t="e">
        <f t="shared" si="39"/>
        <v>#DIV/0!</v>
      </c>
      <c r="H18" s="231" t="e">
        <f t="shared" si="39"/>
        <v>#DIV/0!</v>
      </c>
      <c r="I18" s="231" t="e">
        <f t="shared" si="39"/>
        <v>#DIV/0!</v>
      </c>
      <c r="J18" s="231" t="e">
        <f t="shared" si="39"/>
        <v>#DIV/0!</v>
      </c>
      <c r="K18" s="231">
        <f t="shared" si="39"/>
        <v>-5.485232067510537E-2</v>
      </c>
      <c r="L18" s="231">
        <f t="shared" si="39"/>
        <v>2.2377008928571436</v>
      </c>
      <c r="M18" s="231">
        <f t="shared" si="39"/>
        <v>-8.7960620204206919E-2</v>
      </c>
      <c r="N18" s="231">
        <f t="shared" si="39"/>
        <v>0.91987173672466005</v>
      </c>
      <c r="O18" s="231">
        <f t="shared" si="39"/>
        <v>-0.17825245970230275</v>
      </c>
      <c r="P18" s="231">
        <f t="shared" si="39"/>
        <v>0.2595908349115621</v>
      </c>
      <c r="Q18" s="231">
        <f t="shared" si="39"/>
        <v>0.62243339903973838</v>
      </c>
      <c r="R18" s="231">
        <f t="shared" si="39"/>
        <v>-0.33289739814371955</v>
      </c>
      <c r="S18" s="231">
        <f t="shared" si="39"/>
        <v>9.2378798340842394E-2</v>
      </c>
      <c r="T18" s="231">
        <f t="shared" si="39"/>
        <v>-0.16206796037164284</v>
      </c>
      <c r="U18" s="231">
        <f t="shared" si="39"/>
        <v>-6.1750551179651003E-2</v>
      </c>
      <c r="V18" s="231">
        <f t="shared" si="39"/>
        <v>0.14244451810655612</v>
      </c>
      <c r="W18" s="231">
        <f t="shared" si="39"/>
        <v>-0.13842343604141749</v>
      </c>
      <c r="X18" s="232">
        <f t="shared" si="39"/>
        <v>5.6993207313716709E-2</v>
      </c>
      <c r="Y18" s="232">
        <f t="shared" si="39"/>
        <v>0.819185890670314</v>
      </c>
      <c r="Z18" s="232">
        <f t="shared" si="39"/>
        <v>0.75058113944953275</v>
      </c>
      <c r="AA18" s="232">
        <f t="shared" si="39"/>
        <v>0.69763541094079851</v>
      </c>
      <c r="AB18" s="232">
        <f t="shared" si="39"/>
        <v>0.24862344551647131</v>
      </c>
      <c r="AC18" s="232">
        <f t="shared" si="39"/>
        <v>0.385644728748189</v>
      </c>
      <c r="AD18" s="232">
        <f t="shared" si="39"/>
        <v>0.24769202872580554</v>
      </c>
      <c r="AE18" s="232">
        <f t="shared" si="39"/>
        <v>0.19936257845826266</v>
      </c>
      <c r="AF18" s="232">
        <f t="shared" si="39"/>
        <v>0.15379985962364984</v>
      </c>
      <c r="AG18" s="232">
        <f t="shared" si="39"/>
        <v>0.11748265678872971</v>
      </c>
      <c r="AH18" s="232">
        <f t="shared" si="39"/>
        <v>0.12321436461161084</v>
      </c>
      <c r="AI18" s="232">
        <f t="shared" si="39"/>
        <v>0.10629488577881752</v>
      </c>
      <c r="AJ18" s="232">
        <f t="shared" si="39"/>
        <v>0.10519439230926686</v>
      </c>
      <c r="AK18" s="232">
        <f t="shared" si="39"/>
        <v>9.2503770964036169E-2</v>
      </c>
      <c r="AL18" s="232">
        <f t="shared" si="39"/>
        <v>0.10874396628117955</v>
      </c>
      <c r="AM18" s="232">
        <f t="shared" si="39"/>
        <v>9.0518662319792664E-2</v>
      </c>
      <c r="AN18" s="232">
        <f t="shared" si="39"/>
        <v>9.5887560196543653E-2</v>
      </c>
      <c r="AO18" s="232" t="e">
        <f t="shared" si="39"/>
        <v>#NUM!</v>
      </c>
      <c r="AP18" s="232" t="e">
        <f t="shared" si="39"/>
        <v>#NUM!</v>
      </c>
      <c r="AQ18" s="232" t="e">
        <f t="shared" si="39"/>
        <v>#NUM!</v>
      </c>
      <c r="AR18" s="232" t="e">
        <f t="shared" si="39"/>
        <v>#NUM!</v>
      </c>
      <c r="AS18" s="232" t="e">
        <f t="shared" si="39"/>
        <v>#NUM!</v>
      </c>
      <c r="AT18" s="232" t="e">
        <f t="shared" si="39"/>
        <v>#NUM!</v>
      </c>
      <c r="AU18" s="232" t="e">
        <f t="shared" si="39"/>
        <v>#NUM!</v>
      </c>
      <c r="AV18" s="232" t="e">
        <f t="shared" si="39"/>
        <v>#NUM!</v>
      </c>
      <c r="AW18" s="232" t="e">
        <f t="shared" si="39"/>
        <v>#NUM!</v>
      </c>
      <c r="AX18" s="232" t="e">
        <f t="shared" si="39"/>
        <v>#NUM!</v>
      </c>
      <c r="AY18" s="232" t="e">
        <f t="shared" si="39"/>
        <v>#NUM!</v>
      </c>
      <c r="BE18" s="210"/>
      <c r="BF18" s="210"/>
    </row>
    <row r="19" spans="1:70" hidden="1">
      <c r="A19" s="210" t="s">
        <v>164</v>
      </c>
      <c r="B19" s="211"/>
      <c r="C19" s="231">
        <f t="shared" ref="C19:W19" si="40">(C6/B6)-1</f>
        <v>1.438626842801181</v>
      </c>
      <c r="D19" s="231">
        <f t="shared" si="40"/>
        <v>-0.509458247399172</v>
      </c>
      <c r="E19" s="231">
        <f t="shared" si="40"/>
        <v>3.8624437006735235E-2</v>
      </c>
      <c r="F19" s="231">
        <f t="shared" si="40"/>
        <v>1.1253592990063956</v>
      </c>
      <c r="G19" s="231">
        <f t="shared" si="40"/>
        <v>4.1725115821985117</v>
      </c>
      <c r="H19" s="231">
        <f t="shared" si="40"/>
        <v>2.1257760238267132</v>
      </c>
      <c r="I19" s="231">
        <f t="shared" si="40"/>
        <v>1.2446054430668454</v>
      </c>
      <c r="J19" s="231">
        <f t="shared" si="40"/>
        <v>-0.75424005397270499</v>
      </c>
      <c r="K19" s="231">
        <f t="shared" si="40"/>
        <v>-0.70409617414774095</v>
      </c>
      <c r="L19" s="231">
        <f t="shared" si="40"/>
        <v>0.92030583946265332</v>
      </c>
      <c r="M19" s="231">
        <f t="shared" si="40"/>
        <v>-0.21234976472065659</v>
      </c>
      <c r="N19" s="231">
        <f t="shared" si="40"/>
        <v>8.5568581477139496</v>
      </c>
      <c r="O19" s="231">
        <f t="shared" si="40"/>
        <v>-0.43842001962708521</v>
      </c>
      <c r="P19" s="231">
        <f t="shared" si="40"/>
        <v>0.83464394932284791</v>
      </c>
      <c r="Q19" s="231">
        <f t="shared" si="40"/>
        <v>1.0096440052387194</v>
      </c>
      <c r="R19" s="231">
        <f t="shared" si="40"/>
        <v>-0.44463534569583518</v>
      </c>
      <c r="S19" s="231">
        <f t="shared" si="40"/>
        <v>-0.57659483678259016</v>
      </c>
      <c r="T19" s="231">
        <f t="shared" si="40"/>
        <v>2.7462836986646755E-2</v>
      </c>
      <c r="U19" s="231">
        <f t="shared" si="40"/>
        <v>0.14860225600784704</v>
      </c>
      <c r="V19" s="231">
        <f t="shared" si="40"/>
        <v>6.8531169940221792E-2</v>
      </c>
      <c r="W19" s="231">
        <f t="shared" si="40"/>
        <v>0.18881118881118875</v>
      </c>
      <c r="X19" s="232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231"/>
      <c r="AT19" s="231"/>
      <c r="AU19" s="231"/>
      <c r="AV19" s="231"/>
      <c r="AW19" s="231"/>
      <c r="AX19" s="231"/>
      <c r="AY19" s="231"/>
      <c r="BE19" s="210"/>
      <c r="BF19" s="210"/>
    </row>
    <row r="20" spans="1:70" hidden="1">
      <c r="A20" s="210" t="s">
        <v>165</v>
      </c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2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  <c r="AX20" s="231"/>
      <c r="AY20" s="231"/>
      <c r="BE20" s="210"/>
      <c r="BF20" s="210"/>
    </row>
    <row r="21" spans="1:70">
      <c r="A21" s="210"/>
      <c r="B21" s="21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11">
        <f t="shared" ref="R21:X21" si="41">R7-R11</f>
        <v>179.25385800000004</v>
      </c>
      <c r="S21" s="211">
        <f t="shared" si="41"/>
        <v>195.81311400000004</v>
      </c>
      <c r="T21" s="211">
        <f t="shared" si="41"/>
        <v>164.07808199999999</v>
      </c>
      <c r="U21" s="211">
        <f t="shared" si="41"/>
        <v>153.94616999999994</v>
      </c>
      <c r="V21" s="211">
        <f t="shared" si="41"/>
        <v>175.87495799999988</v>
      </c>
      <c r="W21" s="211">
        <f t="shared" si="41"/>
        <v>151.52974199999994</v>
      </c>
      <c r="X21" s="212">
        <f t="shared" si="41"/>
        <v>160.16590799999994</v>
      </c>
      <c r="Y21" s="212"/>
      <c r="Z21" s="212"/>
      <c r="AA21" s="212"/>
      <c r="AB21" s="212"/>
      <c r="AC21" s="212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BE21" s="210"/>
      <c r="BF21" s="210"/>
    </row>
    <row r="22" spans="1:70">
      <c r="A22" s="210"/>
      <c r="B22" s="211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11">
        <f t="shared" ref="R22:W22" si="42">R21-R12</f>
        <v>0</v>
      </c>
      <c r="S22" s="211">
        <f t="shared" si="42"/>
        <v>0</v>
      </c>
      <c r="T22" s="211">
        <f t="shared" si="42"/>
        <v>0</v>
      </c>
      <c r="U22" s="211">
        <f t="shared" si="42"/>
        <v>0</v>
      </c>
      <c r="V22" s="211">
        <f t="shared" si="42"/>
        <v>0</v>
      </c>
      <c r="W22" s="211">
        <f t="shared" si="42"/>
        <v>0</v>
      </c>
      <c r="X22" s="212">
        <f>X6+RD!X6</f>
        <v>646.14780952380954</v>
      </c>
      <c r="Y22" s="212"/>
      <c r="Z22" s="212"/>
      <c r="AA22" s="212"/>
      <c r="AB22" s="212"/>
      <c r="AC22" s="212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BE22" s="210"/>
      <c r="BF22" s="210"/>
    </row>
    <row r="23" spans="1:70" ht="12" thickBot="1">
      <c r="A23" s="234" t="s">
        <v>166</v>
      </c>
      <c r="BE23" s="210"/>
      <c r="BF23" s="210"/>
      <c r="BG23" s="210"/>
      <c r="BH23" s="210"/>
      <c r="BJ23" s="210"/>
      <c r="BK23" s="210"/>
    </row>
    <row r="24" spans="1:70" ht="12" thickBot="1">
      <c r="A24" s="236"/>
      <c r="B24" s="236">
        <f t="shared" ref="B24:AY24" si="43">B2</f>
        <v>2001</v>
      </c>
      <c r="C24" s="236">
        <f t="shared" si="43"/>
        <v>2002</v>
      </c>
      <c r="D24" s="236">
        <f t="shared" si="43"/>
        <v>2003</v>
      </c>
      <c r="E24" s="236">
        <f t="shared" si="43"/>
        <v>2004</v>
      </c>
      <c r="F24" s="236">
        <f t="shared" si="43"/>
        <v>2005</v>
      </c>
      <c r="G24" s="236">
        <f t="shared" si="43"/>
        <v>2006</v>
      </c>
      <c r="H24" s="236">
        <f t="shared" si="43"/>
        <v>2007</v>
      </c>
      <c r="I24" s="236">
        <f t="shared" si="43"/>
        <v>2008</v>
      </c>
      <c r="J24" s="236">
        <f t="shared" si="43"/>
        <v>2009</v>
      </c>
      <c r="K24" s="236">
        <f t="shared" si="43"/>
        <v>2010</v>
      </c>
      <c r="L24" s="236">
        <f t="shared" si="43"/>
        <v>2011</v>
      </c>
      <c r="M24" s="236">
        <f t="shared" si="43"/>
        <v>2012</v>
      </c>
      <c r="N24" s="236">
        <f t="shared" si="43"/>
        <v>2013</v>
      </c>
      <c r="O24" s="236">
        <f t="shared" si="43"/>
        <v>2014</v>
      </c>
      <c r="P24" s="236">
        <f t="shared" si="43"/>
        <v>2015</v>
      </c>
      <c r="Q24" s="236">
        <f t="shared" si="43"/>
        <v>2016</v>
      </c>
      <c r="R24" s="236">
        <f t="shared" si="43"/>
        <v>2017</v>
      </c>
      <c r="S24" s="236">
        <f t="shared" si="43"/>
        <v>2018</v>
      </c>
      <c r="T24" s="236">
        <f t="shared" si="43"/>
        <v>2019</v>
      </c>
      <c r="U24" s="236">
        <f t="shared" si="43"/>
        <v>2020</v>
      </c>
      <c r="V24" s="236">
        <f t="shared" si="43"/>
        <v>2021</v>
      </c>
      <c r="W24" s="236">
        <f t="shared" si="43"/>
        <v>2022</v>
      </c>
      <c r="X24" s="236">
        <f t="shared" si="43"/>
        <v>2023</v>
      </c>
      <c r="Y24" s="236">
        <f t="shared" si="43"/>
        <v>2024</v>
      </c>
      <c r="Z24" s="236">
        <f t="shared" si="43"/>
        <v>2025</v>
      </c>
      <c r="AA24" s="236">
        <f t="shared" si="43"/>
        <v>2026</v>
      </c>
      <c r="AB24" s="236">
        <f t="shared" si="43"/>
        <v>2027</v>
      </c>
      <c r="AC24" s="236">
        <f t="shared" si="43"/>
        <v>2028</v>
      </c>
      <c r="AD24" s="236">
        <f t="shared" si="43"/>
        <v>2029</v>
      </c>
      <c r="AE24" s="236">
        <f t="shared" si="43"/>
        <v>2030</v>
      </c>
      <c r="AF24" s="236">
        <f t="shared" si="43"/>
        <v>2031</v>
      </c>
      <c r="AG24" s="236">
        <f t="shared" si="43"/>
        <v>2032</v>
      </c>
      <c r="AH24" s="236">
        <f t="shared" si="43"/>
        <v>2033</v>
      </c>
      <c r="AI24" s="236">
        <f t="shared" si="43"/>
        <v>2034</v>
      </c>
      <c r="AJ24" s="236">
        <f t="shared" si="43"/>
        <v>2035</v>
      </c>
      <c r="AK24" s="236">
        <f t="shared" si="43"/>
        <v>2036</v>
      </c>
      <c r="AL24" s="236">
        <f t="shared" si="43"/>
        <v>2037</v>
      </c>
      <c r="AM24" s="236">
        <f t="shared" si="43"/>
        <v>2038</v>
      </c>
      <c r="AN24" s="236">
        <f t="shared" si="43"/>
        <v>2039</v>
      </c>
      <c r="AO24" s="236">
        <f t="shared" si="43"/>
        <v>2040</v>
      </c>
      <c r="AP24" s="236">
        <f t="shared" si="43"/>
        <v>2041</v>
      </c>
      <c r="AQ24" s="236">
        <f t="shared" si="43"/>
        <v>2042</v>
      </c>
      <c r="AR24" s="236">
        <f t="shared" si="43"/>
        <v>2043</v>
      </c>
      <c r="AS24" s="236">
        <f t="shared" si="43"/>
        <v>2044</v>
      </c>
      <c r="AT24" s="236">
        <f t="shared" si="43"/>
        <v>2045</v>
      </c>
      <c r="AU24" s="236">
        <f t="shared" si="43"/>
        <v>2046</v>
      </c>
      <c r="AV24" s="236">
        <f t="shared" si="43"/>
        <v>2047</v>
      </c>
      <c r="AW24" s="236">
        <f t="shared" si="43"/>
        <v>2048</v>
      </c>
      <c r="AX24" s="236">
        <f t="shared" si="43"/>
        <v>2049</v>
      </c>
      <c r="AY24" s="236">
        <f t="shared" si="43"/>
        <v>2050</v>
      </c>
      <c r="BE24" s="210"/>
      <c r="BF24" s="210"/>
      <c r="BG24" s="210"/>
      <c r="BH24" s="210"/>
      <c r="BJ24" s="210"/>
      <c r="BK24" s="210"/>
      <c r="BL24" s="210"/>
      <c r="BM24" s="210"/>
      <c r="BN24" s="210"/>
      <c r="BO24" s="210"/>
      <c r="BP24" s="210"/>
      <c r="BQ24" s="210"/>
      <c r="BR24" s="210"/>
    </row>
    <row r="25" spans="1:70" s="278" customFormat="1">
      <c r="A25" s="278" t="s">
        <v>167</v>
      </c>
      <c r="B25" s="288">
        <f>monthly_data!F339</f>
        <v>0.72799999999999998</v>
      </c>
      <c r="C25" s="288">
        <f>monthly_data!F351</f>
        <v>0.89</v>
      </c>
      <c r="D25" s="288">
        <f>monthly_data!F363</f>
        <v>1.2070000000000001</v>
      </c>
      <c r="E25" s="288">
        <f>monthly_data!F375</f>
        <v>2.37</v>
      </c>
      <c r="F25" s="288">
        <f>monthly_data!F387</f>
        <v>7.7110000000000003</v>
      </c>
      <c r="G25" s="288">
        <f>monthly_data!F399</f>
        <v>13.093</v>
      </c>
      <c r="H25" s="288">
        <f>monthly_data!F411</f>
        <v>29.085000000000001</v>
      </c>
      <c r="I25" s="288">
        <f>monthly_data!F423</f>
        <v>50.27</v>
      </c>
      <c r="J25" s="288">
        <f>monthly_data!F435</f>
        <v>42.383000000000003</v>
      </c>
      <c r="K25" s="288">
        <f>monthly_data!$F447</f>
        <v>26.606999999999999</v>
      </c>
      <c r="L25" s="288">
        <f>monthly_data!$F459</f>
        <v>35.354999999999997</v>
      </c>
      <c r="M25" s="288">
        <f>monthly_data!$F471</f>
        <v>73.546000000000006</v>
      </c>
      <c r="N25" s="288">
        <f>monthly_data!$F483</f>
        <v>68.864000000000004</v>
      </c>
      <c r="O25" s="288">
        <f>monthly_data!$F495</f>
        <v>72.540000000000006</v>
      </c>
      <c r="P25" s="288">
        <f>monthly_data!$F507</f>
        <v>72.546000000000006</v>
      </c>
      <c r="Q25" s="288">
        <f>monthly_data!$F519</f>
        <v>104.57599999999999</v>
      </c>
      <c r="R25" s="288">
        <f>monthly_data!$F531</f>
        <v>92.757000000000005</v>
      </c>
      <c r="S25" s="288">
        <f>monthly_data!$F543</f>
        <v>125.52500000000001</v>
      </c>
      <c r="T25" s="288">
        <f>monthly_data!$F555</f>
        <v>143.917</v>
      </c>
      <c r="U25" s="288">
        <f>monthly_data!$F567</f>
        <v>134.233</v>
      </c>
      <c r="V25" s="288">
        <f>monthly_data!$F579</f>
        <v>140.79400000000001</v>
      </c>
      <c r="W25" s="288">
        <f>monthly_data!$F591</f>
        <v>119.98699999999999</v>
      </c>
      <c r="X25" s="288">
        <f>monthly_data!$F603</f>
        <v>137.54599999999999</v>
      </c>
      <c r="Y25" s="288">
        <f>monthly_data!$F615</f>
        <v>127.182</v>
      </c>
      <c r="Z25" s="289">
        <f>[8]Biodiesel!Q3/1000000</f>
        <v>65.635810000000006</v>
      </c>
      <c r="AA25" s="289">
        <f>[8]Biodiesel!R3/1000000</f>
        <v>98.015663363137136</v>
      </c>
      <c r="AB25" s="289">
        <f>[8]Biodiesel!S3/1000000</f>
        <v>90.708468784077724</v>
      </c>
      <c r="AC25" s="289">
        <f>[8]Biodiesel!T3/1000000</f>
        <v>73.650931236886862</v>
      </c>
      <c r="AD25" s="289">
        <f>[8]Biodiesel!U3/1000000</f>
        <v>82.344485293023411</v>
      </c>
      <c r="AE25" s="289">
        <f>[8]Biodiesel!V3/1000000</f>
        <v>79.639224581323091</v>
      </c>
      <c r="AF25" s="289">
        <f>[8]Biodiesel!W3/1000000</f>
        <v>84.515444617420528</v>
      </c>
      <c r="AG25" s="289">
        <f>[8]Biodiesel!X3/1000000</f>
        <v>87.891592070975747</v>
      </c>
      <c r="AH25" s="289">
        <f>[8]Biodiesel!Y3/1000000</f>
        <v>102.34001960040375</v>
      </c>
      <c r="AI25" s="289">
        <f>[8]Biodiesel!Z3/1000000</f>
        <v>90.837867895528547</v>
      </c>
      <c r="AJ25" s="289">
        <f>[8]Biodiesel!AA3/1000000</f>
        <v>88.430181851996196</v>
      </c>
      <c r="AK25" s="289">
        <f>[8]Biodiesel!AB3/1000000</f>
        <v>71.413592333132087</v>
      </c>
      <c r="AL25" s="289">
        <f>[8]Biodiesel!AC3/1000000</f>
        <v>58.72654233300721</v>
      </c>
      <c r="AM25" s="289">
        <f>[8]Biodiesel!AD3/1000000</f>
        <v>59.072015448937201</v>
      </c>
      <c r="AN25" s="289">
        <f>[8]Biodiesel!AE3/1000000</f>
        <v>47.974747133285888</v>
      </c>
      <c r="AO25" s="289">
        <f>[8]Biodiesel!AF3/1000000</f>
        <v>28.531355080727757</v>
      </c>
      <c r="AP25" s="289">
        <f>[8]Biodiesel!AG3/1000000</f>
        <v>31.542732125062745</v>
      </c>
      <c r="AQ25" s="289">
        <f>[8]Biodiesel!AH3/1000000</f>
        <v>31.214660132799487</v>
      </c>
      <c r="AR25" s="289">
        <f>[8]Biodiesel!AI3/1000000</f>
        <v>25.74947639566124</v>
      </c>
      <c r="AS25" s="289">
        <f>[8]Biodiesel!AJ3/1000000</f>
        <v>25.891829244321791</v>
      </c>
      <c r="AT25" s="289">
        <f>[8]Biodiesel!AK3/1000000</f>
        <v>26.000662669733963</v>
      </c>
      <c r="AU25" s="289">
        <f>[8]Biodiesel!AL3/1000000</f>
        <v>25.922451198247305</v>
      </c>
      <c r="AV25" s="289">
        <f>[8]Biodiesel!AM3/1000000</f>
        <v>25.967186327067996</v>
      </c>
      <c r="AW25" s="289">
        <f>[8]Biodiesel!AN3/1000000</f>
        <v>26.390790205999963</v>
      </c>
      <c r="AX25" s="289">
        <f>[8]Biodiesel!AO3/1000000</f>
        <v>26.821854340091935</v>
      </c>
      <c r="AY25" s="289">
        <f>[8]Biodiesel!AP3/1000000</f>
        <v>27.416523334585477</v>
      </c>
      <c r="AZ25" s="290"/>
      <c r="BE25" s="277"/>
      <c r="BF25" s="277"/>
      <c r="BG25" s="277"/>
      <c r="BH25" s="277"/>
      <c r="BI25" s="277"/>
      <c r="BJ25" s="277"/>
      <c r="BK25" s="277"/>
      <c r="BL25" s="277"/>
      <c r="BM25" s="277"/>
      <c r="BN25" s="277"/>
      <c r="BO25" s="277"/>
      <c r="BP25" s="277"/>
      <c r="BQ25" s="277"/>
      <c r="BR25" s="277"/>
    </row>
    <row r="26" spans="1:70" s="278" customFormat="1">
      <c r="A26" s="278" t="s">
        <v>168</v>
      </c>
      <c r="B26" s="288">
        <f>monthly_data!F340</f>
        <v>0.65800000000000003</v>
      </c>
      <c r="C26" s="288">
        <f>monthly_data!F352</f>
        <v>0.80400000000000005</v>
      </c>
      <c r="D26" s="288">
        <f>monthly_data!F364</f>
        <v>1.0900000000000001</v>
      </c>
      <c r="E26" s="288">
        <f>monthly_data!F376</f>
        <v>2.2170000000000001</v>
      </c>
      <c r="F26" s="288">
        <f>monthly_data!F388</f>
        <v>6.9640000000000004</v>
      </c>
      <c r="G26" s="288">
        <f>monthly_data!F400</f>
        <v>11.317</v>
      </c>
      <c r="H26" s="288">
        <f>monthly_data!F412</f>
        <v>23.701000000000001</v>
      </c>
      <c r="I26" s="288">
        <f>monthly_data!F424</f>
        <v>45.104999999999997</v>
      </c>
      <c r="J26" s="288">
        <f>monthly_data!F436</f>
        <v>33.432000000000002</v>
      </c>
      <c r="K26" s="288">
        <f>monthly_data!$F448</f>
        <v>29.245999999999999</v>
      </c>
      <c r="L26" s="288">
        <f>monthly_data!$F460</f>
        <v>40.341999999999999</v>
      </c>
      <c r="M26" s="288">
        <f>monthly_data!$F472</f>
        <v>79.236000000000004</v>
      </c>
      <c r="N26" s="288">
        <f>monthly_data!$F484</f>
        <v>70.233999999999995</v>
      </c>
      <c r="O26" s="288">
        <f>monthly_data!$F496</f>
        <v>75.643000000000001</v>
      </c>
      <c r="P26" s="288">
        <f>monthly_data!$F508</f>
        <v>77.736000000000004</v>
      </c>
      <c r="Q26" s="288">
        <f>monthly_data!$F520</f>
        <v>105.154</v>
      </c>
      <c r="R26" s="288">
        <f>monthly_data!$F532</f>
        <v>93.983000000000004</v>
      </c>
      <c r="S26" s="288">
        <f>monthly_data!$F544</f>
        <v>127.94499999999999</v>
      </c>
      <c r="T26" s="288">
        <f>monthly_data!$F556</f>
        <v>130.529</v>
      </c>
      <c r="U26" s="288">
        <f>monthly_data!$F568</f>
        <v>131.82900000000001</v>
      </c>
      <c r="V26" s="288">
        <f>monthly_data!$F580</f>
        <v>108.27</v>
      </c>
      <c r="W26" s="288">
        <f>monthly_data!$F592</f>
        <v>113.685</v>
      </c>
      <c r="X26" s="288">
        <f>monthly_data!$F604</f>
        <v>119.309</v>
      </c>
      <c r="Y26" s="288">
        <f>monthly_data!$F616</f>
        <v>125.521</v>
      </c>
      <c r="Z26" s="289">
        <f>[8]Biodiesel!Q4/1000000</f>
        <v>73.721896000000001</v>
      </c>
      <c r="AA26" s="289">
        <f>[8]Biodiesel!R4/1000000</f>
        <v>103.98121243447548</v>
      </c>
      <c r="AB26" s="289">
        <f>[8]Biodiesel!S4/1000000</f>
        <v>96.954079202789245</v>
      </c>
      <c r="AC26" s="289">
        <f>[8]Biodiesel!T4/1000000</f>
        <v>76.714622401454776</v>
      </c>
      <c r="AD26" s="289">
        <f>[8]Biodiesel!U4/1000000</f>
        <v>87.564249538713028</v>
      </c>
      <c r="AE26" s="289">
        <f>[8]Biodiesel!V4/1000000</f>
        <v>85.185989865512084</v>
      </c>
      <c r="AF26" s="289">
        <f>[8]Biodiesel!W4/1000000</f>
        <v>89.701855181868964</v>
      </c>
      <c r="AG26" s="289">
        <f>[8]Biodiesel!X4/1000000</f>
        <v>93.295735701281473</v>
      </c>
      <c r="AH26" s="289">
        <f>[8]Biodiesel!Y4/1000000</f>
        <v>87.267964936471202</v>
      </c>
      <c r="AI26" s="289">
        <f>[8]Biodiesel!Z4/1000000</f>
        <v>85.044385679333374</v>
      </c>
      <c r="AJ26" s="289">
        <f>[8]Biodiesel!AA4/1000000</f>
        <v>81.55478499561282</v>
      </c>
      <c r="AK26" s="289">
        <f>[8]Biodiesel!AB4/1000000</f>
        <v>68.715950345740765</v>
      </c>
      <c r="AL26" s="289">
        <f>[8]Biodiesel!AC4/1000000</f>
        <v>55.392132165890267</v>
      </c>
      <c r="AM26" s="289">
        <f>[8]Biodiesel!AD4/1000000</f>
        <v>54.226728147470638</v>
      </c>
      <c r="AN26" s="289">
        <f>[8]Biodiesel!AE4/1000000</f>
        <v>44.909117337509485</v>
      </c>
      <c r="AO26" s="289">
        <f>[8]Biodiesel!AF4/1000000</f>
        <v>26.707199550333399</v>
      </c>
      <c r="AP26" s="289">
        <f>[8]Biodiesel!AG4/1000000</f>
        <v>29.671057187318134</v>
      </c>
      <c r="AQ26" s="289">
        <f>[8]Biodiesel!AH4/1000000</f>
        <v>29.14962340055957</v>
      </c>
      <c r="AR26" s="289">
        <f>[8]Biodiesel!AI4/1000000</f>
        <v>23.974497788962214</v>
      </c>
      <c r="AS26" s="289">
        <f>[8]Biodiesel!AJ4/1000000</f>
        <v>24.228374580098492</v>
      </c>
      <c r="AT26" s="289">
        <f>[8]Biodiesel!AK4/1000000</f>
        <v>24.327201397123329</v>
      </c>
      <c r="AU26" s="289">
        <f>[8]Biodiesel!AL4/1000000</f>
        <v>24.251773696342578</v>
      </c>
      <c r="AV26" s="289">
        <f>[8]Biodiesel!AM4/1000000</f>
        <v>24.262563426456726</v>
      </c>
      <c r="AW26" s="289">
        <f>[8]Biodiesel!AN4/1000000</f>
        <v>24.661607742656919</v>
      </c>
      <c r="AX26" s="289">
        <f>[8]Biodiesel!AO4/1000000</f>
        <v>25.082521998701154</v>
      </c>
      <c r="AY26" s="289">
        <f>[8]Biodiesel!AP4/1000000</f>
        <v>25.635372576924951</v>
      </c>
      <c r="AZ26" s="290"/>
      <c r="BE26" s="277"/>
      <c r="BF26" s="277"/>
      <c r="BG26" s="277"/>
      <c r="BH26" s="277"/>
      <c r="BI26" s="277"/>
      <c r="BJ26" s="277"/>
      <c r="BK26" s="277"/>
      <c r="BL26" s="277"/>
      <c r="BM26" s="277"/>
      <c r="BN26" s="277"/>
      <c r="BO26" s="277"/>
      <c r="BP26" s="277"/>
      <c r="BQ26" s="277"/>
      <c r="BR26" s="277"/>
    </row>
    <row r="27" spans="1:70" s="278" customFormat="1">
      <c r="A27" s="278" t="s">
        <v>169</v>
      </c>
      <c r="B27" s="288">
        <f>monthly_data!F341</f>
        <v>0.72799999999999998</v>
      </c>
      <c r="C27" s="288">
        <f>monthly_data!F353</f>
        <v>0.89</v>
      </c>
      <c r="D27" s="288">
        <f>monthly_data!F365</f>
        <v>1.2070000000000001</v>
      </c>
      <c r="E27" s="288">
        <f>monthly_data!F377</f>
        <v>2.37</v>
      </c>
      <c r="F27" s="288">
        <f>monthly_data!F389</f>
        <v>7.7110000000000003</v>
      </c>
      <c r="G27" s="288">
        <f>monthly_data!F401</f>
        <v>15.436999999999999</v>
      </c>
      <c r="H27" s="288">
        <f>monthly_data!F413</f>
        <v>32.543999999999997</v>
      </c>
      <c r="I27" s="288">
        <f>monthly_data!F425</f>
        <v>49.881999999999998</v>
      </c>
      <c r="J27" s="288">
        <f>monthly_data!F437</f>
        <v>26.594000000000001</v>
      </c>
      <c r="K27" s="288">
        <f>monthly_data!$F449</f>
        <v>33.771999999999998</v>
      </c>
      <c r="L27" s="288">
        <f>monthly_data!$F461</f>
        <v>59.59</v>
      </c>
      <c r="M27" s="288">
        <f>monthly_data!$F473</f>
        <v>94.524000000000001</v>
      </c>
      <c r="N27" s="288">
        <f>monthly_data!$F485</f>
        <v>101.28400000000001</v>
      </c>
      <c r="O27" s="288">
        <f>monthly_data!$F497</f>
        <v>99.177999999999997</v>
      </c>
      <c r="P27" s="288">
        <f>monthly_data!$F509</f>
        <v>97.673000000000002</v>
      </c>
      <c r="Q27" s="288">
        <f>monthly_data!$F521</f>
        <v>120.15900000000001</v>
      </c>
      <c r="R27" s="288">
        <f>monthly_data!$F533</f>
        <v>115.973</v>
      </c>
      <c r="S27" s="288">
        <f>monthly_data!$F545</f>
        <v>149.12700000000001</v>
      </c>
      <c r="T27" s="288">
        <f>monthly_data!$F557</f>
        <v>140.82499999999999</v>
      </c>
      <c r="U27" s="288">
        <f>monthly_data!$F569</f>
        <v>150.94499999999999</v>
      </c>
      <c r="V27" s="288">
        <f>monthly_data!$F581</f>
        <v>150.571</v>
      </c>
      <c r="W27" s="288">
        <f>monthly_data!$F593</f>
        <v>132.755</v>
      </c>
      <c r="X27" s="288">
        <f>monthly_data!$F605</f>
        <v>139.26400000000001</v>
      </c>
      <c r="Y27" s="288">
        <f>monthly_data!$F617</f>
        <v>135.63999999999999</v>
      </c>
      <c r="Z27" s="289">
        <f>[8]Biodiesel!Q5/1000000</f>
        <v>95.835418000000004</v>
      </c>
      <c r="AA27" s="289">
        <f>[8]Biodiesel!R5/1000000</f>
        <v>114.30343264373816</v>
      </c>
      <c r="AB27" s="289">
        <f>[8]Biodiesel!S5/1000000</f>
        <v>111.9363842928541</v>
      </c>
      <c r="AC27" s="289">
        <f>[8]Biodiesel!T5/1000000</f>
        <v>87.324865127315704</v>
      </c>
      <c r="AD27" s="289">
        <f>[8]Biodiesel!U5/1000000</f>
        <v>99.623800395883521</v>
      </c>
      <c r="AE27" s="289">
        <f>[8]Biodiesel!V5/1000000</f>
        <v>98.788266673304534</v>
      </c>
      <c r="AF27" s="289">
        <f>[8]Biodiesel!W5/1000000</f>
        <v>101.96548345301311</v>
      </c>
      <c r="AG27" s="289">
        <f>[8]Biodiesel!X5/1000000</f>
        <v>106.88348169804786</v>
      </c>
      <c r="AH27" s="289">
        <f>[8]Biodiesel!Y5/1000000</f>
        <v>99.804035947552265</v>
      </c>
      <c r="AI27" s="289">
        <f>[8]Biodiesel!Z5/1000000</f>
        <v>97.339813061025666</v>
      </c>
      <c r="AJ27" s="289">
        <f>[8]Biodiesel!AA5/1000000</f>
        <v>93.456891195951954</v>
      </c>
      <c r="AK27" s="289">
        <f>[8]Biodiesel!AB5/1000000</f>
        <v>78.560593316256842</v>
      </c>
      <c r="AL27" s="289">
        <f>[8]Biodiesel!AC5/1000000</f>
        <v>63.40650149846109</v>
      </c>
      <c r="AM27" s="289">
        <f>[8]Biodiesel!AD5/1000000</f>
        <v>62.059510324372596</v>
      </c>
      <c r="AN27" s="289">
        <f>[8]Biodiesel!AE5/1000000</f>
        <v>51.405235304008698</v>
      </c>
      <c r="AO27" s="289">
        <f>[8]Biodiesel!AF5/1000000</f>
        <v>30.57162106039361</v>
      </c>
      <c r="AP27" s="289">
        <f>[8]Biodiesel!AG5/1000000</f>
        <v>33.951568642657229</v>
      </c>
      <c r="AQ27" s="289">
        <f>[8]Biodiesel!AH5/1000000</f>
        <v>33.362028223447886</v>
      </c>
      <c r="AR27" s="289">
        <f>[8]Biodiesel!AI5/1000000</f>
        <v>27.438056028013065</v>
      </c>
      <c r="AS27" s="289">
        <f>[8]Biodiesel!AJ5/1000000</f>
        <v>27.729128821050434</v>
      </c>
      <c r="AT27" s="289">
        <f>[8]Biodiesel!AK5/1000000</f>
        <v>27.84129512113066</v>
      </c>
      <c r="AU27" s="289">
        <f>[8]Biodiesel!AL5/1000000</f>
        <v>27.754142022674316</v>
      </c>
      <c r="AV27" s="289">
        <f>[8]Biodiesel!AM5/1000000</f>
        <v>27.767748944908732</v>
      </c>
      <c r="AW27" s="289">
        <f>[8]Biodiesel!AN5/1000000</f>
        <v>28.224200055346447</v>
      </c>
      <c r="AX27" s="289">
        <f>[8]Biodiesel!AO5/1000000</f>
        <v>28.705872786316611</v>
      </c>
      <c r="AY27" s="289">
        <f>[8]Biodiesel!AP5/1000000</f>
        <v>29.338421152509017</v>
      </c>
      <c r="AZ27" s="290"/>
      <c r="BE27" s="277"/>
      <c r="BF27" s="277"/>
      <c r="BG27" s="277"/>
      <c r="BH27" s="277"/>
      <c r="BI27" s="277"/>
      <c r="BJ27" s="277"/>
      <c r="BK27" s="277"/>
      <c r="BL27" s="277"/>
      <c r="BM27" s="277"/>
      <c r="BN27" s="277"/>
      <c r="BO27" s="277"/>
      <c r="BP27" s="277"/>
      <c r="BQ27" s="277"/>
      <c r="BR27" s="277"/>
    </row>
    <row r="28" spans="1:70" s="278" customFormat="1">
      <c r="A28" s="278" t="s">
        <v>170</v>
      </c>
      <c r="B28" s="288">
        <f>monthly_data!F342</f>
        <v>0.70499999999999996</v>
      </c>
      <c r="C28" s="288">
        <f>monthly_data!F354</f>
        <v>0.86199999999999999</v>
      </c>
      <c r="D28" s="288">
        <f>monthly_data!F366</f>
        <v>1.1679999999999999</v>
      </c>
      <c r="E28" s="288">
        <f>monthly_data!F378</f>
        <v>2.294</v>
      </c>
      <c r="F28" s="288">
        <f>monthly_data!F390</f>
        <v>7.4619999999999997</v>
      </c>
      <c r="G28" s="288">
        <f>monthly_data!F402</f>
        <v>16.186</v>
      </c>
      <c r="H28" s="288">
        <f>monthly_data!F414</f>
        <v>32.125</v>
      </c>
      <c r="I28" s="288">
        <f>monthly_data!F426</f>
        <v>53.276000000000003</v>
      </c>
      <c r="J28" s="288">
        <f>monthly_data!F438</f>
        <v>28.170999999999999</v>
      </c>
      <c r="K28" s="288">
        <f>monthly_data!$F450</f>
        <v>34.19</v>
      </c>
      <c r="L28" s="288">
        <f>monthly_data!$F462</f>
        <v>71.052000000000007</v>
      </c>
      <c r="M28" s="288">
        <f>monthly_data!$F474</f>
        <v>93.942999999999998</v>
      </c>
      <c r="N28" s="288">
        <f>monthly_data!$F486</f>
        <v>107.01900000000001</v>
      </c>
      <c r="O28" s="288">
        <f>monthly_data!$F498</f>
        <v>93.352000000000004</v>
      </c>
      <c r="P28" s="288">
        <f>monthly_data!$F510</f>
        <v>107.85</v>
      </c>
      <c r="Q28" s="288">
        <f>monthly_data!$F522</f>
        <v>119.95099999999999</v>
      </c>
      <c r="R28" s="288">
        <f>monthly_data!$F534</f>
        <v>126.821</v>
      </c>
      <c r="S28" s="288">
        <f>monthly_data!$F546</f>
        <v>142.52500000000001</v>
      </c>
      <c r="T28" s="288">
        <f>monthly_data!$F558</f>
        <v>152.149</v>
      </c>
      <c r="U28" s="288">
        <f>monthly_data!$F570</f>
        <v>143.72900000000001</v>
      </c>
      <c r="V28" s="288">
        <f>monthly_data!$F582</f>
        <v>144.03899999999999</v>
      </c>
      <c r="W28" s="288">
        <f>monthly_data!$F594</f>
        <v>126.742</v>
      </c>
      <c r="X28" s="288">
        <f>monthly_data!$F606</f>
        <v>133.381</v>
      </c>
      <c r="Y28" s="288">
        <f>monthly_data!$F618</f>
        <v>133.541</v>
      </c>
      <c r="Z28" s="289">
        <f>[8]Biodiesel!Q6/1000000</f>
        <v>131.79198624915776</v>
      </c>
      <c r="AA28" s="289">
        <f>[8]Biodiesel!R6/1000000</f>
        <v>122.28117198496304</v>
      </c>
      <c r="AB28" s="289">
        <f>[8]Biodiesel!S6/1000000</f>
        <v>122.75816892761807</v>
      </c>
      <c r="AC28" s="289">
        <f>[8]Biodiesel!T6/1000000</f>
        <v>96.509092511040848</v>
      </c>
      <c r="AD28" s="289">
        <f>[8]Biodiesel!U6/1000000</f>
        <v>111.91901522006535</v>
      </c>
      <c r="AE28" s="289">
        <f>[8]Biodiesel!V6/1000000</f>
        <v>113.78228360542427</v>
      </c>
      <c r="AF28" s="289">
        <f>[8]Biodiesel!W6/1000000</f>
        <v>113.07311963273118</v>
      </c>
      <c r="AG28" s="289">
        <f>[8]Biodiesel!X6/1000000</f>
        <v>119.47706491385267</v>
      </c>
      <c r="AH28" s="289">
        <f>[8]Biodiesel!Y6/1000000</f>
        <v>112.0568257149188</v>
      </c>
      <c r="AI28" s="289">
        <f>[8]Biodiesel!Z6/1000000</f>
        <v>109.61425434227625</v>
      </c>
      <c r="AJ28" s="289">
        <f>[8]Biodiesel!AA6/1000000</f>
        <v>105.3243961988731</v>
      </c>
      <c r="AK28" s="289">
        <f>[8]Biodiesel!AB6/1000000</f>
        <v>88.217466968715158</v>
      </c>
      <c r="AL28" s="289">
        <f>[8]Biodiesel!AC6/1000000</f>
        <v>71.542870744882549</v>
      </c>
      <c r="AM28" s="289">
        <f>[8]Biodiesel!AD6/1000000</f>
        <v>70.185048724618383</v>
      </c>
      <c r="AN28" s="289">
        <f>[8]Biodiesel!AE6/1000000</f>
        <v>58.378337975254468</v>
      </c>
      <c r="AO28" s="289">
        <f>[8]Biodiesel!AF6/1000000</f>
        <v>35.09148652540074</v>
      </c>
      <c r="AP28" s="289">
        <f>[8]Biodiesel!AG6/1000000</f>
        <v>38.841382892555536</v>
      </c>
      <c r="AQ28" s="289">
        <f>[8]Biodiesel!AH6/1000000</f>
        <v>37.243943818960851</v>
      </c>
      <c r="AR28" s="289">
        <f>[8]Biodiesel!AI6/1000000</f>
        <v>30.635596394600054</v>
      </c>
      <c r="AS28" s="289">
        <f>[8]Biodiesel!AJ6/1000000</f>
        <v>30.958260082361246</v>
      </c>
      <c r="AT28" s="289">
        <f>[8]Biodiesel!AK6/1000000</f>
        <v>31.078575690346614</v>
      </c>
      <c r="AU28" s="289">
        <f>[8]Biodiesel!AL6/1000000</f>
        <v>30.980195755365955</v>
      </c>
      <c r="AV28" s="289">
        <f>[8]Biodiesel!AM6/1000000</f>
        <v>30.9991080758458</v>
      </c>
      <c r="AW28" s="289">
        <f>[8]Biodiesel!AN6/1000000</f>
        <v>31.508769552715478</v>
      </c>
      <c r="AX28" s="289">
        <f>[8]Biodiesel!AO6/1000000</f>
        <v>32.045578074299847</v>
      </c>
      <c r="AY28" s="289">
        <f>[8]Biodiesel!AP6/1000000</f>
        <v>32.751078082785845</v>
      </c>
      <c r="AZ28" s="290"/>
      <c r="BE28" s="277"/>
      <c r="BF28" s="277"/>
      <c r="BG28" s="277"/>
      <c r="BH28" s="277"/>
      <c r="BI28" s="277"/>
      <c r="BJ28" s="277"/>
      <c r="BK28" s="277"/>
      <c r="BL28" s="277"/>
      <c r="BM28" s="277"/>
      <c r="BN28" s="277"/>
      <c r="BO28" s="277"/>
      <c r="BP28" s="277"/>
      <c r="BQ28" s="277"/>
      <c r="BR28" s="277"/>
    </row>
    <row r="29" spans="1:70" s="278" customFormat="1">
      <c r="A29" s="278" t="s">
        <v>171</v>
      </c>
      <c r="B29" s="288">
        <f>monthly_data!F343</f>
        <v>0.72799999999999998</v>
      </c>
      <c r="C29" s="288">
        <f>monthly_data!F355</f>
        <v>0.89</v>
      </c>
      <c r="D29" s="288">
        <f>monthly_data!F367</f>
        <v>1.2070000000000001</v>
      </c>
      <c r="E29" s="288">
        <f>monthly_data!F379</f>
        <v>2.37</v>
      </c>
      <c r="F29" s="288">
        <f>monthly_data!F391</f>
        <v>7.7110000000000003</v>
      </c>
      <c r="G29" s="288">
        <f>monthly_data!F403</f>
        <v>22.302</v>
      </c>
      <c r="H29" s="288">
        <f>monthly_data!F415</f>
        <v>40.24</v>
      </c>
      <c r="I29" s="288">
        <f>monthly_data!F427</f>
        <v>54.27</v>
      </c>
      <c r="J29" s="288">
        <f>monthly_data!F439</f>
        <v>32.100999999999999</v>
      </c>
      <c r="K29" s="288">
        <f>monthly_data!$F451</f>
        <v>31.914999999999999</v>
      </c>
      <c r="L29" s="288">
        <f>monthly_data!$F463</f>
        <v>77.197000000000003</v>
      </c>
      <c r="M29" s="288">
        <f>monthly_data!$F475</f>
        <v>101.97</v>
      </c>
      <c r="N29" s="288">
        <f>monthly_data!$F487</f>
        <v>111.101</v>
      </c>
      <c r="O29" s="288">
        <f>monthly_data!$F499</f>
        <v>106.31399999999999</v>
      </c>
      <c r="P29" s="288">
        <f>monthly_data!$F511</f>
        <v>116.94</v>
      </c>
      <c r="Q29" s="288">
        <f>monthly_data!$F523</f>
        <v>135.34399999999999</v>
      </c>
      <c r="R29" s="288">
        <f>monthly_data!$F535</f>
        <v>136.18100000000001</v>
      </c>
      <c r="S29" s="288">
        <f>monthly_data!$F547</f>
        <v>151.31200000000001</v>
      </c>
      <c r="T29" s="288">
        <f>monthly_data!$F559</f>
        <v>154.59</v>
      </c>
      <c r="U29" s="288">
        <f>monthly_data!$F571</f>
        <v>152.47999999999999</v>
      </c>
      <c r="V29" s="288">
        <f>monthly_data!$F583</f>
        <v>148.54599999999999</v>
      </c>
      <c r="W29" s="288">
        <f>monthly_data!$F595</f>
        <v>136.148</v>
      </c>
      <c r="X29" s="288">
        <f>monthly_data!$F607</f>
        <v>154.77099999999999</v>
      </c>
      <c r="Y29" s="288">
        <f>monthly_data!$F619</f>
        <v>143.05699999999999</v>
      </c>
      <c r="Z29" s="289">
        <f>[8]Biodiesel!Q7/1000000</f>
        <v>137.92023689019857</v>
      </c>
      <c r="AA29" s="289">
        <f>[8]Biodiesel!R7/1000000</f>
        <v>130.18109556558153</v>
      </c>
      <c r="AB29" s="289">
        <f>[8]Biodiesel!S7/1000000</f>
        <v>131.27998811683463</v>
      </c>
      <c r="AC29" s="289">
        <f>[8]Biodiesel!T7/1000000</f>
        <v>105.3569301271198</v>
      </c>
      <c r="AD29" s="289">
        <f>[8]Biodiesel!U7/1000000</f>
        <v>118.97446632869288</v>
      </c>
      <c r="AE29" s="289">
        <f>[8]Biodiesel!V7/1000000</f>
        <v>121.23859632327715</v>
      </c>
      <c r="AF29" s="289">
        <f>[8]Biodiesel!W7/1000000</f>
        <v>121.00271739010131</v>
      </c>
      <c r="AG29" s="289">
        <f>[8]Biodiesel!X7/1000000</f>
        <v>128.00026253811046</v>
      </c>
      <c r="AH29" s="289">
        <f>[8]Biodiesel!Y7/1000000</f>
        <v>120.09813506316507</v>
      </c>
      <c r="AI29" s="289">
        <f>[8]Biodiesel!Z7/1000000</f>
        <v>117.11115423524052</v>
      </c>
      <c r="AJ29" s="289">
        <f>[8]Biodiesel!AA7/1000000</f>
        <v>112.63878929393782</v>
      </c>
      <c r="AK29" s="289">
        <f>[8]Biodiesel!AB7/1000000</f>
        <v>94.413794938598386</v>
      </c>
      <c r="AL29" s="289">
        <f>[8]Biodiesel!AC7/1000000</f>
        <v>76.569270900004327</v>
      </c>
      <c r="AM29" s="289">
        <f>[8]Biodiesel!AD7/1000000</f>
        <v>75.097531706504711</v>
      </c>
      <c r="AN29" s="289">
        <f>[8]Biodiesel!AE7/1000000</f>
        <v>62.438323918578178</v>
      </c>
      <c r="AO29" s="289">
        <f>[8]Biodiesel!AF7/1000000</f>
        <v>37.542486840689428</v>
      </c>
      <c r="AP29" s="289">
        <f>[8]Biodiesel!AG7/1000000</f>
        <v>41.560081340554504</v>
      </c>
      <c r="AQ29" s="289">
        <f>[8]Biodiesel!AH7/1000000</f>
        <v>39.850528837245996</v>
      </c>
      <c r="AR29" s="289">
        <f>[8]Biodiesel!AI7/1000000</f>
        <v>32.776933354852972</v>
      </c>
      <c r="AS29" s="289">
        <f>[8]Biodiesel!AJ7/1000000</f>
        <v>33.120783036311281</v>
      </c>
      <c r="AT29" s="289">
        <f>[8]Biodiesel!AK7/1000000</f>
        <v>33.252379616619329</v>
      </c>
      <c r="AU29" s="289">
        <f>[8]Biodiesel!AL7/1000000</f>
        <v>33.147359576819483</v>
      </c>
      <c r="AV29" s="289">
        <f>[8]Biodiesel!AM7/1000000</f>
        <v>33.166859407704059</v>
      </c>
      <c r="AW29" s="289">
        <f>[8]Biodiesel!AN7/1000000</f>
        <v>33.711726135068616</v>
      </c>
      <c r="AX29" s="289">
        <f>[8]Biodiesel!AO7/1000000</f>
        <v>34.286183663658626</v>
      </c>
      <c r="AY29" s="289">
        <f>[8]Biodiesel!AP7/1000000</f>
        <v>35.041442155736249</v>
      </c>
      <c r="AZ29" s="290"/>
      <c r="BE29" s="277"/>
      <c r="BF29" s="277"/>
      <c r="BG29" s="277"/>
      <c r="BH29" s="277"/>
      <c r="BI29" s="277"/>
      <c r="BJ29" s="277"/>
      <c r="BK29" s="277"/>
      <c r="BL29" s="277"/>
      <c r="BM29" s="277"/>
      <c r="BN29" s="277"/>
      <c r="BO29" s="277"/>
      <c r="BP29" s="277"/>
      <c r="BQ29" s="277"/>
      <c r="BR29" s="277"/>
    </row>
    <row r="30" spans="1:70" s="278" customFormat="1">
      <c r="A30" s="278" t="s">
        <v>172</v>
      </c>
      <c r="B30" s="288">
        <f>monthly_data!F344</f>
        <v>0.70499999999999996</v>
      </c>
      <c r="C30" s="288">
        <f>monthly_data!F356</f>
        <v>0.86199999999999999</v>
      </c>
      <c r="D30" s="288">
        <f>monthly_data!F368</f>
        <v>1.1679999999999999</v>
      </c>
      <c r="E30" s="288">
        <f>monthly_data!F380</f>
        <v>2.294</v>
      </c>
      <c r="F30" s="288">
        <f>monthly_data!F392</f>
        <v>7.4619999999999997</v>
      </c>
      <c r="G30" s="288">
        <f>monthly_data!F404</f>
        <v>25.7</v>
      </c>
      <c r="H30" s="288">
        <f>monthly_data!F416</f>
        <v>39.590000000000003</v>
      </c>
      <c r="I30" s="288">
        <f>monthly_data!F428</f>
        <v>60.680999999999997</v>
      </c>
      <c r="J30" s="288">
        <f>monthly_data!F440</f>
        <v>33.588000000000001</v>
      </c>
      <c r="K30" s="288">
        <f>monthly_data!$F452</f>
        <v>27.065999999999999</v>
      </c>
      <c r="L30" s="288">
        <f>monthly_data!$F464</f>
        <v>81.391000000000005</v>
      </c>
      <c r="M30" s="288">
        <f>monthly_data!$F476</f>
        <v>93.373999999999995</v>
      </c>
      <c r="N30" s="288">
        <f>monthly_data!$F488</f>
        <v>113.369</v>
      </c>
      <c r="O30" s="288">
        <f>monthly_data!$F500</f>
        <v>111.07</v>
      </c>
      <c r="P30" s="288">
        <f>monthly_data!$F512</f>
        <v>121.824</v>
      </c>
      <c r="Q30" s="288">
        <f>monthly_data!$F524</f>
        <v>134.62</v>
      </c>
      <c r="R30" s="288">
        <f>monthly_data!$F536</f>
        <v>140.459</v>
      </c>
      <c r="S30" s="288">
        <f>monthly_data!$F548</f>
        <v>158.86699999999999</v>
      </c>
      <c r="T30" s="288">
        <f>monthly_data!$F560</f>
        <v>141.553</v>
      </c>
      <c r="U30" s="288">
        <f>monthly_data!$F572</f>
        <v>150.80000000000001</v>
      </c>
      <c r="V30" s="288">
        <f>monthly_data!$F584</f>
        <v>143.429</v>
      </c>
      <c r="W30" s="288">
        <f>monthly_data!$F596</f>
        <v>137.149</v>
      </c>
      <c r="X30" s="288">
        <f>monthly_data!$F608</f>
        <v>150.68700000000001</v>
      </c>
      <c r="Y30" s="288">
        <f>monthly_data!$F620</f>
        <v>141.52099999999999</v>
      </c>
      <c r="Z30" s="289">
        <f>[8]Biodiesel!Q8/1000000</f>
        <v>139.59632119621358</v>
      </c>
      <c r="AA30" s="289">
        <f>[8]Biodiesel!R8/1000000</f>
        <v>128.32744375111074</v>
      </c>
      <c r="AB30" s="289">
        <f>[8]Biodiesel!S8/1000000</f>
        <v>128.29110093643649</v>
      </c>
      <c r="AC30" s="289">
        <f>[8]Biodiesel!T8/1000000</f>
        <v>102.05108281149849</v>
      </c>
      <c r="AD30" s="289">
        <f>[8]Biodiesel!U8/1000000</f>
        <v>116.1948694194393</v>
      </c>
      <c r="AE30" s="289">
        <f>[8]Biodiesel!V8/1000000</f>
        <v>119.51210043965368</v>
      </c>
      <c r="AF30" s="289">
        <f>[8]Biodiesel!W8/1000000</f>
        <v>118.50703785269792</v>
      </c>
      <c r="AG30" s="289">
        <f>[8]Biodiesel!X8/1000000</f>
        <v>125.18052438988825</v>
      </c>
      <c r="AH30" s="289">
        <f>[8]Biodiesel!Y8/1000000</f>
        <v>117.47630505333262</v>
      </c>
      <c r="AI30" s="289">
        <f>[8]Biodiesel!Z8/1000000</f>
        <v>114.75555380732942</v>
      </c>
      <c r="AJ30" s="289">
        <f>[8]Biodiesel!AA8/1000000</f>
        <v>110.45365659288942</v>
      </c>
      <c r="AK30" s="289">
        <f>[8]Biodiesel!AB8/1000000</f>
        <v>92.501679595246017</v>
      </c>
      <c r="AL30" s="289">
        <f>[8]Biodiesel!AC8/1000000</f>
        <v>75.065601182823286</v>
      </c>
      <c r="AM30" s="289">
        <f>[8]Biodiesel!AD8/1000000</f>
        <v>73.666915683805655</v>
      </c>
      <c r="AN30" s="289">
        <f>[8]Biodiesel!AE8/1000000</f>
        <v>61.328921064157832</v>
      </c>
      <c r="AO30" s="289">
        <f>[8]Biodiesel!AF8/1000000</f>
        <v>36.977278917775067</v>
      </c>
      <c r="AP30" s="289">
        <f>[8]Biodiesel!AG8/1000000</f>
        <v>40.897147789793657</v>
      </c>
      <c r="AQ30" s="289">
        <f>[8]Biodiesel!AH8/1000000</f>
        <v>38.965802956006428</v>
      </c>
      <c r="AR30" s="289">
        <f>[8]Biodiesel!AI8/1000000</f>
        <v>32.05186717456052</v>
      </c>
      <c r="AS30" s="289">
        <f>[8]Biodiesel!AJ8/1000000</f>
        <v>32.389354656997028</v>
      </c>
      <c r="AT30" s="289">
        <f>[8]Biodiesel!AK8/1000000</f>
        <v>32.516424686103306</v>
      </c>
      <c r="AU30" s="289">
        <f>[8]Biodiesel!AL8/1000000</f>
        <v>32.412757810343415</v>
      </c>
      <c r="AV30" s="289">
        <f>[8]Biodiesel!AM8/1000000</f>
        <v>32.432464070917568</v>
      </c>
      <c r="AW30" s="289">
        <f>[8]Biodiesel!AN8/1000000</f>
        <v>32.965742414035404</v>
      </c>
      <c r="AX30" s="289">
        <f>[8]Biodiesel!AO8/1000000</f>
        <v>33.527440334387215</v>
      </c>
      <c r="AY30" s="289">
        <f>[8]Biodiesel!AP8/1000000</f>
        <v>34.265666269287564</v>
      </c>
      <c r="AZ30" s="290"/>
      <c r="BE30" s="277"/>
      <c r="BF30" s="277"/>
      <c r="BG30" s="277"/>
      <c r="BH30" s="277"/>
      <c r="BI30" s="277"/>
      <c r="BJ30" s="277"/>
      <c r="BK30" s="277"/>
      <c r="BL30" s="277"/>
      <c r="BM30" s="277"/>
      <c r="BN30" s="277"/>
      <c r="BO30" s="277"/>
      <c r="BP30" s="277"/>
      <c r="BQ30" s="277"/>
      <c r="BR30" s="277"/>
    </row>
    <row r="31" spans="1:70" s="278" customFormat="1">
      <c r="A31" s="278" t="s">
        <v>173</v>
      </c>
      <c r="B31" s="288">
        <f>monthly_data!F345</f>
        <v>0.72799999999999998</v>
      </c>
      <c r="C31" s="288">
        <f>monthly_data!F357</f>
        <v>0.89</v>
      </c>
      <c r="D31" s="288">
        <f>monthly_data!F369</f>
        <v>1.2070000000000001</v>
      </c>
      <c r="E31" s="288">
        <f>monthly_data!F381</f>
        <v>2.37</v>
      </c>
      <c r="F31" s="288">
        <f>monthly_data!F393</f>
        <v>7.7110000000000003</v>
      </c>
      <c r="G31" s="288">
        <f>monthly_data!F405</f>
        <v>22.675999999999998</v>
      </c>
      <c r="H31" s="288">
        <f>monthly_data!F417</f>
        <v>51.963999999999999</v>
      </c>
      <c r="I31" s="288">
        <f>monthly_data!F429</f>
        <v>67.366</v>
      </c>
      <c r="J31" s="288">
        <f>monthly_data!F441</f>
        <v>43.256</v>
      </c>
      <c r="K31" s="288">
        <f>monthly_data!$F453</f>
        <v>27.597000000000001</v>
      </c>
      <c r="L31" s="288">
        <f>monthly_data!$F465</f>
        <v>91.68</v>
      </c>
      <c r="M31" s="288">
        <f>monthly_data!$F477</f>
        <v>89.316999999999993</v>
      </c>
      <c r="N31" s="288">
        <f>monthly_data!$F489</f>
        <v>129.02600000000001</v>
      </c>
      <c r="O31" s="288">
        <f>monthly_data!$F501</f>
        <v>122.887</v>
      </c>
      <c r="P31" s="288">
        <f>monthly_data!$F513</f>
        <v>121.07599999999999</v>
      </c>
      <c r="Q31" s="288">
        <f>monthly_data!$F525</f>
        <v>139.887</v>
      </c>
      <c r="R31" s="288">
        <f>monthly_data!$F537</f>
        <v>149.51300000000001</v>
      </c>
      <c r="S31" s="288">
        <f>monthly_data!$F549</f>
        <v>166.33099999999999</v>
      </c>
      <c r="T31" s="288">
        <f>monthly_data!$F561</f>
        <v>158.61000000000001</v>
      </c>
      <c r="U31" s="288">
        <f>monthly_data!$F573</f>
        <v>161.66900000000001</v>
      </c>
      <c r="V31" s="288">
        <f>monthly_data!$F585</f>
        <v>149.16999999999999</v>
      </c>
      <c r="W31" s="288">
        <f>monthly_data!$F597</f>
        <v>146.58000000000001</v>
      </c>
      <c r="X31" s="288">
        <f>monthly_data!$F609</f>
        <v>152.161</v>
      </c>
      <c r="Y31" s="288">
        <f>monthly_data!$F621</f>
        <v>146.05699999999999</v>
      </c>
      <c r="Z31" s="289">
        <f>[8]Biodiesel!Q9/1000000</f>
        <v>137.41003536067737</v>
      </c>
      <c r="AA31" s="289">
        <f>[8]Biodiesel!R9/1000000</f>
        <v>125.88493560488664</v>
      </c>
      <c r="AB31" s="289">
        <f>[8]Biodiesel!S9/1000000</f>
        <v>126.69752114974993</v>
      </c>
      <c r="AC31" s="289">
        <f>[8]Biodiesel!T9/1000000</f>
        <v>101.311751513581</v>
      </c>
      <c r="AD31" s="289">
        <f>[8]Biodiesel!U9/1000000</f>
        <v>117.05336261748279</v>
      </c>
      <c r="AE31" s="289">
        <f>[8]Biodiesel!V9/1000000</f>
        <v>118.25020724527477</v>
      </c>
      <c r="AF31" s="289">
        <f>[8]Biodiesel!W9/1000000</f>
        <v>117.47890126538535</v>
      </c>
      <c r="AG31" s="289">
        <f>[8]Biodiesel!X9/1000000</f>
        <v>124.37851704396257</v>
      </c>
      <c r="AH31" s="289">
        <f>[8]Biodiesel!Y9/1000000</f>
        <v>116.88002340248293</v>
      </c>
      <c r="AI31" s="289">
        <f>[8]Biodiesel!Z9/1000000</f>
        <v>114.21673558585307</v>
      </c>
      <c r="AJ31" s="289">
        <f>[8]Biodiesel!AA9/1000000</f>
        <v>109.67638693365525</v>
      </c>
      <c r="AK31" s="289">
        <f>[8]Biodiesel!AB9/1000000</f>
        <v>91.919752217968167</v>
      </c>
      <c r="AL31" s="289">
        <f>[8]Biodiesel!AC9/1000000</f>
        <v>74.637301339815536</v>
      </c>
      <c r="AM31" s="289">
        <f>[8]Biodiesel!AD9/1000000</f>
        <v>73.259224506927254</v>
      </c>
      <c r="AN31" s="289">
        <f>[8]Biodiesel!AE9/1000000</f>
        <v>60.987999670774585</v>
      </c>
      <c r="AO31" s="289">
        <f>[8]Biodiesel!AF9/1000000</f>
        <v>36.774808852375287</v>
      </c>
      <c r="AP31" s="289">
        <f>[8]Biodiesel!AG9/1000000</f>
        <v>40.679147350639433</v>
      </c>
      <c r="AQ31" s="289">
        <f>[8]Biodiesel!AH9/1000000</f>
        <v>38.724212753602998</v>
      </c>
      <c r="AR31" s="289">
        <f>[8]Biodiesel!AI9/1000000</f>
        <v>31.852589765391727</v>
      </c>
      <c r="AS31" s="289">
        <f>[8]Biodiesel!AJ9/1000000</f>
        <v>32.185768911333383</v>
      </c>
      <c r="AT31" s="289">
        <f>[8]Biodiesel!AK9/1000000</f>
        <v>32.31114936239144</v>
      </c>
      <c r="AU31" s="289">
        <f>[8]Biodiesel!AL9/1000000</f>
        <v>32.209745326823409</v>
      </c>
      <c r="AV31" s="289">
        <f>[8]Biodiesel!AM9/1000000</f>
        <v>32.229637889737873</v>
      </c>
      <c r="AW31" s="289">
        <f>[8]Biodiesel!AN9/1000000</f>
        <v>32.759154547360282</v>
      </c>
      <c r="AX31" s="289">
        <f>[8]Biodiesel!AO9/1000000</f>
        <v>33.317006187705303</v>
      </c>
      <c r="AY31" s="289">
        <f>[8]Biodiesel!AP9/1000000</f>
        <v>34.050660307832828</v>
      </c>
      <c r="AZ31" s="290"/>
      <c r="BE31" s="277"/>
      <c r="BF31" s="277"/>
      <c r="BG31" s="277"/>
      <c r="BH31" s="277"/>
      <c r="BI31" s="277"/>
      <c r="BJ31" s="277"/>
      <c r="BK31" s="277"/>
      <c r="BL31" s="277"/>
      <c r="BM31" s="277"/>
      <c r="BN31" s="277"/>
      <c r="BO31" s="277"/>
      <c r="BP31" s="277"/>
      <c r="BQ31" s="277"/>
      <c r="BR31" s="277"/>
    </row>
    <row r="32" spans="1:70" s="278" customFormat="1">
      <c r="A32" s="278" t="s">
        <v>174</v>
      </c>
      <c r="B32" s="288">
        <f>monthly_data!F346</f>
        <v>0.72799999999999998</v>
      </c>
      <c r="C32" s="288">
        <f>monthly_data!F358</f>
        <v>0.89</v>
      </c>
      <c r="D32" s="288">
        <f>monthly_data!F370</f>
        <v>1.2070000000000001</v>
      </c>
      <c r="E32" s="288">
        <f>monthly_data!F382</f>
        <v>2.37</v>
      </c>
      <c r="F32" s="288">
        <f>monthly_data!F394</f>
        <v>7.7110000000000003</v>
      </c>
      <c r="G32" s="288">
        <f>monthly_data!F406</f>
        <v>28.917999999999999</v>
      </c>
      <c r="H32" s="288">
        <f>monthly_data!F418</f>
        <v>54.51</v>
      </c>
      <c r="I32" s="288">
        <f>monthly_data!F430</f>
        <v>68.155000000000001</v>
      </c>
      <c r="J32" s="288">
        <f>monthly_data!F442</f>
        <v>44.996000000000002</v>
      </c>
      <c r="K32" s="288">
        <f>monthly_data!$F454</f>
        <v>27.427</v>
      </c>
      <c r="L32" s="288">
        <f>monthly_data!$F466</f>
        <v>95.484999999999999</v>
      </c>
      <c r="M32" s="288">
        <f>monthly_data!$F478</f>
        <v>91.405000000000001</v>
      </c>
      <c r="N32" s="288">
        <f>monthly_data!$F490</f>
        <v>129.619</v>
      </c>
      <c r="O32" s="288">
        <f>monthly_data!$F502</f>
        <v>125.437</v>
      </c>
      <c r="P32" s="288">
        <f>monthly_data!$F514</f>
        <v>123.176</v>
      </c>
      <c r="Q32" s="288">
        <f>monthly_data!$F526</f>
        <v>142.17699999999999</v>
      </c>
      <c r="R32" s="288">
        <f>monthly_data!$F538</f>
        <v>149.48599999999999</v>
      </c>
      <c r="S32" s="288">
        <f>monthly_data!$F550</f>
        <v>172.28</v>
      </c>
      <c r="T32" s="288">
        <f>monthly_data!$F562</f>
        <v>155.898</v>
      </c>
      <c r="U32" s="288">
        <f>monthly_data!$F574</f>
        <v>162.60900000000001</v>
      </c>
      <c r="V32" s="288">
        <f>monthly_data!$F586</f>
        <v>149.50200000000001</v>
      </c>
      <c r="W32" s="288">
        <f>monthly_data!$F598</f>
        <v>147.78700000000001</v>
      </c>
      <c r="X32" s="288">
        <f>monthly_data!$F610</f>
        <v>144.845</v>
      </c>
      <c r="Y32" s="289">
        <f>[8]Biodiesel!P10/1000000</f>
        <v>139.72418999999999</v>
      </c>
      <c r="Z32" s="289">
        <f>[8]Biodiesel!Q10/1000000</f>
        <v>143.73869939125274</v>
      </c>
      <c r="AA32" s="289">
        <f>[8]Biodiesel!R10/1000000</f>
        <v>131.45972050294537</v>
      </c>
      <c r="AB32" s="289">
        <f>[8]Biodiesel!S10/1000000</f>
        <v>132.0906652202035</v>
      </c>
      <c r="AC32" s="289">
        <f>[8]Biodiesel!T10/1000000</f>
        <v>104.36849800468701</v>
      </c>
      <c r="AD32" s="289">
        <f>[8]Biodiesel!U10/1000000</f>
        <v>119.58299488862706</v>
      </c>
      <c r="AE32" s="289">
        <f>[8]Biodiesel!V10/1000000</f>
        <v>122.69832746870466</v>
      </c>
      <c r="AF32" s="289">
        <f>[8]Biodiesel!W10/1000000</f>
        <v>121.66695263630889</v>
      </c>
      <c r="AG32" s="289">
        <f>[8]Biodiesel!X10/1000000</f>
        <v>128.57995917383428</v>
      </c>
      <c r="AH32" s="289">
        <f>[8]Biodiesel!Y10/1000000</f>
        <v>120.6036071044246</v>
      </c>
      <c r="AI32" s="289">
        <f>[8]Biodiesel!Z10/1000000</f>
        <v>117.88854546712206</v>
      </c>
      <c r="AJ32" s="289">
        <f>[8]Biodiesel!AA10/1000000</f>
        <v>113.43088275858528</v>
      </c>
      <c r="AK32" s="289">
        <f>[8]Biodiesel!AB10/1000000</f>
        <v>95.003866928254553</v>
      </c>
      <c r="AL32" s="289">
        <f>[8]Biodiesel!AC10/1000000</f>
        <v>77.109814102692113</v>
      </c>
      <c r="AM32" s="289">
        <f>[8]Biodiesel!AD10/1000000</f>
        <v>75.674450218948564</v>
      </c>
      <c r="AN32" s="289">
        <f>[8]Biodiesel!AE10/1000000</f>
        <v>63.016629632883891</v>
      </c>
      <c r="AO32" s="289">
        <f>[8]Biodiesel!AF10/1000000</f>
        <v>38.011376788413401</v>
      </c>
      <c r="AP32" s="289">
        <f>[8]Biodiesel!AG10/1000000</f>
        <v>42.036575950338197</v>
      </c>
      <c r="AQ32" s="289">
        <f>[8]Biodiesel!AH10/1000000</f>
        <v>40.005641844131738</v>
      </c>
      <c r="AR32" s="289">
        <f>[8]Biodiesel!AI10/1000000</f>
        <v>32.907077852865235</v>
      </c>
      <c r="AS32" s="289">
        <f>[8]Biodiesel!AJ10/1000000</f>
        <v>33.253921295223378</v>
      </c>
      <c r="AT32" s="289">
        <f>[8]Biodiesel!AK10/1000000</f>
        <v>33.383945108255006</v>
      </c>
      <c r="AU32" s="289">
        <f>[8]Biodiesel!AL10/1000000</f>
        <v>33.27763678319684</v>
      </c>
      <c r="AV32" s="289">
        <f>[8]Biodiesel!AM10/1000000</f>
        <v>33.29791742043119</v>
      </c>
      <c r="AW32" s="289">
        <f>[8]Biodiesel!AN10/1000000</f>
        <v>33.845417055991582</v>
      </c>
      <c r="AX32" s="289">
        <f>[8]Biodiesel!AO10/1000000</f>
        <v>34.422119610067604</v>
      </c>
      <c r="AY32" s="289">
        <f>[8]Biodiesel!AP10/1000000</f>
        <v>35.179991315252721</v>
      </c>
      <c r="AZ32" s="290"/>
      <c r="BE32" s="277"/>
      <c r="BF32" s="277"/>
      <c r="BG32" s="277"/>
      <c r="BH32" s="277"/>
      <c r="BI32" s="277"/>
      <c r="BJ32" s="277"/>
      <c r="BK32" s="277"/>
      <c r="BL32" s="277"/>
      <c r="BM32" s="277"/>
      <c r="BN32" s="277"/>
      <c r="BO32" s="277"/>
      <c r="BP32" s="277"/>
      <c r="BQ32" s="277"/>
      <c r="BR32" s="277"/>
    </row>
    <row r="33" spans="1:70" s="278" customFormat="1">
      <c r="A33" s="278" t="s">
        <v>175</v>
      </c>
      <c r="B33" s="288">
        <f>monthly_data!F347</f>
        <v>0.70499999999999996</v>
      </c>
      <c r="C33" s="288">
        <f>monthly_data!F359</f>
        <v>0.86199999999999999</v>
      </c>
      <c r="D33" s="288">
        <f>monthly_data!F371</f>
        <v>1.1679999999999999</v>
      </c>
      <c r="E33" s="288">
        <f>monthly_data!F383</f>
        <v>2.294</v>
      </c>
      <c r="F33" s="288">
        <f>monthly_data!F395</f>
        <v>7.4619999999999997</v>
      </c>
      <c r="G33" s="288">
        <f>monthly_data!F407</f>
        <v>25.131</v>
      </c>
      <c r="H33" s="288">
        <f>monthly_data!F419</f>
        <v>51.393999999999998</v>
      </c>
      <c r="I33" s="288">
        <f>monthly_data!F431</f>
        <v>63.024000000000001</v>
      </c>
      <c r="J33" s="288">
        <f>monthly_data!F443</f>
        <v>48.716999999999999</v>
      </c>
      <c r="K33" s="288">
        <f>monthly_data!$F455</f>
        <v>30.356999999999999</v>
      </c>
      <c r="L33" s="288">
        <f>monthly_data!$F467</f>
        <v>95.941999999999993</v>
      </c>
      <c r="M33" s="288">
        <f>monthly_data!$F479</f>
        <v>81.852999999999994</v>
      </c>
      <c r="N33" s="288">
        <f>monthly_data!$F491</f>
        <v>127.065</v>
      </c>
      <c r="O33" s="288">
        <f>monthly_data!$F503</f>
        <v>115.67700000000001</v>
      </c>
      <c r="P33" s="288">
        <f>monthly_data!$F515</f>
        <v>104.119</v>
      </c>
      <c r="Q33" s="288">
        <f>monthly_data!$F527</f>
        <v>134.667</v>
      </c>
      <c r="R33" s="288">
        <f>monthly_data!$F539</f>
        <v>147.29300000000001</v>
      </c>
      <c r="S33" s="288">
        <f>monthly_data!$F551</f>
        <v>164.39599999999999</v>
      </c>
      <c r="T33" s="288">
        <f>monthly_data!$F563</f>
        <v>141.846</v>
      </c>
      <c r="U33" s="288">
        <f>monthly_data!$F575</f>
        <v>159.161</v>
      </c>
      <c r="V33" s="288">
        <f>monthly_data!$F587</f>
        <v>133.76499999999999</v>
      </c>
      <c r="W33" s="288">
        <f>monthly_data!$F599</f>
        <v>140.709</v>
      </c>
      <c r="X33" s="288">
        <f>monthly_data!$F611</f>
        <v>144.38900000000001</v>
      </c>
      <c r="Y33" s="289">
        <f>[8]Biodiesel!P11/1000000</f>
        <v>134.53788499999999</v>
      </c>
      <c r="Z33" s="289">
        <f>[8]Biodiesel!Q11/1000000</f>
        <v>135.75318158840645</v>
      </c>
      <c r="AA33" s="289">
        <f>[8]Biodiesel!R11/1000000</f>
        <v>123.11529115353051</v>
      </c>
      <c r="AB33" s="289">
        <f>[8]Biodiesel!S11/1000000</f>
        <v>124.59250284535327</v>
      </c>
      <c r="AC33" s="289">
        <f>[8]Biodiesel!T11/1000000</f>
        <v>98.648565200392767</v>
      </c>
      <c r="AD33" s="289">
        <f>[8]Biodiesel!U11/1000000</f>
        <v>113.03966674188949</v>
      </c>
      <c r="AE33" s="289">
        <f>[8]Biodiesel!V11/1000000</f>
        <v>115.69362497106646</v>
      </c>
      <c r="AF33" s="289">
        <f>[8]Biodiesel!W11/1000000</f>
        <v>114.67409380411505</v>
      </c>
      <c r="AG33" s="289">
        <f>[8]Biodiesel!X11/1000000</f>
        <v>121.35794827251802</v>
      </c>
      <c r="AH33" s="289">
        <f>[8]Biodiesel!Y11/1000000</f>
        <v>113.84674821757419</v>
      </c>
      <c r="AI33" s="289">
        <f>[8]Biodiesel!Z11/1000000</f>
        <v>111.26158580869138</v>
      </c>
      <c r="AJ33" s="289">
        <f>[8]Biodiesel!AA11/1000000</f>
        <v>107.0239308665835</v>
      </c>
      <c r="AK33" s="289">
        <f>[8]Biodiesel!AB11/1000000</f>
        <v>89.654533880206728</v>
      </c>
      <c r="AL33" s="289">
        <f>[8]Biodiesel!AC11/1000000</f>
        <v>72.798660619198799</v>
      </c>
      <c r="AM33" s="289">
        <f>[8]Biodiesel!AD11/1000000</f>
        <v>71.448378292235489</v>
      </c>
      <c r="AN33" s="289">
        <f>[8]Biodiesel!AE11/1000000</f>
        <v>59.510638691163479</v>
      </c>
      <c r="AO33" s="289">
        <f>[8]Biodiesel!AF11/1000000</f>
        <v>35.924632805718417</v>
      </c>
      <c r="AP33" s="289">
        <f>[8]Biodiesel!AG11/1000000</f>
        <v>39.723207724703308</v>
      </c>
      <c r="AQ33" s="289">
        <f>[8]Biodiesel!AH11/1000000</f>
        <v>37.734436348292554</v>
      </c>
      <c r="AR33" s="289">
        <f>[8]Biodiesel!AI11/1000000</f>
        <v>31.038240161159898</v>
      </c>
      <c r="AS33" s="289">
        <f>[8]Biodiesel!AJ11/1000000</f>
        <v>31.364826100315415</v>
      </c>
      <c r="AT33" s="289">
        <f>[8]Biodiesel!AK11/1000000</f>
        <v>31.487545255584102</v>
      </c>
      <c r="AU33" s="289">
        <f>[8]Biodiesel!AL11/1000000</f>
        <v>31.387598449853819</v>
      </c>
      <c r="AV33" s="289">
        <f>[8]Biodiesel!AM11/1000000</f>
        <v>31.406801185355743</v>
      </c>
      <c r="AW33" s="289">
        <f>[8]Biodiesel!AN11/1000000</f>
        <v>31.923029354396718</v>
      </c>
      <c r="AX33" s="289">
        <f>[8]Biodiesel!AO11/1000000</f>
        <v>32.466923571955192</v>
      </c>
      <c r="AY33" s="289">
        <f>[8]Biodiesel!AP11/1000000</f>
        <v>33.181800741670124</v>
      </c>
      <c r="AZ33" s="290"/>
      <c r="BE33" s="277"/>
      <c r="BF33" s="277"/>
      <c r="BG33" s="277"/>
      <c r="BH33" s="277"/>
      <c r="BI33" s="277"/>
      <c r="BJ33" s="277"/>
      <c r="BK33" s="277"/>
      <c r="BL33" s="277"/>
      <c r="BM33" s="277"/>
      <c r="BN33" s="277"/>
      <c r="BO33" s="277"/>
      <c r="BP33" s="277"/>
      <c r="BQ33" s="277"/>
      <c r="BR33" s="277"/>
    </row>
    <row r="34" spans="1:70" s="278" customFormat="1">
      <c r="A34" s="278" t="s">
        <v>176</v>
      </c>
      <c r="B34" s="288">
        <f>monthly_data!F348</f>
        <v>0.72799999999999998</v>
      </c>
      <c r="C34" s="288">
        <f>monthly_data!F360</f>
        <v>0.89</v>
      </c>
      <c r="D34" s="288">
        <f>monthly_data!F372</f>
        <v>1.2070000000000001</v>
      </c>
      <c r="E34" s="288">
        <f>monthly_data!F384</f>
        <v>2.37</v>
      </c>
      <c r="F34" s="288">
        <f>monthly_data!F396</f>
        <v>7.7110000000000003</v>
      </c>
      <c r="G34" s="288">
        <f>monthly_data!F408</f>
        <v>23.036999999999999</v>
      </c>
      <c r="H34" s="288">
        <f>monthly_data!F420</f>
        <v>49.887999999999998</v>
      </c>
      <c r="I34" s="288">
        <f>monthly_data!F432</f>
        <v>61.515000000000001</v>
      </c>
      <c r="J34" s="288">
        <f>monthly_data!F444</f>
        <v>57.444000000000003</v>
      </c>
      <c r="K34" s="288">
        <f>monthly_data!$F456</f>
        <v>28.404</v>
      </c>
      <c r="L34" s="288">
        <f>monthly_data!$F468</f>
        <v>105.342</v>
      </c>
      <c r="M34" s="288">
        <f>monthly_data!$F480</f>
        <v>75.283000000000001</v>
      </c>
      <c r="N34" s="288">
        <f>monthly_data!$F492</f>
        <v>137.434</v>
      </c>
      <c r="O34" s="288">
        <f>monthly_data!$F504</f>
        <v>122.988</v>
      </c>
      <c r="P34" s="288">
        <f>monthly_data!$F516</f>
        <v>106.467</v>
      </c>
      <c r="Q34" s="288">
        <f>monthly_data!$F528</f>
        <v>144.19200000000001</v>
      </c>
      <c r="R34" s="288">
        <f>monthly_data!$F540</f>
        <v>147.624</v>
      </c>
      <c r="S34" s="288">
        <f>monthly_data!$F552</f>
        <v>170.952</v>
      </c>
      <c r="T34" s="288">
        <f>monthly_data!$F564</f>
        <v>144.31399999999999</v>
      </c>
      <c r="U34" s="288">
        <f>monthly_data!$F576</f>
        <v>157.203</v>
      </c>
      <c r="V34" s="288">
        <f>monthly_data!$F588</f>
        <v>145.87200000000001</v>
      </c>
      <c r="W34" s="288">
        <f>monthly_data!$F600</f>
        <v>145.48400000000001</v>
      </c>
      <c r="X34" s="288">
        <f>monthly_data!$F612</f>
        <v>146.773</v>
      </c>
      <c r="Y34" s="289">
        <f>[8]Biodiesel!P12/1000000</f>
        <v>148.097836</v>
      </c>
      <c r="Z34" s="289">
        <f>[8]Biodiesel!Q12/1000000</f>
        <v>134.4740436377117</v>
      </c>
      <c r="AA34" s="289">
        <f>[8]Biodiesel!R12/1000000</f>
        <v>124.92510684801171</v>
      </c>
      <c r="AB34" s="289">
        <f>[8]Biodiesel!S12/1000000</f>
        <v>126.82996622731105</v>
      </c>
      <c r="AC34" s="289">
        <f>[8]Biodiesel!T12/1000000</f>
        <v>101.36733009276887</v>
      </c>
      <c r="AD34" s="289">
        <f>[8]Biodiesel!U12/1000000</f>
        <v>116.84966893225507</v>
      </c>
      <c r="AE34" s="289">
        <f>[8]Biodiesel!V12/1000000</f>
        <v>117.49773054929786</v>
      </c>
      <c r="AF34" s="289">
        <f>[8]Biodiesel!W12/1000000</f>
        <v>117.13959750267989</v>
      </c>
      <c r="AG34" s="289">
        <f>[8]Biodiesel!X12/1000000</f>
        <v>124.14646609239797</v>
      </c>
      <c r="AH34" s="289">
        <f>[8]Biodiesel!Y12/1000000</f>
        <v>116.58834491828559</v>
      </c>
      <c r="AI34" s="289">
        <f>[8]Biodiesel!Z12/1000000</f>
        <v>113.8740258621653</v>
      </c>
      <c r="AJ34" s="289">
        <f>[8]Biodiesel!AA12/1000000</f>
        <v>109.32174226348764</v>
      </c>
      <c r="AK34" s="289">
        <f>[8]Biodiesel!AB12/1000000</f>
        <v>91.684271349957825</v>
      </c>
      <c r="AL34" s="289">
        <f>[8]Biodiesel!AC12/1000000</f>
        <v>74.459158945197018</v>
      </c>
      <c r="AM34" s="289">
        <f>[8]Biodiesel!AD12/1000000</f>
        <v>73.075119593821952</v>
      </c>
      <c r="AN34" s="289">
        <f>[8]Biodiesel!AE12/1000000</f>
        <v>60.841581584413376</v>
      </c>
      <c r="AO34" s="289">
        <f>[8]Biodiesel!AF12/1000000</f>
        <v>36.707685904502661</v>
      </c>
      <c r="AP34" s="289">
        <f>[8]Biodiesel!AG12/1000000</f>
        <v>40.604723989099661</v>
      </c>
      <c r="AQ34" s="289">
        <f>[8]Biodiesel!AH12/1000000</f>
        <v>38.603619850421133</v>
      </c>
      <c r="AR34" s="289">
        <f>[8]Biodiesel!AI12/1000000</f>
        <v>31.751829891655202</v>
      </c>
      <c r="AS34" s="289">
        <f>[8]Biodiesel!AJ12/1000000</f>
        <v>32.083795316577302</v>
      </c>
      <c r="AT34" s="289">
        <f>[8]Biodiesel!AK12/1000000</f>
        <v>32.20952833184792</v>
      </c>
      <c r="AU34" s="289">
        <f>[8]Biodiesel!AL12/1000000</f>
        <v>32.108873618052719</v>
      </c>
      <c r="AV34" s="289">
        <f>[8]Biodiesel!AM12/1000000</f>
        <v>32.12833104785792</v>
      </c>
      <c r="AW34" s="289">
        <f>[8]Biodiesel!AN12/1000000</f>
        <v>32.6559534217173</v>
      </c>
      <c r="AX34" s="289">
        <f>[8]Biodiesel!AO12/1000000</f>
        <v>33.21213311105177</v>
      </c>
      <c r="AY34" s="289">
        <f>[8]Biodiesel!AP12/1000000</f>
        <v>33.94361618645825</v>
      </c>
      <c r="AZ34" s="290"/>
      <c r="BE34" s="277"/>
      <c r="BF34" s="277"/>
      <c r="BG34" s="277"/>
      <c r="BH34" s="277"/>
      <c r="BI34" s="277"/>
      <c r="BJ34" s="277"/>
      <c r="BK34" s="277"/>
      <c r="BL34" s="277"/>
      <c r="BM34" s="277"/>
      <c r="BN34" s="277"/>
      <c r="BO34" s="277"/>
      <c r="BP34" s="277"/>
      <c r="BQ34" s="277"/>
      <c r="BR34" s="277"/>
    </row>
    <row r="35" spans="1:70" s="278" customFormat="1">
      <c r="A35" s="278" t="s">
        <v>177</v>
      </c>
      <c r="B35" s="288">
        <f>monthly_data!F349</f>
        <v>0.70499999999999996</v>
      </c>
      <c r="C35" s="288">
        <f>monthly_data!F361</f>
        <v>0.86199999999999999</v>
      </c>
      <c r="D35" s="288">
        <f>monthly_data!F373</f>
        <v>1.1679999999999999</v>
      </c>
      <c r="E35" s="288">
        <f>monthly_data!F385</f>
        <v>2.294</v>
      </c>
      <c r="F35" s="288">
        <f>monthly_data!F397</f>
        <v>7.4619999999999997</v>
      </c>
      <c r="G35" s="288">
        <f>monthly_data!F409</f>
        <v>21.858000000000001</v>
      </c>
      <c r="H35" s="288">
        <f>monthly_data!F421</f>
        <v>41.701000000000001</v>
      </c>
      <c r="I35" s="288">
        <f>monthly_data!F433</f>
        <v>60.395000000000003</v>
      </c>
      <c r="J35" s="288">
        <f>monthly_data!F445</f>
        <v>63.682000000000002</v>
      </c>
      <c r="K35" s="288">
        <f>monthly_data!$F457</f>
        <v>22.167999999999999</v>
      </c>
      <c r="L35" s="288">
        <f>monthly_data!$F469</f>
        <v>104.747</v>
      </c>
      <c r="M35" s="288">
        <f>monthly_data!$F481</f>
        <v>57.228999999999999</v>
      </c>
      <c r="N35" s="288">
        <f>monthly_data!$F493</f>
        <v>129.34100000000001</v>
      </c>
      <c r="O35" s="288">
        <f>monthly_data!$F505</f>
        <v>109.639</v>
      </c>
      <c r="P35" s="288">
        <f>monthly_data!$F517</f>
        <v>105.883</v>
      </c>
      <c r="Q35" s="288">
        <f>monthly_data!$F529</f>
        <v>143.15199999999999</v>
      </c>
      <c r="R35" s="288">
        <f>monthly_data!$F541</f>
        <v>147.97999999999999</v>
      </c>
      <c r="S35" s="288">
        <f>monthly_data!$F553</f>
        <v>160.273</v>
      </c>
      <c r="T35" s="288">
        <f>monthly_data!$F565</f>
        <v>127.42400000000001</v>
      </c>
      <c r="U35" s="288">
        <f>monthly_data!$F577</f>
        <v>152.06700000000001</v>
      </c>
      <c r="V35" s="288">
        <f>monthly_data!$F589</f>
        <v>141.10400000000001</v>
      </c>
      <c r="W35" s="288">
        <f>monthly_data!$F601</f>
        <v>142.108</v>
      </c>
      <c r="X35" s="288">
        <f>monthly_data!$F613</f>
        <v>135.68700000000001</v>
      </c>
      <c r="Y35" s="289">
        <f>[8]Biodiesel!P13/1000000</f>
        <v>133.353588</v>
      </c>
      <c r="Z35" s="289">
        <f>[8]Biodiesel!Q13/1000000</f>
        <v>129.67650759899189</v>
      </c>
      <c r="AA35" s="289">
        <f>[8]Biodiesel!R13/1000000</f>
        <v>120.70563808168112</v>
      </c>
      <c r="AB35" s="289">
        <f>[8]Biodiesel!S13/1000000</f>
        <v>121.48224702564251</v>
      </c>
      <c r="AC35" s="289">
        <f>[8]Biodiesel!T13/1000000</f>
        <v>95.74595540553895</v>
      </c>
      <c r="AD35" s="289">
        <f>[8]Biodiesel!U13/1000000</f>
        <v>110.54627279410225</v>
      </c>
      <c r="AE35" s="289">
        <f>[8]Biodiesel!V13/1000000</f>
        <v>112.40181148754979</v>
      </c>
      <c r="AF35" s="289">
        <f>[8]Biodiesel!W13/1000000</f>
        <v>111.84885290908106</v>
      </c>
      <c r="AG35" s="289">
        <f>[8]Biodiesel!X13/1000000</f>
        <v>118.23409267355746</v>
      </c>
      <c r="AH35" s="289">
        <f>[8]Biodiesel!Y13/1000000</f>
        <v>110.89795482215808</v>
      </c>
      <c r="AI35" s="289">
        <f>[8]Biodiesel!Z13/1000000</f>
        <v>108.44880698004795</v>
      </c>
      <c r="AJ35" s="289">
        <f>[8]Biodiesel!AA13/1000000</f>
        <v>104.25347050167501</v>
      </c>
      <c r="AK35" s="289">
        <f>[8]Biodiesel!AB13/1000000</f>
        <v>87.385747566454285</v>
      </c>
      <c r="AL35" s="289">
        <f>[8]Biodiesel!AC13/1000000</f>
        <v>70.958328192763929</v>
      </c>
      <c r="AM35" s="289">
        <f>[8]Biodiesel!AD13/1000000</f>
        <v>69.650279960373965</v>
      </c>
      <c r="AN35" s="289">
        <f>[8]Biodiesel!AE13/1000000</f>
        <v>58.034686143140405</v>
      </c>
      <c r="AO35" s="289">
        <f>[8]Biodiesel!AF13/1000000</f>
        <v>35.061298841105298</v>
      </c>
      <c r="AP35" s="289">
        <f>[8]Biodiesel!AG13/1000000</f>
        <v>38.764062356217075</v>
      </c>
      <c r="AQ35" s="289">
        <f>[8]Biodiesel!AH13/1000000</f>
        <v>36.747912484966655</v>
      </c>
      <c r="AR35" s="289">
        <f>[8]Biodiesel!AI13/1000000</f>
        <v>30.226964974622206</v>
      </c>
      <c r="AS35" s="289">
        <f>[8]Biodiesel!AJ13/1000000</f>
        <v>30.54525123386216</v>
      </c>
      <c r="AT35" s="289">
        <f>[8]Biodiesel!AK13/1000000</f>
        <v>30.664468706297193</v>
      </c>
      <c r="AU35" s="289">
        <f>[8]Biodiesel!AL13/1000000</f>
        <v>30.567447781337549</v>
      </c>
      <c r="AV35" s="289">
        <f>[8]Biodiesel!AM13/1000000</f>
        <v>30.58593325924533</v>
      </c>
      <c r="AW35" s="289">
        <f>[8]Biodiesel!AN13/1000000</f>
        <v>31.088724560799328</v>
      </c>
      <c r="AX35" s="289">
        <f>[8]Biodiesel!AO13/1000000</f>
        <v>31.618423586942942</v>
      </c>
      <c r="AY35" s="289">
        <f>[8]Biodiesel!AP13/1000000</f>
        <v>32.314592314608966</v>
      </c>
      <c r="AZ35" s="290"/>
      <c r="BE35" s="277"/>
      <c r="BF35" s="277"/>
      <c r="BG35" s="277"/>
      <c r="BH35" s="277"/>
      <c r="BI35" s="277"/>
      <c r="BJ35" s="277"/>
      <c r="BK35" s="277"/>
      <c r="BL35" s="277"/>
      <c r="BM35" s="277"/>
      <c r="BN35" s="277"/>
      <c r="BO35" s="277"/>
      <c r="BP35" s="277"/>
      <c r="BQ35" s="277"/>
      <c r="BR35" s="277"/>
    </row>
    <row r="36" spans="1:70" s="278" customFormat="1">
      <c r="A36" s="278" t="s">
        <v>178</v>
      </c>
      <c r="B36" s="288">
        <f>monthly_data!F350</f>
        <v>0.72799999999999998</v>
      </c>
      <c r="C36" s="288">
        <f>monthly_data!F362</f>
        <v>0.89</v>
      </c>
      <c r="D36" s="288">
        <f>monthly_data!F374</f>
        <v>1.2070000000000001</v>
      </c>
      <c r="E36" s="288">
        <f>monthly_data!F386</f>
        <v>2.37</v>
      </c>
      <c r="F36" s="288">
        <f>monthly_data!F398</f>
        <v>7.7110000000000003</v>
      </c>
      <c r="G36" s="288">
        <f>monthly_data!F410</f>
        <v>24.785</v>
      </c>
      <c r="H36" s="288">
        <f>monthly_data!F422</f>
        <v>43.084000000000003</v>
      </c>
      <c r="I36" s="288">
        <f>monthly_data!F434</f>
        <v>44.167999999999999</v>
      </c>
      <c r="J36" s="288">
        <f>monthly_data!F446</f>
        <v>61.442999999999998</v>
      </c>
      <c r="K36" s="288">
        <f>monthly_data!$F458</f>
        <v>24.695</v>
      </c>
      <c r="L36" s="288">
        <f>monthly_data!$F470</f>
        <v>109.357</v>
      </c>
      <c r="M36" s="288">
        <f>monthly_data!$F482</f>
        <v>59.031999999999996</v>
      </c>
      <c r="N36" s="288">
        <f>monthly_data!$F494</f>
        <v>135.1</v>
      </c>
      <c r="O36" s="288">
        <f>monthly_data!$F506</f>
        <v>124.254</v>
      </c>
      <c r="P36" s="288">
        <f>monthly_data!$F518</f>
        <v>108.057</v>
      </c>
      <c r="Q36" s="288">
        <f>monthly_data!$F530</f>
        <v>143.851</v>
      </c>
      <c r="R36" s="288">
        <f>monthly_data!$F542</f>
        <v>147.63900000000001</v>
      </c>
      <c r="S36" s="288">
        <f>monthly_data!$F554</f>
        <v>167.785</v>
      </c>
      <c r="T36" s="288">
        <f>monthly_data!$F566</f>
        <v>132.85</v>
      </c>
      <c r="U36" s="288">
        <f>monthly_data!$F578</f>
        <v>157.97399999999999</v>
      </c>
      <c r="V36" s="288">
        <f>monthly_data!$F590</f>
        <v>153.76300000000001</v>
      </c>
      <c r="W36" s="288">
        <f>monthly_data!$F602</f>
        <v>132.893</v>
      </c>
      <c r="X36" s="288">
        <f>monthly_data!$F614</f>
        <v>138.01400000000001</v>
      </c>
      <c r="Y36" s="289">
        <f>[8]Biodiesel!P14/1000000</f>
        <v>174.92183499999999</v>
      </c>
      <c r="Z36" s="289">
        <f>[8]Biodiesel!Q14/1000000</f>
        <v>258.1438615953773</v>
      </c>
      <c r="AA36" s="289">
        <f>[8]Biodiesel!R14/1000000</f>
        <v>137.66187342641427</v>
      </c>
      <c r="AB36" s="289">
        <f>[8]Biodiesel!S14/1000000</f>
        <v>156.66496774563797</v>
      </c>
      <c r="AC36" s="289">
        <f>[8]Biodiesel!T14/1000000</f>
        <v>128.90876341894457</v>
      </c>
      <c r="AD36" s="289">
        <f>[8]Biodiesel!U14/1000000</f>
        <v>157.3885932516547</v>
      </c>
      <c r="AE36" s="289">
        <f>[8]Biodiesel!V14/1000000</f>
        <v>162.96795152164387</v>
      </c>
      <c r="AF36" s="289">
        <f>[8]Biodiesel!W14/1000000</f>
        <v>148.2289495230105</v>
      </c>
      <c r="AG36" s="289">
        <f>[8]Biodiesel!X14/1000000</f>
        <v>161.46640975747169</v>
      </c>
      <c r="AH36" s="289">
        <f>[8]Biodiesel!Y14/1000000</f>
        <v>133.30214826028069</v>
      </c>
      <c r="AI36" s="289">
        <f>[8]Biodiesel!Z14/1000000</f>
        <v>139.72033246357611</v>
      </c>
      <c r="AJ36" s="289">
        <f>[8]Biodiesel!AA14/1000000</f>
        <v>132.2788778547758</v>
      </c>
      <c r="AK36" s="289">
        <f>[8]Biodiesel!AB14/1000000</f>
        <v>112.74174505760872</v>
      </c>
      <c r="AL36" s="289">
        <f>[8]Biodiesel!AC14/1000000</f>
        <v>90.947849359370139</v>
      </c>
      <c r="AM36" s="289">
        <f>[8]Biodiesel!AD14/1000000</f>
        <v>87.846989776406247</v>
      </c>
      <c r="AN36" s="289">
        <f>[8]Biodiesel!AE14/1000000</f>
        <v>73.988739117500785</v>
      </c>
      <c r="AO36" s="289">
        <f>[8]Biodiesel!AF14/1000000</f>
        <v>44.431188332845934</v>
      </c>
      <c r="AP36" s="289">
        <f>[8]Biodiesel!AG14/1000000</f>
        <v>49.274548274698759</v>
      </c>
      <c r="AQ36" s="289">
        <f>[8]Biodiesel!AH14/1000000</f>
        <v>47.032594043637339</v>
      </c>
      <c r="AR36" s="289">
        <f>[8]Biodiesel!AI14/1000000</f>
        <v>38.618953516545218</v>
      </c>
      <c r="AS36" s="289">
        <f>[8]Biodiesel!AJ14/1000000</f>
        <v>39.13737225866538</v>
      </c>
      <c r="AT36" s="289">
        <f>[8]Biodiesel!AK14/1000000</f>
        <v>39.271537727887392</v>
      </c>
      <c r="AU36" s="289">
        <f>[8]Biodiesel!AL14/1000000</f>
        <v>39.147222456198755</v>
      </c>
      <c r="AV36" s="289">
        <f>[8]Biodiesel!AM14/1000000</f>
        <v>39.150969880105855</v>
      </c>
      <c r="AW36" s="289">
        <f>[8]Biodiesel!AN14/1000000</f>
        <v>39.795762014315486</v>
      </c>
      <c r="AX36" s="289">
        <f>[8]Biodiesel!AO14/1000000</f>
        <v>40.488998933273315</v>
      </c>
      <c r="AY36" s="289">
        <f>[8]Biodiesel!AP14/1000000</f>
        <v>41.375746977975965</v>
      </c>
      <c r="AZ36" s="290"/>
      <c r="BE36" s="277"/>
      <c r="BF36" s="277"/>
      <c r="BG36" s="277"/>
      <c r="BH36" s="277"/>
      <c r="BI36" s="277"/>
      <c r="BJ36" s="277"/>
      <c r="BK36" s="277"/>
      <c r="BL36" s="277"/>
      <c r="BM36" s="277"/>
      <c r="BN36" s="277"/>
      <c r="BO36" s="277"/>
      <c r="BP36" s="277"/>
      <c r="BQ36" s="277"/>
      <c r="BR36" s="277"/>
    </row>
    <row r="37" spans="1:70">
      <c r="A37" s="244" t="s">
        <v>179</v>
      </c>
      <c r="B37" s="245">
        <f t="shared" ref="B37:K37" si="44">SUM(B25:B36)</f>
        <v>8.5739999999999998</v>
      </c>
      <c r="C37" s="245">
        <f t="shared" si="44"/>
        <v>10.482000000000001</v>
      </c>
      <c r="D37" s="245">
        <f t="shared" si="44"/>
        <v>14.211000000000002</v>
      </c>
      <c r="E37" s="245">
        <f t="shared" si="44"/>
        <v>27.983000000000004</v>
      </c>
      <c r="F37" s="245">
        <f t="shared" si="44"/>
        <v>90.789000000000001</v>
      </c>
      <c r="G37" s="245">
        <f t="shared" si="44"/>
        <v>250.44000000000003</v>
      </c>
      <c r="H37" s="245">
        <f t="shared" si="44"/>
        <v>489.82600000000002</v>
      </c>
      <c r="I37" s="245">
        <f t="shared" si="44"/>
        <v>678.10699999999997</v>
      </c>
      <c r="J37" s="245">
        <f t="shared" si="44"/>
        <v>515.80700000000002</v>
      </c>
      <c r="K37" s="245">
        <f t="shared" si="44"/>
        <v>343.44400000000002</v>
      </c>
      <c r="L37" s="245">
        <f>SUM(L25:L36)</f>
        <v>967.4799999999999</v>
      </c>
      <c r="M37" s="245">
        <f t="shared" ref="M37:AY37" si="45">SUM(M25:M36)</f>
        <v>990.7120000000001</v>
      </c>
      <c r="N37" s="245">
        <f t="shared" si="45"/>
        <v>1359.4559999999997</v>
      </c>
      <c r="O37" s="245">
        <f t="shared" si="45"/>
        <v>1278.9789999999998</v>
      </c>
      <c r="P37" s="245">
        <f t="shared" si="45"/>
        <v>1263.3470000000002</v>
      </c>
      <c r="Q37" s="245">
        <f t="shared" si="45"/>
        <v>1567.73</v>
      </c>
      <c r="R37" s="245">
        <f t="shared" si="45"/>
        <v>1595.7089999999998</v>
      </c>
      <c r="S37" s="245">
        <f t="shared" si="45"/>
        <v>1857.318</v>
      </c>
      <c r="T37" s="245">
        <f t="shared" si="45"/>
        <v>1724.5050000000001</v>
      </c>
      <c r="U37" s="245">
        <f t="shared" si="45"/>
        <v>1814.6990000000001</v>
      </c>
      <c r="V37" s="245">
        <f t="shared" si="45"/>
        <v>1708.8249999999998</v>
      </c>
      <c r="W37" s="245">
        <f t="shared" si="45"/>
        <v>1622.027</v>
      </c>
      <c r="X37" s="245">
        <f t="shared" si="45"/>
        <v>1696.8270000000002</v>
      </c>
      <c r="Y37" s="291">
        <f t="shared" si="45"/>
        <v>1683.1543339999998</v>
      </c>
      <c r="Z37" s="291">
        <f t="shared" si="45"/>
        <v>1583.6979975079876</v>
      </c>
      <c r="AA37" s="291">
        <f t="shared" si="45"/>
        <v>1460.8425853604758</v>
      </c>
      <c r="AB37" s="291">
        <f t="shared" si="45"/>
        <v>1470.2860604745085</v>
      </c>
      <c r="AC37" s="291">
        <f t="shared" si="45"/>
        <v>1171.9583878512296</v>
      </c>
      <c r="AD37" s="291">
        <f t="shared" si="45"/>
        <v>1351.0814454218289</v>
      </c>
      <c r="AE37" s="291">
        <f t="shared" si="45"/>
        <v>1367.6561147320322</v>
      </c>
      <c r="AF37" s="291">
        <f t="shared" si="45"/>
        <v>1359.8030057684136</v>
      </c>
      <c r="AG37" s="291">
        <f t="shared" si="45"/>
        <v>1438.8920543258982</v>
      </c>
      <c r="AH37" s="291">
        <f t="shared" si="45"/>
        <v>1351.1621130410497</v>
      </c>
      <c r="AI37" s="291">
        <f t="shared" si="45"/>
        <v>1320.1130611881897</v>
      </c>
      <c r="AJ37" s="291">
        <f t="shared" si="45"/>
        <v>1267.843991308024</v>
      </c>
      <c r="AK37" s="291">
        <f t="shared" si="45"/>
        <v>1062.2129944981396</v>
      </c>
      <c r="AL37" s="291">
        <f t="shared" si="45"/>
        <v>861.61403138410628</v>
      </c>
      <c r="AM37" s="291">
        <f t="shared" si="45"/>
        <v>845.26219238442263</v>
      </c>
      <c r="AN37" s="291">
        <f t="shared" si="45"/>
        <v>702.81495757267112</v>
      </c>
      <c r="AO37" s="291">
        <f t="shared" si="45"/>
        <v>422.33241950028099</v>
      </c>
      <c r="AP37" s="291">
        <f t="shared" si="45"/>
        <v>467.54623562363827</v>
      </c>
      <c r="AQ37" s="291">
        <f t="shared" si="45"/>
        <v>448.63500469407262</v>
      </c>
      <c r="AR37" s="291">
        <f t="shared" si="45"/>
        <v>369.02208329888953</v>
      </c>
      <c r="AS37" s="291">
        <f t="shared" si="45"/>
        <v>372.88866553711733</v>
      </c>
      <c r="AT37" s="291">
        <f t="shared" si="45"/>
        <v>374.34471367332026</v>
      </c>
      <c r="AU37" s="291">
        <f t="shared" si="45"/>
        <v>373.16720447525609</v>
      </c>
      <c r="AV37" s="291">
        <f t="shared" si="45"/>
        <v>373.39552093563475</v>
      </c>
      <c r="AW37" s="291">
        <f t="shared" si="45"/>
        <v>379.5308770604035</v>
      </c>
      <c r="AX37" s="291">
        <f t="shared" si="45"/>
        <v>385.99505619845149</v>
      </c>
      <c r="AY37" s="291">
        <f t="shared" si="45"/>
        <v>394.49491141562794</v>
      </c>
      <c r="BE37" s="210"/>
      <c r="BF37" s="210"/>
      <c r="BG37" s="210"/>
      <c r="BH37" s="210"/>
      <c r="BI37" s="210"/>
      <c r="BJ37" s="210"/>
      <c r="BK37" s="210"/>
    </row>
    <row r="38" spans="1:70">
      <c r="X38" s="292"/>
      <c r="BE38" s="210"/>
      <c r="BF38" s="210"/>
      <c r="BG38" s="210"/>
      <c r="BH38" s="210"/>
      <c r="BI38" s="210"/>
      <c r="BJ38" s="210"/>
      <c r="BK38" s="210"/>
    </row>
    <row r="39" spans="1:70" ht="12" thickBot="1">
      <c r="A39" s="234" t="s">
        <v>180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93"/>
      <c r="Y39" s="294"/>
      <c r="Z39" s="294"/>
      <c r="AA39" s="294"/>
      <c r="AB39" s="294"/>
      <c r="AC39" s="294"/>
      <c r="AD39" s="294"/>
      <c r="AE39" s="294"/>
      <c r="AF39" s="294"/>
      <c r="AG39" s="294"/>
      <c r="AH39" s="294"/>
      <c r="AI39" s="294"/>
      <c r="AJ39" s="294"/>
      <c r="AK39" s="294"/>
      <c r="AL39" s="294"/>
      <c r="AM39" s="294"/>
      <c r="AN39" s="294"/>
      <c r="AO39" s="294"/>
      <c r="AP39" s="294"/>
      <c r="AQ39" s="294"/>
      <c r="AR39" s="294"/>
      <c r="AS39" s="294"/>
      <c r="AT39" s="294"/>
      <c r="AU39" s="294"/>
      <c r="AV39" s="294"/>
      <c r="AW39" s="294"/>
      <c r="AX39" s="294"/>
      <c r="AY39" s="294"/>
      <c r="BE39" s="210" t="s">
        <v>181</v>
      </c>
      <c r="BH39" s="210"/>
      <c r="BI39" s="210"/>
      <c r="BJ39" s="210"/>
      <c r="BK39" s="210"/>
      <c r="BL39" s="210" t="s">
        <v>182</v>
      </c>
      <c r="BO39" s="210"/>
      <c r="BP39" s="210"/>
    </row>
    <row r="40" spans="1:70" ht="12" thickBot="1">
      <c r="A40" s="236"/>
      <c r="B40" s="237">
        <f t="shared" ref="B40:AY40" si="46">B2</f>
        <v>2001</v>
      </c>
      <c r="C40" s="237">
        <f t="shared" si="46"/>
        <v>2002</v>
      </c>
      <c r="D40" s="237">
        <f t="shared" si="46"/>
        <v>2003</v>
      </c>
      <c r="E40" s="237">
        <f t="shared" si="46"/>
        <v>2004</v>
      </c>
      <c r="F40" s="237">
        <f t="shared" si="46"/>
        <v>2005</v>
      </c>
      <c r="G40" s="237">
        <f t="shared" si="46"/>
        <v>2006</v>
      </c>
      <c r="H40" s="237">
        <f t="shared" si="46"/>
        <v>2007</v>
      </c>
      <c r="I40" s="237">
        <f t="shared" si="46"/>
        <v>2008</v>
      </c>
      <c r="J40" s="237">
        <f t="shared" si="46"/>
        <v>2009</v>
      </c>
      <c r="K40" s="237">
        <f t="shared" si="46"/>
        <v>2010</v>
      </c>
      <c r="L40" s="237">
        <f t="shared" si="46"/>
        <v>2011</v>
      </c>
      <c r="M40" s="237">
        <f t="shared" si="46"/>
        <v>2012</v>
      </c>
      <c r="N40" s="237">
        <f t="shared" si="46"/>
        <v>2013</v>
      </c>
      <c r="O40" s="237">
        <f t="shared" si="46"/>
        <v>2014</v>
      </c>
      <c r="P40" s="237">
        <f t="shared" si="46"/>
        <v>2015</v>
      </c>
      <c r="Q40" s="237">
        <f t="shared" si="46"/>
        <v>2016</v>
      </c>
      <c r="R40" s="237">
        <f t="shared" si="46"/>
        <v>2017</v>
      </c>
      <c r="S40" s="237">
        <f t="shared" si="46"/>
        <v>2018</v>
      </c>
      <c r="T40" s="237">
        <f t="shared" si="46"/>
        <v>2019</v>
      </c>
      <c r="U40" s="237">
        <f t="shared" si="46"/>
        <v>2020</v>
      </c>
      <c r="V40" s="237">
        <f t="shared" si="46"/>
        <v>2021</v>
      </c>
      <c r="W40" s="237">
        <f t="shared" si="46"/>
        <v>2022</v>
      </c>
      <c r="X40" s="237">
        <f t="shared" si="46"/>
        <v>2023</v>
      </c>
      <c r="Y40" s="237">
        <f t="shared" si="46"/>
        <v>2024</v>
      </c>
      <c r="Z40" s="237">
        <f t="shared" si="46"/>
        <v>2025</v>
      </c>
      <c r="AA40" s="237">
        <f t="shared" si="46"/>
        <v>2026</v>
      </c>
      <c r="AB40" s="237">
        <f t="shared" si="46"/>
        <v>2027</v>
      </c>
      <c r="AC40" s="237">
        <f t="shared" si="46"/>
        <v>2028</v>
      </c>
      <c r="AD40" s="237">
        <f t="shared" si="46"/>
        <v>2029</v>
      </c>
      <c r="AE40" s="237">
        <f t="shared" si="46"/>
        <v>2030</v>
      </c>
      <c r="AF40" s="237">
        <f t="shared" si="46"/>
        <v>2031</v>
      </c>
      <c r="AG40" s="237">
        <f t="shared" si="46"/>
        <v>2032</v>
      </c>
      <c r="AH40" s="237">
        <f t="shared" si="46"/>
        <v>2033</v>
      </c>
      <c r="AI40" s="237">
        <f t="shared" si="46"/>
        <v>2034</v>
      </c>
      <c r="AJ40" s="237">
        <f t="shared" si="46"/>
        <v>2035</v>
      </c>
      <c r="AK40" s="237">
        <f t="shared" si="46"/>
        <v>2036</v>
      </c>
      <c r="AL40" s="237">
        <f t="shared" si="46"/>
        <v>2037</v>
      </c>
      <c r="AM40" s="237">
        <f t="shared" si="46"/>
        <v>2038</v>
      </c>
      <c r="AN40" s="237">
        <f t="shared" si="46"/>
        <v>2039</v>
      </c>
      <c r="AO40" s="237">
        <f t="shared" si="46"/>
        <v>2040</v>
      </c>
      <c r="AP40" s="237">
        <f t="shared" si="46"/>
        <v>2041</v>
      </c>
      <c r="AQ40" s="237">
        <f t="shared" si="46"/>
        <v>2042</v>
      </c>
      <c r="AR40" s="237">
        <f t="shared" si="46"/>
        <v>2043</v>
      </c>
      <c r="AS40" s="237">
        <f t="shared" si="46"/>
        <v>2044</v>
      </c>
      <c r="AT40" s="237">
        <f t="shared" si="46"/>
        <v>2045</v>
      </c>
      <c r="AU40" s="237">
        <f t="shared" si="46"/>
        <v>2046</v>
      </c>
      <c r="AV40" s="237">
        <f t="shared" si="46"/>
        <v>2047</v>
      </c>
      <c r="AW40" s="237">
        <f t="shared" si="46"/>
        <v>2048</v>
      </c>
      <c r="AX40" s="237">
        <f t="shared" si="46"/>
        <v>2049</v>
      </c>
      <c r="AY40" s="237">
        <f t="shared" si="46"/>
        <v>2050</v>
      </c>
      <c r="BE40" s="210"/>
      <c r="BF40" s="295">
        <f>BM40</f>
        <v>2020</v>
      </c>
      <c r="BG40" s="295">
        <f t="shared" ref="BG40:BI40" si="47">BN40</f>
        <v>2021</v>
      </c>
      <c r="BH40" s="295">
        <f t="shared" si="47"/>
        <v>2022</v>
      </c>
      <c r="BI40" s="295">
        <f t="shared" si="47"/>
        <v>2023</v>
      </c>
      <c r="BJ40" s="210"/>
      <c r="BK40" s="210"/>
      <c r="BL40" s="210"/>
      <c r="BM40" s="295">
        <f>U40</f>
        <v>2020</v>
      </c>
      <c r="BN40" s="295">
        <f>V40</f>
        <v>2021</v>
      </c>
      <c r="BO40" s="295">
        <f>W40</f>
        <v>2022</v>
      </c>
      <c r="BP40" s="295">
        <f>X40</f>
        <v>2023</v>
      </c>
    </row>
    <row r="41" spans="1:70">
      <c r="A41" s="68" t="s">
        <v>167</v>
      </c>
      <c r="B41" s="241">
        <f>monthly_data!H339/42</f>
        <v>7.1047619047619054E-2</v>
      </c>
      <c r="C41" s="241">
        <f>monthly_data!H351/42</f>
        <v>0.32961904761904759</v>
      </c>
      <c r="D41" s="241">
        <f>monthly_data!H363/42</f>
        <v>0.33726190476190476</v>
      </c>
      <c r="E41" s="241">
        <f>monthly_data!H375/42</f>
        <v>0.252</v>
      </c>
      <c r="F41" s="241">
        <f>monthly_data!H387/42</f>
        <v>0.35452380952380952</v>
      </c>
      <c r="G41" s="241">
        <f>monthly_data!H399/42</f>
        <v>0.53928571428571426</v>
      </c>
      <c r="H41" s="241">
        <f>monthly_data!H411/42</f>
        <v>5.8391904761904767</v>
      </c>
      <c r="I41" s="241">
        <f>monthly_data!H423/42</f>
        <v>14.730976190476191</v>
      </c>
      <c r="J41" s="241">
        <f>monthly_data!H435/42</f>
        <v>6.4195476190476182</v>
      </c>
      <c r="K41" s="241">
        <f>monthly_data!H447/42</f>
        <v>1.0003333333333333</v>
      </c>
      <c r="L41" s="241">
        <f>monthly_data!H469/42</f>
        <v>1.6318571428571427</v>
      </c>
      <c r="M41" s="241">
        <f>(monthly_data!H471)/42</f>
        <v>1.1428571428571428</v>
      </c>
      <c r="N41" s="241">
        <f>(monthly_data!H483)/42</f>
        <v>0.90476190476190477</v>
      </c>
      <c r="O41" s="241">
        <f>(monthly_data!H495)/42</f>
        <v>5.2857142857142856</v>
      </c>
      <c r="P41" s="241">
        <f>(monthly_data!H507)/42</f>
        <v>8.8571428571428577</v>
      </c>
      <c r="Q41" s="241">
        <f>(monthly_data!H519)/42</f>
        <v>5.9047619047619051</v>
      </c>
      <c r="R41" s="241">
        <f>(monthly_data!H531)/42</f>
        <v>5.7380952380952381</v>
      </c>
      <c r="S41" s="241">
        <f>(monthly_data!H543)/42</f>
        <v>5.8571428571428568</v>
      </c>
      <c r="T41" s="241">
        <f>(monthly_data!H555)/42</f>
        <v>7.333333333333333</v>
      </c>
      <c r="U41" s="241">
        <f>(monthly_data!H567)/42</f>
        <v>8</v>
      </c>
      <c r="V41" s="241">
        <f>(monthly_data!H579)/42</f>
        <v>5.4285714285714288</v>
      </c>
      <c r="W41" s="241">
        <f>(monthly_data!H591)/42</f>
        <v>9.2380952380952372</v>
      </c>
      <c r="X41" s="241">
        <f>monthly_data!$H603/42</f>
        <v>22.142857142857142</v>
      </c>
      <c r="Y41" s="241">
        <f>monthly_data!$H615/42</f>
        <v>28.071428571428573</v>
      </c>
      <c r="Z41" s="296">
        <f t="shared" ref="Z41:Z51" si="48">Z$53*(SUM(U41:Y41)/SUM(U$53:Y$53))</f>
        <v>23.50034658989647</v>
      </c>
      <c r="AA41" s="296">
        <f t="shared" ref="AA41:AA51" si="49">AA$53*(SUM(V41:Z41)/SUM(V$53:Z$53))</f>
        <v>13.089356970365474</v>
      </c>
      <c r="AB41" s="296">
        <f t="shared" ref="AB41:AQ51" si="50">AB$53*(SUM(W41:AA41)/SUM(W$53:AA$53))</f>
        <v>14.189128964593293</v>
      </c>
      <c r="AC41" s="296">
        <f t="shared" si="50"/>
        <v>15.734634496092967</v>
      </c>
      <c r="AD41" s="296">
        <f t="shared" si="50"/>
        <v>15.436116379601275</v>
      </c>
      <c r="AE41" s="296">
        <f t="shared" si="50"/>
        <v>16.109747164210589</v>
      </c>
      <c r="AF41" s="296">
        <f t="shared" si="50"/>
        <v>14.771119466718259</v>
      </c>
      <c r="AG41" s="296">
        <f t="shared" si="50"/>
        <v>13.412723916232508</v>
      </c>
      <c r="AH41" s="296">
        <f t="shared" si="50"/>
        <v>12.694935940293465</v>
      </c>
      <c r="AI41" s="296">
        <f t="shared" si="50"/>
        <v>12.305157768674578</v>
      </c>
      <c r="AJ41" s="296">
        <f t="shared" si="50"/>
        <v>11.255826884244369</v>
      </c>
      <c r="AK41" s="296">
        <f t="shared" si="50"/>
        <v>9.1553763026242763</v>
      </c>
      <c r="AL41" s="296">
        <f t="shared" si="50"/>
        <v>7.7492722027875596</v>
      </c>
      <c r="AM41" s="296">
        <f t="shared" si="50"/>
        <v>6.3370214819552109</v>
      </c>
      <c r="AN41" s="296">
        <f t="shared" si="50"/>
        <v>5.2784948842427797</v>
      </c>
      <c r="AO41" s="296">
        <f t="shared" si="50"/>
        <v>5.279998905644363</v>
      </c>
      <c r="AP41" s="296">
        <f t="shared" si="50"/>
        <v>0</v>
      </c>
      <c r="AQ41" s="296">
        <f t="shared" si="50"/>
        <v>0</v>
      </c>
      <c r="AR41" s="296">
        <f t="shared" ref="AR41:AY51" si="51">AR$53*(SUM(AM41:AQ41)/SUM(AM$53:AQ$53))</f>
        <v>0</v>
      </c>
      <c r="AS41" s="296">
        <f t="shared" si="51"/>
        <v>0</v>
      </c>
      <c r="AT41" s="296">
        <f t="shared" si="51"/>
        <v>0</v>
      </c>
      <c r="AU41" s="296" t="e">
        <f t="shared" si="51"/>
        <v>#DIV/0!</v>
      </c>
      <c r="AV41" s="296" t="e">
        <f t="shared" si="51"/>
        <v>#DIV/0!</v>
      </c>
      <c r="AW41" s="296" t="e">
        <f t="shared" si="51"/>
        <v>#DIV/0!</v>
      </c>
      <c r="AX41" s="296" t="e">
        <f t="shared" si="51"/>
        <v>#DIV/0!</v>
      </c>
      <c r="AY41" s="296" t="e">
        <f t="shared" si="51"/>
        <v>#DIV/0!</v>
      </c>
      <c r="BE41" s="210" t="s">
        <v>183</v>
      </c>
      <c r="BF41" s="210">
        <f>BM41-U41</f>
        <v>4.1313274</v>
      </c>
      <c r="BG41" s="210">
        <f>BN41-V41</f>
        <v>4.2393287714285712</v>
      </c>
      <c r="BH41" s="210">
        <f>BO41-W41</f>
        <v>11.068604761904762</v>
      </c>
      <c r="BI41" s="210">
        <f>BP41-X41</f>
        <v>17.768242857142855</v>
      </c>
      <c r="BJ41" s="210"/>
      <c r="BK41" s="210"/>
      <c r="BL41" s="210" t="s">
        <v>183</v>
      </c>
      <c r="BM41" s="210">
        <f>'[7]US Biodiesel Imports'!MG$290/1000</f>
        <v>12.1313274</v>
      </c>
      <c r="BN41" s="210">
        <f>'[7]US Biodiesel Imports'!MS$290/1000</f>
        <v>9.6679002000000001</v>
      </c>
      <c r="BO41" s="210">
        <f>'[7]US Biodiesel Imports'!NE$290/1000</f>
        <v>20.306699999999999</v>
      </c>
      <c r="BP41" s="210">
        <f>'[7]US Biodiesel Imports'!NQ$290/1000</f>
        <v>39.911099999999998</v>
      </c>
    </row>
    <row r="42" spans="1:70">
      <c r="A42" s="68" t="s">
        <v>168</v>
      </c>
      <c r="B42" s="241">
        <f>monthly_data!H340/42</f>
        <v>3.3642857142857141E-2</v>
      </c>
      <c r="C42" s="241">
        <f>monthly_data!H352/42</f>
        <v>0.68547619047619046</v>
      </c>
      <c r="D42" s="241">
        <f>monthly_data!H364/42</f>
        <v>6.4690476190476187E-2</v>
      </c>
      <c r="E42" s="241">
        <f>monthly_data!H376/42</f>
        <v>0.44869047619047614</v>
      </c>
      <c r="F42" s="241">
        <f>monthly_data!H388/42</f>
        <v>0.80395238095238086</v>
      </c>
      <c r="G42" s="241">
        <f>monthly_data!H400/42</f>
        <v>0.47157142857142859</v>
      </c>
      <c r="H42" s="241">
        <f>monthly_data!H412/42</f>
        <v>3.6367142857142856</v>
      </c>
      <c r="I42" s="241">
        <f>monthly_data!H424/42</f>
        <v>20.629857142857141</v>
      </c>
      <c r="J42" s="241">
        <f>monthly_data!H436/42</f>
        <v>3.8767857142857141</v>
      </c>
      <c r="K42" s="241">
        <f>monthly_data!H448/42</f>
        <v>0.765452380952381</v>
      </c>
      <c r="L42" s="241">
        <f>monthly_data!H470/42</f>
        <v>5.7483333333333331</v>
      </c>
      <c r="M42" s="241">
        <f>(monthly_data!H472)/42</f>
        <v>1.7142857142857142</v>
      </c>
      <c r="N42" s="241">
        <f>(monthly_data!H484)/42</f>
        <v>2.0952380952380953</v>
      </c>
      <c r="O42" s="241">
        <f>(monthly_data!H496)/42</f>
        <v>3.8333333333333335</v>
      </c>
      <c r="P42" s="241">
        <f>(monthly_data!H508)/42</f>
        <v>12.523809523809524</v>
      </c>
      <c r="Q42" s="241">
        <f>(monthly_data!H520)/42</f>
        <v>6.833333333333333</v>
      </c>
      <c r="R42" s="241">
        <f>(monthly_data!H532)/42</f>
        <v>13.071428571428571</v>
      </c>
      <c r="S42" s="241">
        <f>(monthly_data!H544)/42</f>
        <v>3.4761904761904763</v>
      </c>
      <c r="T42" s="241">
        <f>(monthly_data!H556)/42</f>
        <v>5.5476190476190474</v>
      </c>
      <c r="U42" s="241">
        <f>(monthly_data!H568)/42</f>
        <v>7.1904761904761907</v>
      </c>
      <c r="V42" s="241">
        <f>(monthly_data!H580)/42</f>
        <v>6.2619047619047619</v>
      </c>
      <c r="W42" s="241">
        <f>(monthly_data!H592)/42</f>
        <v>2.8809523809523809</v>
      </c>
      <c r="X42" s="241">
        <f>monthly_data!$H604/42</f>
        <v>22.666666666666668</v>
      </c>
      <c r="Y42" s="241">
        <f>monthly_data!$H616/42</f>
        <v>37.428571428571431</v>
      </c>
      <c r="Z42" s="296">
        <f t="shared" si="48"/>
        <v>24.644270680682027</v>
      </c>
      <c r="AA42" s="296">
        <f t="shared" si="49"/>
        <v>13.904070375099023</v>
      </c>
      <c r="AB42" s="296">
        <f t="shared" si="50"/>
        <v>14.999098346177925</v>
      </c>
      <c r="AC42" s="296">
        <f t="shared" si="50"/>
        <v>17.705424139312875</v>
      </c>
      <c r="AD42" s="296">
        <f t="shared" si="50"/>
        <v>17.73665095245693</v>
      </c>
      <c r="AE42" s="296">
        <f t="shared" si="50"/>
        <v>17.493665242356943</v>
      </c>
      <c r="AF42" s="296">
        <f t="shared" si="50"/>
        <v>16.213368775127147</v>
      </c>
      <c r="AG42" s="296">
        <f t="shared" si="50"/>
        <v>14.803851311603742</v>
      </c>
      <c r="AH42" s="296">
        <f t="shared" si="50"/>
        <v>14.12292792126577</v>
      </c>
      <c r="AI42" s="296">
        <f t="shared" si="50"/>
        <v>13.655175956788197</v>
      </c>
      <c r="AJ42" s="296">
        <f t="shared" si="50"/>
        <v>12.392120074256535</v>
      </c>
      <c r="AK42" s="296">
        <f t="shared" si="50"/>
        <v>10.114063087514079</v>
      </c>
      <c r="AL42" s="296">
        <f t="shared" si="50"/>
        <v>8.5744852918049297</v>
      </c>
      <c r="AM42" s="296">
        <f t="shared" si="50"/>
        <v>7.0162774964856407</v>
      </c>
      <c r="AN42" s="296">
        <f t="shared" si="50"/>
        <v>5.8367054782160945</v>
      </c>
      <c r="AO42" s="296">
        <f t="shared" si="50"/>
        <v>5.8319006320722053</v>
      </c>
      <c r="AP42" s="296">
        <f t="shared" si="50"/>
        <v>0</v>
      </c>
      <c r="AQ42" s="296">
        <f t="shared" si="50"/>
        <v>0</v>
      </c>
      <c r="AR42" s="296">
        <f t="shared" si="51"/>
        <v>0</v>
      </c>
      <c r="AS42" s="296">
        <f t="shared" si="51"/>
        <v>0</v>
      </c>
      <c r="AT42" s="296">
        <f t="shared" si="51"/>
        <v>0</v>
      </c>
      <c r="AU42" s="296" t="e">
        <f t="shared" si="51"/>
        <v>#DIV/0!</v>
      </c>
      <c r="AV42" s="296" t="e">
        <f t="shared" si="51"/>
        <v>#DIV/0!</v>
      </c>
      <c r="AW42" s="296" t="e">
        <f t="shared" si="51"/>
        <v>#DIV/0!</v>
      </c>
      <c r="AX42" s="296" t="e">
        <f t="shared" si="51"/>
        <v>#DIV/0!</v>
      </c>
      <c r="AY42" s="296" t="e">
        <f t="shared" si="51"/>
        <v>#DIV/0!</v>
      </c>
      <c r="BE42" s="210" t="s">
        <v>184</v>
      </c>
      <c r="BF42" s="210">
        <f t="shared" ref="BF42:BI52" si="52">BM42-U42</f>
        <v>8.8510635095238079</v>
      </c>
      <c r="BG42" s="210">
        <f t="shared" si="52"/>
        <v>4.4046735380952375</v>
      </c>
      <c r="BH42" s="210">
        <f t="shared" si="52"/>
        <v>2.5166476190476197</v>
      </c>
      <c r="BI42" s="210">
        <f t="shared" si="52"/>
        <v>14.324233333333336</v>
      </c>
      <c r="BJ42" s="210"/>
      <c r="BK42" s="210"/>
      <c r="BL42" s="210" t="s">
        <v>184</v>
      </c>
      <c r="BM42" s="210">
        <f>'[7]US Biodiesel Imports'!MH$290/1000</f>
        <v>16.041539699999998</v>
      </c>
      <c r="BN42" s="210">
        <f>'[7]US Biodiesel Imports'!MT$290/1000</f>
        <v>10.666578299999999</v>
      </c>
      <c r="BO42" s="210">
        <f>'[7]US Biodiesel Imports'!NF$290/1000</f>
        <v>5.3976000000000006</v>
      </c>
      <c r="BP42" s="210">
        <f>'[7]US Biodiesel Imports'!NR$290/1000</f>
        <v>36.990900000000003</v>
      </c>
    </row>
    <row r="43" spans="1:70">
      <c r="A43" s="68" t="s">
        <v>169</v>
      </c>
      <c r="B43" s="241">
        <f>monthly_data!H341/42</f>
        <v>0.16542857142857142</v>
      </c>
      <c r="C43" s="241">
        <f>monthly_data!H353/42</f>
        <v>1.0363333333333333</v>
      </c>
      <c r="D43" s="241">
        <f>monthly_data!H365/42</f>
        <v>0.10102380952380953</v>
      </c>
      <c r="E43" s="241">
        <f>monthly_data!H377/42</f>
        <v>0.10083333333333334</v>
      </c>
      <c r="F43" s="241">
        <f>monthly_data!H389/42</f>
        <v>0.30738095238095237</v>
      </c>
      <c r="G43" s="241">
        <f>monthly_data!H401/42</f>
        <v>0.97209523809523812</v>
      </c>
      <c r="H43" s="241">
        <f>monthly_data!H413/42</f>
        <v>2.7954761904761902</v>
      </c>
      <c r="I43" s="241">
        <f>monthly_data!H425/42</f>
        <v>6.7379047619047627</v>
      </c>
      <c r="J43" s="241">
        <f>monthly_data!H437/42</f>
        <v>9.4384047619047617</v>
      </c>
      <c r="K43" s="241">
        <f>monthly_data!H449/42</f>
        <v>1.4686666666666666</v>
      </c>
      <c r="L43" s="241">
        <f>monthly_data!H471/42</f>
        <v>1.1428571428571428</v>
      </c>
      <c r="M43" s="241">
        <f>(monthly_data!H473)/42</f>
        <v>0.59523809523809523</v>
      </c>
      <c r="N43" s="241">
        <f>(monthly_data!H485)/42</f>
        <v>10.452380952380953</v>
      </c>
      <c r="O43" s="241">
        <f>(monthly_data!H497)/42</f>
        <v>5.7142857142857144</v>
      </c>
      <c r="P43" s="241">
        <f>(monthly_data!H509)/42</f>
        <v>8.0952380952380949</v>
      </c>
      <c r="Q43" s="241">
        <f>(monthly_data!H521)/42</f>
        <v>13.452380952380953</v>
      </c>
      <c r="R43" s="241">
        <f>(monthly_data!H533)/42</f>
        <v>15.476190476190476</v>
      </c>
      <c r="S43" s="241">
        <f>(monthly_data!H545)/42</f>
        <v>10.880952380952381</v>
      </c>
      <c r="T43" s="241">
        <f>(monthly_data!H557)/42</f>
        <v>12.928571428571429</v>
      </c>
      <c r="U43" s="241">
        <f>(monthly_data!H569)/42</f>
        <v>7.9285714285714288</v>
      </c>
      <c r="V43" s="241">
        <f>(monthly_data!H581)/42</f>
        <v>8.5952380952380949</v>
      </c>
      <c r="W43" s="241">
        <f>(monthly_data!H593)/42</f>
        <v>15.142857142857142</v>
      </c>
      <c r="X43" s="241">
        <f>monthly_data!$H605/42</f>
        <v>21.80952380952381</v>
      </c>
      <c r="Y43" s="241">
        <f>monthly_data!$H617/42</f>
        <v>15.666666666666666</v>
      </c>
      <c r="Z43" s="296">
        <f t="shared" si="48"/>
        <v>22.295003755981501</v>
      </c>
      <c r="AA43" s="296">
        <f t="shared" si="49"/>
        <v>12.367807589911596</v>
      </c>
      <c r="AB43" s="296">
        <f t="shared" si="50"/>
        <v>12.894904972204744</v>
      </c>
      <c r="AC43" s="296">
        <f t="shared" si="50"/>
        <v>13.248204100548465</v>
      </c>
      <c r="AD43" s="296">
        <f t="shared" si="50"/>
        <v>12.480214168500112</v>
      </c>
      <c r="AE43" s="296">
        <f t="shared" si="50"/>
        <v>14.406676029951864</v>
      </c>
      <c r="AF43" s="296">
        <f t="shared" si="50"/>
        <v>12.956169283806155</v>
      </c>
      <c r="AG43" s="296">
        <f t="shared" si="50"/>
        <v>11.608677801344585</v>
      </c>
      <c r="AH43" s="296">
        <f t="shared" si="50"/>
        <v>10.88410228892263</v>
      </c>
      <c r="AI43" s="296">
        <f t="shared" si="50"/>
        <v>10.59104070406984</v>
      </c>
      <c r="AJ43" s="296">
        <f t="shared" si="50"/>
        <v>9.8187477942083365</v>
      </c>
      <c r="AK43" s="296">
        <f t="shared" si="50"/>
        <v>7.9362141239406556</v>
      </c>
      <c r="AL43" s="296">
        <f t="shared" si="50"/>
        <v>6.6973246687107375</v>
      </c>
      <c r="AM43" s="296">
        <f t="shared" si="50"/>
        <v>5.4747929300486087</v>
      </c>
      <c r="AN43" s="296">
        <f t="shared" si="50"/>
        <v>4.569712806877237</v>
      </c>
      <c r="AO43" s="296">
        <f t="shared" si="50"/>
        <v>4.5792202199715364</v>
      </c>
      <c r="AP43" s="296">
        <f t="shared" si="50"/>
        <v>0</v>
      </c>
      <c r="AQ43" s="296">
        <f t="shared" si="50"/>
        <v>0</v>
      </c>
      <c r="AR43" s="296">
        <f t="shared" si="51"/>
        <v>0</v>
      </c>
      <c r="AS43" s="296">
        <f t="shared" si="51"/>
        <v>0</v>
      </c>
      <c r="AT43" s="296">
        <f t="shared" si="51"/>
        <v>0</v>
      </c>
      <c r="AU43" s="296" t="e">
        <f t="shared" si="51"/>
        <v>#DIV/0!</v>
      </c>
      <c r="AV43" s="296" t="e">
        <f t="shared" si="51"/>
        <v>#DIV/0!</v>
      </c>
      <c r="AW43" s="296" t="e">
        <f t="shared" si="51"/>
        <v>#DIV/0!</v>
      </c>
      <c r="AX43" s="296" t="e">
        <f t="shared" si="51"/>
        <v>#DIV/0!</v>
      </c>
      <c r="AY43" s="296" t="e">
        <f t="shared" si="51"/>
        <v>#DIV/0!</v>
      </c>
      <c r="BE43" s="210" t="s">
        <v>185</v>
      </c>
      <c r="BF43" s="210">
        <f t="shared" si="52"/>
        <v>6.5148610714285713</v>
      </c>
      <c r="BG43" s="210">
        <f t="shared" si="52"/>
        <v>5.6970823047619064</v>
      </c>
      <c r="BH43" s="210">
        <f t="shared" si="52"/>
        <v>16.438142857142857</v>
      </c>
      <c r="BI43" s="210">
        <f t="shared" si="52"/>
        <v>22.119176190476189</v>
      </c>
      <c r="BJ43" s="210"/>
      <c r="BK43" s="210"/>
      <c r="BL43" s="210" t="s">
        <v>185</v>
      </c>
      <c r="BM43" s="210">
        <f>'[7]US Biodiesel Imports'!MI$290/1000</f>
        <v>14.4434325</v>
      </c>
      <c r="BN43" s="210">
        <f>'[7]US Biodiesel Imports'!MU$290/1000</f>
        <v>14.292320400000001</v>
      </c>
      <c r="BO43" s="210">
        <f>'[7]US Biodiesel Imports'!NG$290/1000</f>
        <v>31.581</v>
      </c>
      <c r="BP43" s="210">
        <f>'[7]US Biodiesel Imports'!NS$290/1000</f>
        <v>43.928699999999999</v>
      </c>
    </row>
    <row r="44" spans="1:70">
      <c r="A44" s="68" t="s">
        <v>170</v>
      </c>
      <c r="B44" s="241">
        <f>monthly_data!H342/42</f>
        <v>5.1333333333333335E-2</v>
      </c>
      <c r="C44" s="241">
        <f>monthly_data!H354/42</f>
        <v>0.2370714285714286</v>
      </c>
      <c r="D44" s="241">
        <f>monthly_data!H366/42</f>
        <v>9.514285714285714E-2</v>
      </c>
      <c r="E44" s="241">
        <f>monthly_data!H378/42</f>
        <v>0.38026190476190475</v>
      </c>
      <c r="F44" s="241">
        <f>monthly_data!H390/42</f>
        <v>0.42290476190476189</v>
      </c>
      <c r="G44" s="241">
        <f>monthly_data!H402/42</f>
        <v>0.41411904761904761</v>
      </c>
      <c r="H44" s="241">
        <f>monthly_data!H414/42</f>
        <v>4.4178809523809521</v>
      </c>
      <c r="I44" s="241">
        <f>monthly_data!H426/42</f>
        <v>16.928976190476192</v>
      </c>
      <c r="J44" s="241">
        <f>monthly_data!H438/42</f>
        <v>1.2679047619047619</v>
      </c>
      <c r="K44" s="241">
        <f>monthly_data!H450/42</f>
        <v>1.1008809523809524</v>
      </c>
      <c r="L44" s="241">
        <f>monthly_data!H472/42</f>
        <v>1.7142857142857142</v>
      </c>
      <c r="M44" s="241">
        <f>(monthly_data!H474)/42</f>
        <v>0.76190476190476186</v>
      </c>
      <c r="N44" s="241">
        <f>(monthly_data!H486)/42</f>
        <v>8.8571428571428577</v>
      </c>
      <c r="O44" s="241">
        <f>(monthly_data!H498)/42</f>
        <v>3.2142857142857144</v>
      </c>
      <c r="P44" s="241">
        <f>(monthly_data!H510)/42</f>
        <v>7.8571428571428568</v>
      </c>
      <c r="Q44" s="241">
        <f>(monthly_data!H522)/42</f>
        <v>23.071428571428573</v>
      </c>
      <c r="R44" s="241">
        <f>(monthly_data!H534)/42</f>
        <v>16.214285714285715</v>
      </c>
      <c r="S44" s="241">
        <f>(monthly_data!H546)/42</f>
        <v>7.333333333333333</v>
      </c>
      <c r="T44" s="241">
        <f>(monthly_data!H558)/42</f>
        <v>9.7619047619047628</v>
      </c>
      <c r="U44" s="241">
        <f>(monthly_data!H570)/42</f>
        <v>14.547619047619047</v>
      </c>
      <c r="V44" s="241">
        <f>(monthly_data!H582)/42</f>
        <v>11.904761904761905</v>
      </c>
      <c r="W44" s="241">
        <f>(monthly_data!H594)/42</f>
        <v>16</v>
      </c>
      <c r="X44" s="241">
        <f>monthly_data!$H606/42</f>
        <v>23.80952380952381</v>
      </c>
      <c r="Y44" s="241">
        <f>monthly_data!$H618/42</f>
        <v>34.571428571428569</v>
      </c>
      <c r="Z44" s="296">
        <f t="shared" si="48"/>
        <v>32.513547144139679</v>
      </c>
      <c r="AA44" s="296">
        <f t="shared" si="49"/>
        <v>17.594287012957604</v>
      </c>
      <c r="AB44" s="296">
        <f t="shared" si="50"/>
        <v>18.391806631410489</v>
      </c>
      <c r="AC44" s="296">
        <f t="shared" si="50"/>
        <v>19.767879168178727</v>
      </c>
      <c r="AD44" s="296">
        <f t="shared" si="50"/>
        <v>20.047136422283675</v>
      </c>
      <c r="AE44" s="296">
        <f t="shared" si="50"/>
        <v>21.292624758259098</v>
      </c>
      <c r="AF44" s="296">
        <f t="shared" si="50"/>
        <v>19.235551074102652</v>
      </c>
      <c r="AG44" s="296">
        <f t="shared" si="50"/>
        <v>17.370045953985716</v>
      </c>
      <c r="AH44" s="296">
        <f t="shared" si="50"/>
        <v>16.437740867126895</v>
      </c>
      <c r="AI44" s="296">
        <f t="shared" si="50"/>
        <v>16.035963435201609</v>
      </c>
      <c r="AJ44" s="296">
        <f t="shared" si="50"/>
        <v>14.679703730140261</v>
      </c>
      <c r="AK44" s="296">
        <f t="shared" si="50"/>
        <v>11.900186511335985</v>
      </c>
      <c r="AL44" s="296">
        <f t="shared" si="50"/>
        <v>10.067784975756828</v>
      </c>
      <c r="AM44" s="296">
        <f t="shared" si="50"/>
        <v>8.2396346447159505</v>
      </c>
      <c r="AN44" s="296">
        <f t="shared" si="50"/>
        <v>6.8710458605808977</v>
      </c>
      <c r="AO44" s="296">
        <f t="shared" si="50"/>
        <v>6.8705781932561836</v>
      </c>
      <c r="AP44" s="296">
        <f t="shared" si="50"/>
        <v>0</v>
      </c>
      <c r="AQ44" s="296">
        <f t="shared" si="50"/>
        <v>0</v>
      </c>
      <c r="AR44" s="296">
        <f t="shared" si="51"/>
        <v>0</v>
      </c>
      <c r="AS44" s="296">
        <f t="shared" si="51"/>
        <v>0</v>
      </c>
      <c r="AT44" s="296">
        <f t="shared" si="51"/>
        <v>0</v>
      </c>
      <c r="AU44" s="296" t="e">
        <f t="shared" si="51"/>
        <v>#DIV/0!</v>
      </c>
      <c r="AV44" s="296" t="e">
        <f t="shared" si="51"/>
        <v>#DIV/0!</v>
      </c>
      <c r="AW44" s="296" t="e">
        <f t="shared" si="51"/>
        <v>#DIV/0!</v>
      </c>
      <c r="AX44" s="296" t="e">
        <f t="shared" si="51"/>
        <v>#DIV/0!</v>
      </c>
      <c r="AY44" s="296" t="e">
        <f t="shared" si="51"/>
        <v>#DIV/0!</v>
      </c>
      <c r="BE44" s="210" t="s">
        <v>186</v>
      </c>
      <c r="BF44" s="210">
        <f t="shared" si="52"/>
        <v>10.620599852380952</v>
      </c>
      <c r="BG44" s="210">
        <f t="shared" si="52"/>
        <v>8.7870249952380952</v>
      </c>
      <c r="BH44" s="210">
        <f t="shared" si="52"/>
        <v>6.1039999999999992</v>
      </c>
      <c r="BI44" s="210">
        <f t="shared" si="52"/>
        <v>16.487976190476189</v>
      </c>
      <c r="BJ44" s="210"/>
      <c r="BK44" s="210"/>
      <c r="BL44" s="210" t="s">
        <v>186</v>
      </c>
      <c r="BM44" s="210">
        <f>'[7]US Biodiesel Imports'!MJ$290/1000</f>
        <v>25.168218899999999</v>
      </c>
      <c r="BN44" s="210">
        <f>'[7]US Biodiesel Imports'!MV$290/1000</f>
        <v>20.6917869</v>
      </c>
      <c r="BO44" s="210">
        <f>'[7]US Biodiesel Imports'!NH$290/1000</f>
        <v>22.103999999999999</v>
      </c>
      <c r="BP44" s="210">
        <f>'[7]US Biodiesel Imports'!NT$290/1000</f>
        <v>40.297499999999999</v>
      </c>
    </row>
    <row r="45" spans="1:70">
      <c r="A45" s="68" t="s">
        <v>171</v>
      </c>
      <c r="B45" s="241">
        <f>monthly_data!H343/42</f>
        <v>4.6023809523809522E-2</v>
      </c>
      <c r="C45" s="241">
        <f>monthly_data!H355/42</f>
        <v>0.39154761904761903</v>
      </c>
      <c r="D45" s="241">
        <f>monthly_data!H367/42</f>
        <v>8.8547619047619042E-2</v>
      </c>
      <c r="E45" s="241">
        <f>monthly_data!H379/42</f>
        <v>7.9904761904761895E-2</v>
      </c>
      <c r="F45" s="241">
        <f>monthly_data!H391/42</f>
        <v>0.18154761904761904</v>
      </c>
      <c r="G45" s="241">
        <f>monthly_data!H403/42</f>
        <v>1.8514285714285716</v>
      </c>
      <c r="H45" s="241">
        <f>monthly_data!H415/42</f>
        <v>2.7121190476190478</v>
      </c>
      <c r="I45" s="241">
        <f>monthly_data!H427/42</f>
        <v>12.636904761904763</v>
      </c>
      <c r="J45" s="241">
        <f>monthly_data!H439/42</f>
        <v>2.8713095238095239</v>
      </c>
      <c r="K45" s="241">
        <f>monthly_data!H451/42</f>
        <v>1.9735714285714285</v>
      </c>
      <c r="L45" s="241">
        <f>monthly_data!H473/42</f>
        <v>0.59523809523809523</v>
      </c>
      <c r="M45" s="241">
        <f>(monthly_data!H475)/42</f>
        <v>1.7857142857142858</v>
      </c>
      <c r="N45" s="241">
        <f>(monthly_data!H487)/42</f>
        <v>9.7619047619047628</v>
      </c>
      <c r="O45" s="241">
        <f>(monthly_data!H499)/42</f>
        <v>3.1666666666666665</v>
      </c>
      <c r="P45" s="241">
        <f>(monthly_data!H511)/42</f>
        <v>8</v>
      </c>
      <c r="Q45" s="241">
        <f>(monthly_data!H523)/42</f>
        <v>26.595238095238095</v>
      </c>
      <c r="R45" s="241">
        <f>(monthly_data!H535)/42</f>
        <v>22.571428571428573</v>
      </c>
      <c r="S45" s="241">
        <f>(monthly_data!H547)/42</f>
        <v>7.7380952380952381</v>
      </c>
      <c r="T45" s="241">
        <f>(monthly_data!H559)/42</f>
        <v>6.6904761904761907</v>
      </c>
      <c r="U45" s="241">
        <f>(monthly_data!H571)/42</f>
        <v>11.30952380952381</v>
      </c>
      <c r="V45" s="241">
        <f>(monthly_data!H583)/42</f>
        <v>7.5238095238095237</v>
      </c>
      <c r="W45" s="241">
        <f>(monthly_data!H595)/42</f>
        <v>7.5</v>
      </c>
      <c r="X45" s="241">
        <f>monthly_data!$H607/42</f>
        <v>19.80952380952381</v>
      </c>
      <c r="Y45" s="241">
        <f>monthly_data!$H619/42</f>
        <v>20.904761904761905</v>
      </c>
      <c r="Z45" s="296">
        <f t="shared" si="48"/>
        <v>21.619397581557816</v>
      </c>
      <c r="AA45" s="296">
        <f t="shared" si="49"/>
        <v>11.45672047864899</v>
      </c>
      <c r="AB45" s="296">
        <f t="shared" si="50"/>
        <v>12.009735404985905</v>
      </c>
      <c r="AC45" s="296">
        <f t="shared" si="50"/>
        <v>13.367582398102241</v>
      </c>
      <c r="AD45" s="296">
        <f t="shared" si="50"/>
        <v>12.951141604070969</v>
      </c>
      <c r="AE45" s="296">
        <f t="shared" si="50"/>
        <v>14.036797279909544</v>
      </c>
      <c r="AF45" s="296">
        <f t="shared" si="50"/>
        <v>12.643976608302554</v>
      </c>
      <c r="AG45" s="296">
        <f t="shared" si="50"/>
        <v>11.436809561222711</v>
      </c>
      <c r="AH45" s="296">
        <f t="shared" si="50"/>
        <v>10.839752655410694</v>
      </c>
      <c r="AI45" s="296">
        <f t="shared" si="50"/>
        <v>10.518430678699399</v>
      </c>
      <c r="AJ45" s="296">
        <f t="shared" si="50"/>
        <v>9.6610382592560242</v>
      </c>
      <c r="AK45" s="296">
        <f t="shared" si="50"/>
        <v>7.8284164034709081</v>
      </c>
      <c r="AL45" s="296">
        <f t="shared" si="50"/>
        <v>6.6242984807024801</v>
      </c>
      <c r="AM45" s="296">
        <f t="shared" si="50"/>
        <v>5.4204957390444459</v>
      </c>
      <c r="AN45" s="296">
        <f t="shared" si="50"/>
        <v>4.5172194993804418</v>
      </c>
      <c r="AO45" s="296">
        <f t="shared" si="50"/>
        <v>4.5201064223700405</v>
      </c>
      <c r="AP45" s="296">
        <f t="shared" si="50"/>
        <v>0</v>
      </c>
      <c r="AQ45" s="296">
        <f t="shared" si="50"/>
        <v>0</v>
      </c>
      <c r="AR45" s="296">
        <f t="shared" si="51"/>
        <v>0</v>
      </c>
      <c r="AS45" s="296">
        <f t="shared" si="51"/>
        <v>0</v>
      </c>
      <c r="AT45" s="296">
        <f t="shared" si="51"/>
        <v>0</v>
      </c>
      <c r="AU45" s="296" t="e">
        <f t="shared" si="51"/>
        <v>#DIV/0!</v>
      </c>
      <c r="AV45" s="296" t="e">
        <f t="shared" si="51"/>
        <v>#DIV/0!</v>
      </c>
      <c r="AW45" s="296" t="e">
        <f t="shared" si="51"/>
        <v>#DIV/0!</v>
      </c>
      <c r="AX45" s="296" t="e">
        <f t="shared" si="51"/>
        <v>#DIV/0!</v>
      </c>
      <c r="AY45" s="296" t="e">
        <f t="shared" si="51"/>
        <v>#DIV/0!</v>
      </c>
      <c r="BE45" s="210" t="s">
        <v>187</v>
      </c>
      <c r="BF45" s="210">
        <f t="shared" si="52"/>
        <v>8.3366649904761907</v>
      </c>
      <c r="BG45" s="210">
        <f t="shared" si="52"/>
        <v>5.3967266761904771</v>
      </c>
      <c r="BH45" s="210">
        <f t="shared" si="52"/>
        <v>5.5658999999999992</v>
      </c>
      <c r="BI45" s="210">
        <f t="shared" si="52"/>
        <v>15.912976190476186</v>
      </c>
      <c r="BJ45" s="210"/>
      <c r="BK45" s="210"/>
      <c r="BL45" s="210" t="s">
        <v>187</v>
      </c>
      <c r="BM45" s="210">
        <f>'[7]US Biodiesel Imports'!MK$290/1000</f>
        <v>19.646188800000001</v>
      </c>
      <c r="BN45" s="210">
        <f>'[7]US Biodiesel Imports'!MW$290/1000</f>
        <v>12.920536200000001</v>
      </c>
      <c r="BO45" s="210">
        <f>'[7]US Biodiesel Imports'!NI$290/1000</f>
        <v>13.065899999999999</v>
      </c>
      <c r="BP45" s="210">
        <f>'[7]US Biodiesel Imports'!NU$290/1000</f>
        <v>35.722499999999997</v>
      </c>
    </row>
    <row r="46" spans="1:70">
      <c r="A46" s="68" t="s">
        <v>172</v>
      </c>
      <c r="B46" s="241">
        <f>monthly_data!H344/42</f>
        <v>6.819047619047619E-2</v>
      </c>
      <c r="C46" s="241">
        <f>monthly_data!H356/42</f>
        <v>0.42635714285714288</v>
      </c>
      <c r="D46" s="241">
        <f>monthly_data!H368/42</f>
        <v>8.8642857142857134E-2</v>
      </c>
      <c r="E46" s="241">
        <f>monthly_data!H380/42</f>
        <v>0.14161904761904762</v>
      </c>
      <c r="F46" s="241">
        <f>monthly_data!H392/42</f>
        <v>0.52349999999999997</v>
      </c>
      <c r="G46" s="241">
        <f>monthly_data!H404/42</f>
        <v>3.6118333333333332</v>
      </c>
      <c r="H46" s="241">
        <f>monthly_data!H416/42</f>
        <v>8.9625000000000004</v>
      </c>
      <c r="I46" s="241">
        <f>monthly_data!H428/42</f>
        <v>12.595690476190477</v>
      </c>
      <c r="J46" s="241">
        <f>monthly_data!H440/42</f>
        <v>3.3994999999999997</v>
      </c>
      <c r="K46" s="241">
        <f>monthly_data!H452/42</f>
        <v>1.3354761904761905</v>
      </c>
      <c r="L46" s="241">
        <f>monthly_data!H474/42</f>
        <v>0.76190476190476186</v>
      </c>
      <c r="M46" s="241">
        <f>(monthly_data!H476)/42</f>
        <v>3.1428571428571428</v>
      </c>
      <c r="N46" s="241">
        <f>(monthly_data!H488)/42</f>
        <v>16.61904761904762</v>
      </c>
      <c r="O46" s="241">
        <f>(monthly_data!H500)/42</f>
        <v>5.5952380952380949</v>
      </c>
      <c r="P46" s="241">
        <f>(monthly_data!H512)/42</f>
        <v>16.023809523809526</v>
      </c>
      <c r="Q46" s="241">
        <f>(monthly_data!H524)/42</f>
        <v>38.80952380952381</v>
      </c>
      <c r="R46" s="241">
        <f>(monthly_data!H536)/42</f>
        <v>41.333333333333336</v>
      </c>
      <c r="S46" s="241">
        <f>(monthly_data!H548)/42</f>
        <v>7.0476190476190474</v>
      </c>
      <c r="T46" s="241">
        <f>(monthly_data!H560)/42</f>
        <v>7.3809523809523814</v>
      </c>
      <c r="U46" s="241">
        <f>(monthly_data!H572)/42</f>
        <v>10.619047619047619</v>
      </c>
      <c r="V46" s="241">
        <f>(monthly_data!H584)/42</f>
        <v>10.619047619047619</v>
      </c>
      <c r="W46" s="241">
        <f>(monthly_data!H596)/42</f>
        <v>8.2380952380952372</v>
      </c>
      <c r="X46" s="241">
        <f>monthly_data!$H608/42</f>
        <v>24.19047619047619</v>
      </c>
      <c r="Y46" s="241">
        <f>monthly_data!$H620/42</f>
        <v>17.166666666666668</v>
      </c>
      <c r="Z46" s="296">
        <f t="shared" si="48"/>
        <v>22.840095101255148</v>
      </c>
      <c r="AA46" s="296">
        <f t="shared" si="49"/>
        <v>12.300435172443665</v>
      </c>
      <c r="AB46" s="296">
        <f t="shared" si="50"/>
        <v>12.518748956791725</v>
      </c>
      <c r="AC46" s="296">
        <f t="shared" si="50"/>
        <v>13.868676303095031</v>
      </c>
      <c r="AD46" s="296">
        <f t="shared" si="50"/>
        <v>12.842847043643102</v>
      </c>
      <c r="AE46" s="296">
        <f t="shared" si="50"/>
        <v>14.619901361335556</v>
      </c>
      <c r="AF46" s="296">
        <f t="shared" si="50"/>
        <v>13.105309297957458</v>
      </c>
      <c r="AG46" s="296">
        <f t="shared" si="50"/>
        <v>11.779205336052168</v>
      </c>
      <c r="AH46" s="296">
        <f t="shared" si="50"/>
        <v>11.139129982780371</v>
      </c>
      <c r="AI46" s="296">
        <f t="shared" si="50"/>
        <v>10.786523086222831</v>
      </c>
      <c r="AJ46" s="296">
        <f t="shared" si="50"/>
        <v>9.9784883759347629</v>
      </c>
      <c r="AK46" s="296">
        <f t="shared" si="50"/>
        <v>8.0683336505608594</v>
      </c>
      <c r="AL46" s="296">
        <f t="shared" si="50"/>
        <v>6.8175866436773767</v>
      </c>
      <c r="AM46" s="296">
        <f t="shared" si="50"/>
        <v>5.5776232536766344</v>
      </c>
      <c r="AN46" s="296">
        <f t="shared" si="50"/>
        <v>4.6498370312111801</v>
      </c>
      <c r="AO46" s="296">
        <f t="shared" si="50"/>
        <v>4.6582126931496655</v>
      </c>
      <c r="AP46" s="296">
        <f t="shared" si="50"/>
        <v>0</v>
      </c>
      <c r="AQ46" s="296">
        <f t="shared" si="50"/>
        <v>0</v>
      </c>
      <c r="AR46" s="296">
        <f t="shared" si="51"/>
        <v>0</v>
      </c>
      <c r="AS46" s="296">
        <f t="shared" si="51"/>
        <v>0</v>
      </c>
      <c r="AT46" s="296">
        <f t="shared" si="51"/>
        <v>0</v>
      </c>
      <c r="AU46" s="296" t="e">
        <f t="shared" si="51"/>
        <v>#DIV/0!</v>
      </c>
      <c r="AV46" s="296" t="e">
        <f t="shared" si="51"/>
        <v>#DIV/0!</v>
      </c>
      <c r="AW46" s="296" t="e">
        <f t="shared" si="51"/>
        <v>#DIV/0!</v>
      </c>
      <c r="AX46" s="296" t="e">
        <f t="shared" si="51"/>
        <v>#DIV/0!</v>
      </c>
      <c r="AY46" s="296" t="e">
        <f t="shared" si="51"/>
        <v>#DIV/0!</v>
      </c>
      <c r="BE46" s="210" t="s">
        <v>188</v>
      </c>
      <c r="BF46" s="210">
        <f t="shared" si="52"/>
        <v>7.5277069809523827</v>
      </c>
      <c r="BG46" s="210">
        <f t="shared" si="52"/>
        <v>8.2869682809523812</v>
      </c>
      <c r="BH46" s="210">
        <f t="shared" si="52"/>
        <v>6.7754047619047633</v>
      </c>
      <c r="BI46" s="210">
        <f t="shared" si="52"/>
        <v>17.535023809523807</v>
      </c>
      <c r="BJ46" s="210"/>
      <c r="BK46" s="210"/>
      <c r="BL46" s="210" t="s">
        <v>188</v>
      </c>
      <c r="BM46" s="210">
        <f>'[7]US Biodiesel Imports'!ML$290/1000</f>
        <v>18.146754600000001</v>
      </c>
      <c r="BN46" s="210">
        <f>'[7]US Biodiesel Imports'!MX$290/1000</f>
        <v>18.9060159</v>
      </c>
      <c r="BO46" s="210">
        <f>'[7]US Biodiesel Imports'!NJ$290/1000</f>
        <v>15.013500000000001</v>
      </c>
      <c r="BP46" s="210">
        <f>'[7]US Biodiesel Imports'!NV$290/1000</f>
        <v>41.725499999999997</v>
      </c>
    </row>
    <row r="47" spans="1:70">
      <c r="A47" s="68" t="s">
        <v>173</v>
      </c>
      <c r="B47" s="241">
        <f>monthly_data!H345/42</f>
        <v>0.31109523809523809</v>
      </c>
      <c r="C47" s="241">
        <f>monthly_data!H357/42</f>
        <v>0.52023809523809528</v>
      </c>
      <c r="D47" s="241">
        <f>monthly_data!H369/42</f>
        <v>9.9404761904761899E-2</v>
      </c>
      <c r="E47" s="241">
        <f>monthly_data!H381/42</f>
        <v>0.16809523809523808</v>
      </c>
      <c r="F47" s="241">
        <f>monthly_data!H393/42</f>
        <v>0.24409523809523812</v>
      </c>
      <c r="G47" s="241">
        <f>monthly_data!H405/42</f>
        <v>1.829690476190476</v>
      </c>
      <c r="H47" s="241">
        <f>monthly_data!H417/42</f>
        <v>6.6307142857142862</v>
      </c>
      <c r="I47" s="241">
        <f>monthly_data!H429/42</f>
        <v>12.957738095238096</v>
      </c>
      <c r="J47" s="241">
        <f>monthly_data!H441/42</f>
        <v>1.4204285714285714</v>
      </c>
      <c r="K47" s="241">
        <f>monthly_data!H453/42</f>
        <v>0.79392857142857143</v>
      </c>
      <c r="L47" s="241">
        <f>monthly_data!H475/42</f>
        <v>1.7857142857142858</v>
      </c>
      <c r="M47" s="241">
        <f>(monthly_data!H477)/42</f>
        <v>3.9523809523809526</v>
      </c>
      <c r="N47" s="241">
        <f>(monthly_data!H489)/42</f>
        <v>8.5238095238095237</v>
      </c>
      <c r="O47" s="241">
        <f>(monthly_data!H501)/42</f>
        <v>11.738095238095237</v>
      </c>
      <c r="P47" s="241">
        <f>(monthly_data!H513)/42</f>
        <v>27.547619047619047</v>
      </c>
      <c r="Q47" s="241">
        <f>(monthly_data!H525)/42</f>
        <v>40.023809523809526</v>
      </c>
      <c r="R47" s="241">
        <f>(monthly_data!H537)/42</f>
        <v>39.761904761904759</v>
      </c>
      <c r="S47" s="241">
        <f>(monthly_data!H549)/42</f>
        <v>3.7380952380952381</v>
      </c>
      <c r="T47" s="241">
        <f>(monthly_data!H561)/42</f>
        <v>7.9285714285714288</v>
      </c>
      <c r="U47" s="241">
        <f>(monthly_data!H573)/42</f>
        <v>8.2380952380952372</v>
      </c>
      <c r="V47" s="241">
        <f>(monthly_data!H585)/42</f>
        <v>8.5</v>
      </c>
      <c r="W47" s="241">
        <f>(monthly_data!H597)/42</f>
        <v>6.7619047619047619</v>
      </c>
      <c r="X47" s="241">
        <f>monthly_data!$H609/42</f>
        <v>17.261904761904763</v>
      </c>
      <c r="Y47" s="241">
        <f>monthly_data!$H621/42</f>
        <v>14.261904761904763</v>
      </c>
      <c r="Z47" s="296">
        <f t="shared" si="48"/>
        <v>17.742339421512821</v>
      </c>
      <c r="AA47" s="296">
        <f t="shared" si="49"/>
        <v>9.5566679762808064</v>
      </c>
      <c r="AB47" s="296">
        <f t="shared" si="50"/>
        <v>9.6893989629280703</v>
      </c>
      <c r="AC47" s="296">
        <f t="shared" si="50"/>
        <v>10.674139924147005</v>
      </c>
      <c r="AD47" s="296">
        <f t="shared" si="50"/>
        <v>10.105979682214265</v>
      </c>
      <c r="AE47" s="296">
        <f t="shared" si="50"/>
        <v>11.356205959341098</v>
      </c>
      <c r="AF47" s="296">
        <f t="shared" si="50"/>
        <v>10.179530590595624</v>
      </c>
      <c r="AG47" s="296">
        <f t="shared" si="50"/>
        <v>9.1490726598638421</v>
      </c>
      <c r="AH47" s="296">
        <f t="shared" si="50"/>
        <v>8.6576515765505881</v>
      </c>
      <c r="AI47" s="296">
        <f t="shared" si="50"/>
        <v>8.4014340601931554</v>
      </c>
      <c r="AJ47" s="296">
        <f t="shared" si="50"/>
        <v>7.7553534776112576</v>
      </c>
      <c r="AK47" s="296">
        <f t="shared" si="50"/>
        <v>6.271689079153969</v>
      </c>
      <c r="AL47" s="296">
        <f t="shared" si="50"/>
        <v>5.3004456214024067</v>
      </c>
      <c r="AM47" s="296">
        <f t="shared" si="50"/>
        <v>4.3374723752874509</v>
      </c>
      <c r="AN47" s="296">
        <f t="shared" si="50"/>
        <v>3.6165106707122074</v>
      </c>
      <c r="AO47" s="296">
        <f t="shared" si="50"/>
        <v>3.6214342332965428</v>
      </c>
      <c r="AP47" s="296">
        <f t="shared" si="50"/>
        <v>0</v>
      </c>
      <c r="AQ47" s="296">
        <f t="shared" si="50"/>
        <v>0</v>
      </c>
      <c r="AR47" s="296">
        <f t="shared" si="51"/>
        <v>0</v>
      </c>
      <c r="AS47" s="296">
        <f t="shared" si="51"/>
        <v>0</v>
      </c>
      <c r="AT47" s="296">
        <f t="shared" si="51"/>
        <v>0</v>
      </c>
      <c r="AU47" s="296" t="e">
        <f t="shared" si="51"/>
        <v>#DIV/0!</v>
      </c>
      <c r="AV47" s="296" t="e">
        <f t="shared" si="51"/>
        <v>#DIV/0!</v>
      </c>
      <c r="AW47" s="296" t="e">
        <f t="shared" si="51"/>
        <v>#DIV/0!</v>
      </c>
      <c r="AX47" s="296" t="e">
        <f t="shared" si="51"/>
        <v>#DIV/0!</v>
      </c>
      <c r="AY47" s="296" t="e">
        <f t="shared" si="51"/>
        <v>#DIV/0!</v>
      </c>
      <c r="BE47" s="210" t="s">
        <v>189</v>
      </c>
      <c r="BF47" s="210">
        <f t="shared" si="52"/>
        <v>6.6510604619047626</v>
      </c>
      <c r="BG47" s="210">
        <f t="shared" si="52"/>
        <v>4.7278792999999997</v>
      </c>
      <c r="BH47" s="210">
        <f t="shared" si="52"/>
        <v>3.1107952380952382</v>
      </c>
      <c r="BI47" s="210">
        <f t="shared" si="52"/>
        <v>14.151395238095237</v>
      </c>
      <c r="BJ47" s="210"/>
      <c r="BK47" s="210"/>
      <c r="BL47" s="210" t="s">
        <v>189</v>
      </c>
      <c r="BM47" s="210">
        <f>'[7]US Biodiesel Imports'!MM$290/1000</f>
        <v>14.8891557</v>
      </c>
      <c r="BN47" s="210">
        <f>'[7]US Biodiesel Imports'!MY$290/1000</f>
        <v>13.2278793</v>
      </c>
      <c r="BO47" s="210">
        <f>'[7]US Biodiesel Imports'!NK$290/1000</f>
        <v>9.8727</v>
      </c>
      <c r="BP47" s="210">
        <f>'[7]US Biodiesel Imports'!NW$290/1000</f>
        <v>31.4133</v>
      </c>
    </row>
    <row r="48" spans="1:70">
      <c r="A48" s="68" t="s">
        <v>174</v>
      </c>
      <c r="B48" s="241">
        <f>monthly_data!H346/42</f>
        <v>5.735714285714285E-2</v>
      </c>
      <c r="C48" s="241">
        <f>monthly_data!H358/42</f>
        <v>0.1736904761904762</v>
      </c>
      <c r="D48" s="241">
        <f>monthly_data!H370/42</f>
        <v>0.23204761904761906</v>
      </c>
      <c r="E48" s="241">
        <f>monthly_data!H382/42</f>
        <v>8.9309523809523811E-2</v>
      </c>
      <c r="F48" s="241">
        <f>monthly_data!H394/42</f>
        <v>0.9408333333333333</v>
      </c>
      <c r="G48" s="241">
        <f>monthly_data!H406/42</f>
        <v>2.2886666666666664</v>
      </c>
      <c r="H48" s="241">
        <f>monthly_data!H418/42</f>
        <v>10.056285714285714</v>
      </c>
      <c r="I48" s="241">
        <f>monthly_data!H430/42</f>
        <v>22.319285714285712</v>
      </c>
      <c r="J48" s="241">
        <f>monthly_data!H442/42</f>
        <v>3.0926428571428568</v>
      </c>
      <c r="K48" s="241">
        <f>monthly_data!H454/42</f>
        <v>1.2801666666666667</v>
      </c>
      <c r="L48" s="241">
        <f>monthly_data!H476/42</f>
        <v>3.1428571428571428</v>
      </c>
      <c r="M48" s="241">
        <f>(monthly_data!H478)/42</f>
        <v>1.3095238095238095</v>
      </c>
      <c r="N48" s="241">
        <f>(monthly_data!H490)/42</f>
        <v>9.1666666666666661</v>
      </c>
      <c r="O48" s="241">
        <f>(monthly_data!H502)/42</f>
        <v>13.595238095238095</v>
      </c>
      <c r="P48" s="241">
        <f>(monthly_data!H514)/42</f>
        <v>22.88095238095238</v>
      </c>
      <c r="Q48" s="241">
        <f>(monthly_data!H526)/42</f>
        <v>44.595238095238095</v>
      </c>
      <c r="R48" s="241">
        <f>(monthly_data!H538)/42</f>
        <v>37.666666666666664</v>
      </c>
      <c r="S48" s="241">
        <f>(monthly_data!H550)/42</f>
        <v>6.6904761904761907</v>
      </c>
      <c r="T48" s="241">
        <f>(monthly_data!H562)/42</f>
        <v>5.1428571428571432</v>
      </c>
      <c r="U48" s="241">
        <f>(monthly_data!H574)/42</f>
        <v>5.5714285714285712</v>
      </c>
      <c r="V48" s="241">
        <f>(monthly_data!H586)/42</f>
        <v>6.833333333333333</v>
      </c>
      <c r="W48" s="241">
        <f>(monthly_data!H598)/42</f>
        <v>8.8333333333333339</v>
      </c>
      <c r="X48" s="241">
        <f>monthly_data!$H610/42</f>
        <v>23.595238095238095</v>
      </c>
      <c r="Y48" s="296">
        <f t="shared" ref="Y48:Y51" si="53">Y$53*(SUM(T48:X48)/SUM(T$53:X$53))</f>
        <v>26.401747977058712</v>
      </c>
      <c r="Z48" s="296">
        <f t="shared" si="48"/>
        <v>22.969638094235258</v>
      </c>
      <c r="AA48" s="296">
        <f t="shared" si="49"/>
        <v>13.126677212071952</v>
      </c>
      <c r="AB48" s="296">
        <f t="shared" si="50"/>
        <v>14.024333904635414</v>
      </c>
      <c r="AC48" s="296">
        <f t="shared" si="50"/>
        <v>15.598235060578451</v>
      </c>
      <c r="AD48" s="296">
        <f t="shared" si="50"/>
        <v>15.033952212409432</v>
      </c>
      <c r="AE48" s="296">
        <f t="shared" si="50"/>
        <v>15.87448922333677</v>
      </c>
      <c r="AF48" s="296">
        <f t="shared" si="50"/>
        <v>14.592560753525213</v>
      </c>
      <c r="AG48" s="296">
        <f t="shared" si="50"/>
        <v>13.216183814215002</v>
      </c>
      <c r="AH48" s="296">
        <f t="shared" si="50"/>
        <v>12.501659618253905</v>
      </c>
      <c r="AI48" s="296">
        <f t="shared" si="50"/>
        <v>12.100289304664619</v>
      </c>
      <c r="AJ48" s="296">
        <f t="shared" si="50"/>
        <v>11.092009374862215</v>
      </c>
      <c r="AK48" s="296">
        <f t="shared" si="50"/>
        <v>9.0222419371778404</v>
      </c>
      <c r="AL48" s="296">
        <f t="shared" si="50"/>
        <v>7.6318110723462205</v>
      </c>
      <c r="AM48" s="296">
        <f t="shared" si="50"/>
        <v>6.2401602882879921</v>
      </c>
      <c r="AN48" s="296">
        <f t="shared" si="50"/>
        <v>5.1977269147374683</v>
      </c>
      <c r="AO48" s="296">
        <f t="shared" si="50"/>
        <v>5.2014092372670442</v>
      </c>
      <c r="AP48" s="296">
        <f t="shared" si="50"/>
        <v>0</v>
      </c>
      <c r="AQ48" s="296">
        <f t="shared" si="50"/>
        <v>0</v>
      </c>
      <c r="AR48" s="296">
        <f t="shared" si="51"/>
        <v>0</v>
      </c>
      <c r="AS48" s="296">
        <f t="shared" si="51"/>
        <v>0</v>
      </c>
      <c r="AT48" s="296">
        <f t="shared" si="51"/>
        <v>0</v>
      </c>
      <c r="AU48" s="296" t="e">
        <f t="shared" si="51"/>
        <v>#DIV/0!</v>
      </c>
      <c r="AV48" s="296" t="e">
        <f t="shared" si="51"/>
        <v>#DIV/0!</v>
      </c>
      <c r="AW48" s="296" t="e">
        <f t="shared" si="51"/>
        <v>#DIV/0!</v>
      </c>
      <c r="AX48" s="296" t="e">
        <f t="shared" si="51"/>
        <v>#DIV/0!</v>
      </c>
      <c r="AY48" s="296" t="e">
        <f t="shared" si="51"/>
        <v>#DIV/0!</v>
      </c>
      <c r="BE48" s="210" t="s">
        <v>190</v>
      </c>
      <c r="BF48" s="210">
        <f t="shared" si="52"/>
        <v>5.6275378285714286</v>
      </c>
      <c r="BG48" s="210">
        <f t="shared" si="52"/>
        <v>4.3782585666666671</v>
      </c>
      <c r="BH48" s="210">
        <f t="shared" si="52"/>
        <v>7.8910666666666689</v>
      </c>
      <c r="BI48" s="210">
        <f t="shared" si="52"/>
        <v>18.326161904761904</v>
      </c>
      <c r="BJ48" s="210"/>
      <c r="BK48" s="210"/>
      <c r="BL48" s="210" t="s">
        <v>190</v>
      </c>
      <c r="BM48" s="210">
        <f>'[7]US Biodiesel Imports'!MN$290/1000</f>
        <v>11.1989664</v>
      </c>
      <c r="BN48" s="210">
        <f>'[7]US Biodiesel Imports'!MZ$290/1000</f>
        <v>11.2115919</v>
      </c>
      <c r="BO48" s="210">
        <f>'[7]US Biodiesel Imports'!NL$290/1000</f>
        <v>16.724400000000003</v>
      </c>
      <c r="BP48" s="210">
        <f>'[7]US Biodiesel Imports'!NX$290/1000</f>
        <v>41.921399999999998</v>
      </c>
    </row>
    <row r="49" spans="1:68">
      <c r="A49" s="68" t="s">
        <v>175</v>
      </c>
      <c r="B49" s="241">
        <f>monthly_data!H347/42</f>
        <v>0.29914285714285715</v>
      </c>
      <c r="C49" s="241">
        <f>monthly_data!H359/42</f>
        <v>0.16747619047619047</v>
      </c>
      <c r="D49" s="241">
        <f>monthly_data!H371/42</f>
        <v>0.34645238095238096</v>
      </c>
      <c r="E49" s="241">
        <f>monthly_data!H383/42</f>
        <v>0.22361904761904761</v>
      </c>
      <c r="F49" s="241">
        <f>monthly_data!H395/42</f>
        <v>0.27692857142857141</v>
      </c>
      <c r="G49" s="241">
        <f>monthly_data!H407/42</f>
        <v>2.172857142857143</v>
      </c>
      <c r="H49" s="241">
        <f>monthly_data!H419/42</f>
        <v>7.3704999999999998</v>
      </c>
      <c r="I49" s="241">
        <f>monthly_data!H431/42</f>
        <v>22.361357142857145</v>
      </c>
      <c r="J49" s="241">
        <f>monthly_data!H443/42</f>
        <v>3.0197857142857143</v>
      </c>
      <c r="K49" s="241">
        <f>monthly_data!H455/42</f>
        <v>1.689095238095238</v>
      </c>
      <c r="L49" s="241">
        <f>monthly_data!H477/42</f>
        <v>3.9523809523809526</v>
      </c>
      <c r="M49" s="241">
        <f>(monthly_data!H479)/42</f>
        <v>2.5714285714285716</v>
      </c>
      <c r="N49" s="241">
        <f>(monthly_data!H491)/42</f>
        <v>18.595238095238095</v>
      </c>
      <c r="O49" s="241">
        <f>(monthly_data!H503)/42</f>
        <v>8.3809523809523814</v>
      </c>
      <c r="P49" s="241">
        <f>(monthly_data!H515)/42</f>
        <v>25.285714285714285</v>
      </c>
      <c r="Q49" s="241">
        <f>(monthly_data!H527)/42</f>
        <v>43.69047619047619</v>
      </c>
      <c r="R49" s="241">
        <f>(monthly_data!H539)/42</f>
        <v>4.8809523809523814</v>
      </c>
      <c r="S49" s="241">
        <f>(monthly_data!H551)/42</f>
        <v>6.5952380952380949</v>
      </c>
      <c r="T49" s="241">
        <f>(monthly_data!H563)/42</f>
        <v>6.666666666666667</v>
      </c>
      <c r="U49" s="241">
        <f>(monthly_data!H575)/42</f>
        <v>8.5714285714285712</v>
      </c>
      <c r="V49" s="241">
        <f>(monthly_data!H587)/42</f>
        <v>9.9523809523809526</v>
      </c>
      <c r="W49" s="241">
        <f>(monthly_data!H599)/42</f>
        <v>9.6428571428571423</v>
      </c>
      <c r="X49" s="241">
        <f>monthly_data!$H611/42</f>
        <v>30.476190476190474</v>
      </c>
      <c r="Y49" s="296">
        <f t="shared" si="53"/>
        <v>34.502141353535983</v>
      </c>
      <c r="Z49" s="296">
        <f t="shared" si="48"/>
        <v>30.034455866313696</v>
      </c>
      <c r="AA49" s="296">
        <f t="shared" si="49"/>
        <v>16.973560908464275</v>
      </c>
      <c r="AB49" s="296">
        <f t="shared" si="50"/>
        <v>17.969335994401298</v>
      </c>
      <c r="AC49" s="296">
        <f t="shared" si="50"/>
        <v>20.246975571260592</v>
      </c>
      <c r="AD49" s="296">
        <f t="shared" si="50"/>
        <v>19.539184436801008</v>
      </c>
      <c r="AE49" s="296">
        <f t="shared" si="50"/>
        <v>20.594536699799495</v>
      </c>
      <c r="AF49" s="296">
        <f t="shared" si="50"/>
        <v>18.88486288514396</v>
      </c>
      <c r="AG49" s="296">
        <f t="shared" si="50"/>
        <v>17.106139038525185</v>
      </c>
      <c r="AH49" s="296">
        <f t="shared" si="50"/>
        <v>16.212061452033122</v>
      </c>
      <c r="AI49" s="296">
        <f t="shared" si="50"/>
        <v>15.688288630731055</v>
      </c>
      <c r="AJ49" s="296">
        <f t="shared" si="50"/>
        <v>14.37334232791599</v>
      </c>
      <c r="AK49" s="296">
        <f t="shared" si="50"/>
        <v>11.687880069361105</v>
      </c>
      <c r="AL49" s="296">
        <f t="shared" si="50"/>
        <v>9.8891596012482754</v>
      </c>
      <c r="AM49" s="296">
        <f t="shared" si="50"/>
        <v>8.0881667381669686</v>
      </c>
      <c r="AN49" s="296">
        <f t="shared" si="50"/>
        <v>6.7361094775289532</v>
      </c>
      <c r="AO49" s="296">
        <f t="shared" si="50"/>
        <v>6.739998877993977</v>
      </c>
      <c r="AP49" s="296">
        <f t="shared" si="50"/>
        <v>0</v>
      </c>
      <c r="AQ49" s="296">
        <f t="shared" si="50"/>
        <v>0</v>
      </c>
      <c r="AR49" s="296">
        <f t="shared" si="51"/>
        <v>0</v>
      </c>
      <c r="AS49" s="296">
        <f t="shared" si="51"/>
        <v>0</v>
      </c>
      <c r="AT49" s="296">
        <f t="shared" si="51"/>
        <v>0</v>
      </c>
      <c r="AU49" s="296" t="e">
        <f t="shared" si="51"/>
        <v>#DIV/0!</v>
      </c>
      <c r="AV49" s="296" t="e">
        <f t="shared" si="51"/>
        <v>#DIV/0!</v>
      </c>
      <c r="AW49" s="296" t="e">
        <f t="shared" si="51"/>
        <v>#DIV/0!</v>
      </c>
      <c r="AX49" s="296" t="e">
        <f t="shared" si="51"/>
        <v>#DIV/0!</v>
      </c>
      <c r="AY49" s="296" t="e">
        <f t="shared" si="51"/>
        <v>#DIV/0!</v>
      </c>
      <c r="BE49" s="210" t="s">
        <v>191</v>
      </c>
      <c r="BF49" s="210">
        <f t="shared" si="52"/>
        <v>6.8942635285714289</v>
      </c>
      <c r="BG49" s="210">
        <f t="shared" si="52"/>
        <v>7.4442536476190497</v>
      </c>
      <c r="BH49" s="210">
        <f t="shared" si="52"/>
        <v>9.9105428571428575</v>
      </c>
      <c r="BI49" s="210">
        <f t="shared" si="52"/>
        <v>24.559409523809521</v>
      </c>
      <c r="BJ49" s="210"/>
      <c r="BK49" s="210"/>
      <c r="BL49" s="210" t="s">
        <v>191</v>
      </c>
      <c r="BM49" s="210">
        <f>'[7]US Biodiesel Imports'!MO$290/1000</f>
        <v>15.4656921</v>
      </c>
      <c r="BN49" s="210">
        <f>'[7]US Biodiesel Imports'!NA$290/1000</f>
        <v>17.396634600000002</v>
      </c>
      <c r="BO49" s="210">
        <f>'[7]US Biodiesel Imports'!NM$290/1000</f>
        <v>19.5534</v>
      </c>
      <c r="BP49" s="210">
        <f>'[7]US Biodiesel Imports'!NY$290/1000</f>
        <v>55.035599999999995</v>
      </c>
    </row>
    <row r="50" spans="1:68">
      <c r="A50" s="68" t="s">
        <v>176</v>
      </c>
      <c r="B50" s="241">
        <f>monthly_data!H348/42</f>
        <v>0.31702380952380949</v>
      </c>
      <c r="C50" s="241">
        <f>monthly_data!H360/42</f>
        <v>0.20983333333333334</v>
      </c>
      <c r="D50" s="241">
        <f>monthly_data!H372/42</f>
        <v>7.052380952380953E-2</v>
      </c>
      <c r="E50" s="241">
        <f>monthly_data!H384/42</f>
        <v>0.23895238095238094</v>
      </c>
      <c r="F50" s="241">
        <f>monthly_data!H396/42</f>
        <v>0.19635714285714284</v>
      </c>
      <c r="G50" s="241">
        <f>monthly_data!H408/42</f>
        <v>2.4838095238095237</v>
      </c>
      <c r="H50" s="241">
        <f>monthly_data!H420/42</f>
        <v>10.534738095238096</v>
      </c>
      <c r="I50" s="241">
        <f>monthly_data!H432/42</f>
        <v>17.750738095238095</v>
      </c>
      <c r="J50" s="241">
        <f>monthly_data!H444/42</f>
        <v>3.9139523809523808</v>
      </c>
      <c r="K50" s="241">
        <f>monthly_data!H456/42</f>
        <v>0.44492857142857145</v>
      </c>
      <c r="L50" s="241">
        <f>monthly_data!H478/42</f>
        <v>1.3095238095238095</v>
      </c>
      <c r="M50" s="241">
        <f>(monthly_data!H480)/42</f>
        <v>1.4285714285714286</v>
      </c>
      <c r="N50" s="241">
        <f>(monthly_data!H492)/42</f>
        <v>28.023809523809526</v>
      </c>
      <c r="O50" s="241">
        <f>(monthly_data!H504)/42</f>
        <v>12.071428571428571</v>
      </c>
      <c r="P50" s="241">
        <f>(monthly_data!H516)/42</f>
        <v>20.547619047619047</v>
      </c>
      <c r="Q50" s="241">
        <f>(monthly_data!H528)/42</f>
        <v>43.38095238095238</v>
      </c>
      <c r="R50" s="241">
        <f>(monthly_data!H540)/42</f>
        <v>9.1904761904761898</v>
      </c>
      <c r="S50" s="241">
        <f>(monthly_data!H552)/42</f>
        <v>11.119047619047619</v>
      </c>
      <c r="T50" s="241">
        <f>(monthly_data!H564)/42</f>
        <v>7.4761904761904763</v>
      </c>
      <c r="U50" s="241">
        <f>(monthly_data!H576)/42</f>
        <v>10</v>
      </c>
      <c r="V50" s="241">
        <f>(monthly_data!H588)/42</f>
        <v>11.261904761904763</v>
      </c>
      <c r="W50" s="241">
        <f>(monthly_data!H600)/42</f>
        <v>15.666666666666666</v>
      </c>
      <c r="X50" s="241">
        <f>monthly_data!$H612/42</f>
        <v>24.214285714285715</v>
      </c>
      <c r="Y50" s="296">
        <f t="shared" si="53"/>
        <v>36.250518184794288</v>
      </c>
      <c r="Z50" s="296">
        <f t="shared" si="48"/>
        <v>31.404338184222993</v>
      </c>
      <c r="AA50" s="296">
        <f t="shared" si="49"/>
        <v>17.594057764788239</v>
      </c>
      <c r="AB50" s="296">
        <f t="shared" si="50"/>
        <v>18.486518928756912</v>
      </c>
      <c r="AC50" s="296">
        <f t="shared" si="50"/>
        <v>19.93444794985383</v>
      </c>
      <c r="AD50" s="296">
        <f t="shared" si="50"/>
        <v>20.182743386280769</v>
      </c>
      <c r="AE50" s="296">
        <f t="shared" si="50"/>
        <v>21.152550794186013</v>
      </c>
      <c r="AF50" s="296">
        <f t="shared" si="50"/>
        <v>19.286383917935673</v>
      </c>
      <c r="AG50" s="296">
        <f t="shared" si="50"/>
        <v>17.424169023733796</v>
      </c>
      <c r="AH50" s="296">
        <f t="shared" si="50"/>
        <v>16.482666460708611</v>
      </c>
      <c r="AI50" s="296">
        <f t="shared" si="50"/>
        <v>16.060669783493061</v>
      </c>
      <c r="AJ50" s="296">
        <f t="shared" si="50"/>
        <v>14.685310047521973</v>
      </c>
      <c r="AK50" s="296">
        <f t="shared" si="50"/>
        <v>11.925787869225251</v>
      </c>
      <c r="AL50" s="296">
        <f t="shared" si="50"/>
        <v>10.088199221934246</v>
      </c>
      <c r="AM50" s="296">
        <f t="shared" si="50"/>
        <v>8.2540887476284563</v>
      </c>
      <c r="AN50" s="296">
        <f t="shared" si="50"/>
        <v>6.8812844740379298</v>
      </c>
      <c r="AO50" s="296">
        <f t="shared" si="50"/>
        <v>6.8807084549134316</v>
      </c>
      <c r="AP50" s="296">
        <f t="shared" si="50"/>
        <v>0</v>
      </c>
      <c r="AQ50" s="296">
        <f t="shared" si="50"/>
        <v>0</v>
      </c>
      <c r="AR50" s="296">
        <f t="shared" si="51"/>
        <v>0</v>
      </c>
      <c r="AS50" s="296">
        <f t="shared" si="51"/>
        <v>0</v>
      </c>
      <c r="AT50" s="296">
        <f t="shared" si="51"/>
        <v>0</v>
      </c>
      <c r="AU50" s="296" t="e">
        <f t="shared" si="51"/>
        <v>#DIV/0!</v>
      </c>
      <c r="AV50" s="296" t="e">
        <f t="shared" si="51"/>
        <v>#DIV/0!</v>
      </c>
      <c r="AW50" s="296" t="e">
        <f t="shared" si="51"/>
        <v>#DIV/0!</v>
      </c>
      <c r="AX50" s="296" t="e">
        <f t="shared" si="51"/>
        <v>#DIV/0!</v>
      </c>
      <c r="AY50" s="296" t="e">
        <f t="shared" si="51"/>
        <v>#DIV/0!</v>
      </c>
      <c r="BE50" s="210" t="s">
        <v>192</v>
      </c>
      <c r="BF50" s="210">
        <f t="shared" si="52"/>
        <v>8.8056935000000003</v>
      </c>
      <c r="BG50" s="210">
        <f t="shared" si="52"/>
        <v>6.4737670380952359</v>
      </c>
      <c r="BH50" s="210">
        <f t="shared" si="52"/>
        <v>3.0554333333333314</v>
      </c>
      <c r="BI50" s="210">
        <f t="shared" si="52"/>
        <v>25.403014285714285</v>
      </c>
      <c r="BJ50" s="210"/>
      <c r="BK50" s="210"/>
      <c r="BL50" s="210" t="s">
        <v>192</v>
      </c>
      <c r="BM50" s="210">
        <f>'[7]US Biodiesel Imports'!MP$290/1000</f>
        <v>18.8056935</v>
      </c>
      <c r="BN50" s="210">
        <f>'[7]US Biodiesel Imports'!NB$290/1000</f>
        <v>17.735671799999999</v>
      </c>
      <c r="BO50" s="210">
        <f>'[7]US Biodiesel Imports'!NN$290/1000</f>
        <v>18.722099999999998</v>
      </c>
      <c r="BP50" s="210">
        <f>'[7]US Biodiesel Imports'!NZ$290/1000</f>
        <v>49.6173</v>
      </c>
    </row>
    <row r="51" spans="1:68">
      <c r="A51" s="68" t="s">
        <v>177</v>
      </c>
      <c r="B51" s="241">
        <f>monthly_data!H349/42</f>
        <v>0.45888095238095239</v>
      </c>
      <c r="C51" s="241">
        <f>monthly_data!H361/42</f>
        <v>0.27380952380952384</v>
      </c>
      <c r="D51" s="241">
        <f>monthly_data!H373/42</f>
        <v>0.69950000000000001</v>
      </c>
      <c r="E51" s="241">
        <f>monthly_data!H385/42</f>
        <v>0.16052380952380951</v>
      </c>
      <c r="F51" s="241">
        <f>monthly_data!H397/42</f>
        <v>0.5718333333333333</v>
      </c>
      <c r="G51" s="241">
        <f>monthly_data!H409/42</f>
        <v>4.6077619047619054</v>
      </c>
      <c r="H51" s="241">
        <f>monthly_data!H421/42</f>
        <v>6.0324285714285715</v>
      </c>
      <c r="I51" s="241">
        <f>monthly_data!H433/42</f>
        <v>15.054666666666668</v>
      </c>
      <c r="J51" s="241">
        <f>monthly_data!H445/42</f>
        <v>2.585809523809524</v>
      </c>
      <c r="K51" s="241">
        <f>monthly_data!H457/42</f>
        <v>0.73761904761904762</v>
      </c>
      <c r="L51" s="241">
        <f>monthly_data!H479/42</f>
        <v>2.5714285714285716</v>
      </c>
      <c r="M51" s="241">
        <f>(monthly_data!H481)/42</f>
        <v>0.21428571428571427</v>
      </c>
      <c r="N51" s="241">
        <f>(monthly_data!H493)/42</f>
        <v>39.071428571428569</v>
      </c>
      <c r="O51" s="241">
        <f>(monthly_data!H505)/42</f>
        <v>23.547619047619047</v>
      </c>
      <c r="P51" s="241">
        <f>(monthly_data!H517)/42</f>
        <v>16.69047619047619</v>
      </c>
      <c r="Q51" s="241">
        <f>(monthly_data!H529)/42</f>
        <v>52</v>
      </c>
      <c r="R51" s="241">
        <f>(monthly_data!H541)/42</f>
        <v>5.2857142857142856</v>
      </c>
      <c r="S51" s="241">
        <f>(monthly_data!H553)/42</f>
        <v>11.261904761904763</v>
      </c>
      <c r="T51" s="241">
        <f>(monthly_data!H565)/42</f>
        <v>9.9285714285714288</v>
      </c>
      <c r="U51" s="241">
        <f>(monthly_data!H577)/42</f>
        <v>10.666666666666666</v>
      </c>
      <c r="V51" s="241">
        <f>(monthly_data!H589)/42</f>
        <v>15.714285714285714</v>
      </c>
      <c r="W51" s="241">
        <f>(monthly_data!H601)/42</f>
        <v>21.5</v>
      </c>
      <c r="X51" s="241">
        <f>monthly_data!$H613/42</f>
        <v>29.5</v>
      </c>
      <c r="Y51" s="296">
        <f t="shared" si="53"/>
        <v>46.124444893699042</v>
      </c>
      <c r="Z51" s="296">
        <f t="shared" si="48"/>
        <v>39.824117919124753</v>
      </c>
      <c r="AA51" s="296">
        <f t="shared" si="49"/>
        <v>22.609517440372343</v>
      </c>
      <c r="AB51" s="296">
        <f t="shared" si="50"/>
        <v>23.572897126753812</v>
      </c>
      <c r="AC51" s="296">
        <f t="shared" si="50"/>
        <v>25.181956916091504</v>
      </c>
      <c r="AD51" s="296">
        <f t="shared" si="50"/>
        <v>25.673240390043603</v>
      </c>
      <c r="AE51" s="296">
        <f t="shared" si="50"/>
        <v>26.904442608759656</v>
      </c>
      <c r="AF51" s="296">
        <f t="shared" si="50"/>
        <v>24.554557963419239</v>
      </c>
      <c r="AG51" s="296">
        <f t="shared" si="50"/>
        <v>22.146803750891554</v>
      </c>
      <c r="AH51" s="296">
        <f t="shared" si="50"/>
        <v>20.937364760053271</v>
      </c>
      <c r="AI51" s="296">
        <f t="shared" si="50"/>
        <v>20.425118114373088</v>
      </c>
      <c r="AJ51" s="296">
        <f t="shared" si="50"/>
        <v>18.675051727512169</v>
      </c>
      <c r="AK51" s="296">
        <f t="shared" si="50"/>
        <v>15.165089094111927</v>
      </c>
      <c r="AL51" s="296">
        <f t="shared" si="50"/>
        <v>12.82447547205224</v>
      </c>
      <c r="AM51" s="296">
        <f t="shared" si="50"/>
        <v>10.493296589575161</v>
      </c>
      <c r="AN51" s="296">
        <f t="shared" si="50"/>
        <v>8.7499659019877338</v>
      </c>
      <c r="AO51" s="296">
        <f t="shared" si="50"/>
        <v>8.7488334670671559</v>
      </c>
      <c r="AP51" s="296">
        <f t="shared" si="50"/>
        <v>0</v>
      </c>
      <c r="AQ51" s="296">
        <f t="shared" si="50"/>
        <v>0</v>
      </c>
      <c r="AR51" s="296">
        <f t="shared" si="51"/>
        <v>0</v>
      </c>
      <c r="AS51" s="296">
        <f t="shared" si="51"/>
        <v>0</v>
      </c>
      <c r="AT51" s="296">
        <f t="shared" si="51"/>
        <v>0</v>
      </c>
      <c r="AU51" s="296" t="e">
        <f t="shared" si="51"/>
        <v>#DIV/0!</v>
      </c>
      <c r="AV51" s="296" t="e">
        <f t="shared" si="51"/>
        <v>#DIV/0!</v>
      </c>
      <c r="AW51" s="296" t="e">
        <f t="shared" si="51"/>
        <v>#DIV/0!</v>
      </c>
      <c r="AX51" s="296" t="e">
        <f t="shared" si="51"/>
        <v>#DIV/0!</v>
      </c>
      <c r="AY51" s="296" t="e">
        <f t="shared" si="51"/>
        <v>#DIV/0!</v>
      </c>
      <c r="BE51" s="210" t="s">
        <v>193</v>
      </c>
      <c r="BF51" s="210">
        <f t="shared" si="52"/>
        <v>13.355000533333333</v>
      </c>
      <c r="BG51" s="210">
        <f t="shared" si="52"/>
        <v>12.105014285714285</v>
      </c>
      <c r="BH51" s="210">
        <f t="shared" si="52"/>
        <v>14.107300000000002</v>
      </c>
      <c r="BI51" s="210">
        <f t="shared" si="52"/>
        <v>-15.9446008</v>
      </c>
      <c r="BJ51" s="210"/>
      <c r="BK51" s="210"/>
      <c r="BL51" s="210" t="s">
        <v>193</v>
      </c>
      <c r="BM51" s="210">
        <f>'[7]US Biodiesel Imports'!MQ$290/1000</f>
        <v>24.0216672</v>
      </c>
      <c r="BN51" s="210">
        <f>'[7]US Biodiesel Imports'!NC$290/1000</f>
        <v>27.819299999999998</v>
      </c>
      <c r="BO51" s="210">
        <f>'[7]US Biodiesel Imports'!NO$290/1000</f>
        <v>35.607300000000002</v>
      </c>
      <c r="BP51" s="210">
        <f>'[7]US Biodiesel Imports'!MA$290/1000</f>
        <v>13.5553992</v>
      </c>
    </row>
    <row r="52" spans="1:68">
      <c r="A52" s="68" t="s">
        <v>178</v>
      </c>
      <c r="B52" s="241">
        <f>monthly_data!H350/42</f>
        <v>4.757142857142857E-2</v>
      </c>
      <c r="C52" s="241">
        <f>monthly_data!H362/42</f>
        <v>0.24714285714285716</v>
      </c>
      <c r="D52" s="241">
        <f>monthly_data!H374/42</f>
        <v>8.1619047619047619E-2</v>
      </c>
      <c r="E52" s="241">
        <f>monthly_data!H386/42</f>
        <v>0.11007142857142857</v>
      </c>
      <c r="F52" s="241">
        <f>monthly_data!H398/42</f>
        <v>0.26399999999999996</v>
      </c>
      <c r="G52" s="241">
        <f>monthly_data!H410/42</f>
        <v>5.0738809523809527</v>
      </c>
      <c r="H52" s="241">
        <f>monthly_data!H422/42</f>
        <v>13.272500000000001</v>
      </c>
      <c r="I52" s="241">
        <f>monthly_data!H434/42</f>
        <v>9.9395000000000007</v>
      </c>
      <c r="J52" s="241">
        <f>monthly_data!H446/42</f>
        <v>4.0719285714285709</v>
      </c>
      <c r="K52" s="241">
        <f>monthly_data!H458/42</f>
        <v>0.83740476190476187</v>
      </c>
      <c r="L52" s="241">
        <f>monthly_data!H480/42</f>
        <v>1.4285714285714286</v>
      </c>
      <c r="M52" s="241">
        <f>(monthly_data!H482)/42</f>
        <v>1.6904761904761905</v>
      </c>
      <c r="N52" s="241">
        <f>(monthly_data!H494)/42</f>
        <v>42.023809523809526</v>
      </c>
      <c r="O52" s="241">
        <f>(monthly_data!H506)/42</f>
        <v>12.857142857142858</v>
      </c>
      <c r="P52" s="241">
        <f>(monthly_data!H518)/42</f>
        <v>25.666666666666668</v>
      </c>
      <c r="Q52" s="241">
        <f>(monthly_data!H530)/42</f>
        <v>63.523809523809526</v>
      </c>
      <c r="R52" s="241">
        <f>(monthly_data!H542)/42</f>
        <v>12</v>
      </c>
      <c r="S52" s="241">
        <f>(monthly_data!H554)/42</f>
        <v>12.761904761904763</v>
      </c>
      <c r="T52" s="241">
        <f>(monthly_data!H566)/42</f>
        <v>10.30952380952381</v>
      </c>
      <c r="U52" s="241">
        <f>(monthly_data!H578)/42</f>
        <v>8.8809523809523814</v>
      </c>
      <c r="V52" s="241">
        <f>(monthly_data!H590)/42</f>
        <v>16.571428571428573</v>
      </c>
      <c r="W52" s="241">
        <f>(monthly_data!H602)/42</f>
        <v>20.261904761904763</v>
      </c>
      <c r="X52" s="241">
        <f>monthly_data!$H614/42</f>
        <v>24.547619047619047</v>
      </c>
      <c r="Y52" s="296">
        <f>Y53-SUM(Y41:Y51)</f>
        <v>86.701037019483408</v>
      </c>
      <c r="Z52" s="296">
        <f t="shared" ref="Z52:AH52" si="54">Z53-SUM(Z41:Z51)</f>
        <v>50.612449661077846</v>
      </c>
      <c r="AA52" s="296">
        <f t="shared" si="54"/>
        <v>29.426841098596071</v>
      </c>
      <c r="AB52" s="296">
        <f t="shared" si="54"/>
        <v>31.254091806360407</v>
      </c>
      <c r="AC52" s="296">
        <f t="shared" si="54"/>
        <v>34.671843972738344</v>
      </c>
      <c r="AD52" s="296">
        <f t="shared" si="54"/>
        <v>37.970793321694799</v>
      </c>
      <c r="AE52" s="296">
        <f t="shared" si="54"/>
        <v>36.158362878553419</v>
      </c>
      <c r="AF52" s="296">
        <f t="shared" si="54"/>
        <v>33.576609383366105</v>
      </c>
      <c r="AG52" s="296">
        <f t="shared" si="54"/>
        <v>30.546317832329095</v>
      </c>
      <c r="AH52" s="296">
        <f t="shared" si="54"/>
        <v>29.090006476600678</v>
      </c>
      <c r="AI52" s="296">
        <f t="shared" ref="AI52:AY52" si="55">AI53-SUM(AI41:AI51)</f>
        <v>28.431908476888594</v>
      </c>
      <c r="AJ52" s="296">
        <f t="shared" si="55"/>
        <v>25.633007926536123</v>
      </c>
      <c r="AK52" s="296">
        <f t="shared" si="55"/>
        <v>20.924721871523161</v>
      </c>
      <c r="AL52" s="296">
        <f t="shared" si="55"/>
        <v>17.735156747576696</v>
      </c>
      <c r="AM52" s="296">
        <f t="shared" si="55"/>
        <v>14.520969715127507</v>
      </c>
      <c r="AN52" s="296">
        <f t="shared" si="55"/>
        <v>12.095387000487051</v>
      </c>
      <c r="AO52" s="296">
        <f t="shared" si="55"/>
        <v>12.06759866299786</v>
      </c>
      <c r="AP52" s="296">
        <f t="shared" si="55"/>
        <v>0</v>
      </c>
      <c r="AQ52" s="296">
        <f t="shared" si="55"/>
        <v>0</v>
      </c>
      <c r="AR52" s="296">
        <f t="shared" si="55"/>
        <v>0</v>
      </c>
      <c r="AS52" s="296">
        <f t="shared" si="55"/>
        <v>0</v>
      </c>
      <c r="AT52" s="296">
        <f t="shared" si="55"/>
        <v>0</v>
      </c>
      <c r="AU52" s="296" t="e">
        <f t="shared" si="55"/>
        <v>#DIV/0!</v>
      </c>
      <c r="AV52" s="296" t="e">
        <f t="shared" si="55"/>
        <v>#DIV/0!</v>
      </c>
      <c r="AW52" s="296" t="e">
        <f t="shared" si="55"/>
        <v>#DIV/0!</v>
      </c>
      <c r="AX52" s="296" t="e">
        <f t="shared" si="55"/>
        <v>#DIV/0!</v>
      </c>
      <c r="AY52" s="296" t="e">
        <f t="shared" si="55"/>
        <v>#DIV/0!</v>
      </c>
      <c r="BE52" s="210" t="s">
        <v>194</v>
      </c>
      <c r="BF52" s="210">
        <f t="shared" si="52"/>
        <v>3.4038253190476198</v>
      </c>
      <c r="BG52" s="210">
        <f t="shared" si="52"/>
        <v>10.976071428571426</v>
      </c>
      <c r="BH52" s="210">
        <f t="shared" si="52"/>
        <v>9.4767952380952387</v>
      </c>
      <c r="BI52" s="210">
        <f t="shared" si="52"/>
        <v>-14.941923247619048</v>
      </c>
      <c r="BJ52" s="210"/>
      <c r="BK52" s="210"/>
      <c r="BL52" s="210" t="s">
        <v>194</v>
      </c>
      <c r="BM52" s="210">
        <f>'[7]US Biodiesel Imports'!MR$290/1000</f>
        <v>12.284777700000001</v>
      </c>
      <c r="BN52" s="210">
        <f>'[7]US Biodiesel Imports'!ND$290/1000</f>
        <v>27.547499999999999</v>
      </c>
      <c r="BO52" s="210">
        <f>'[7]US Biodiesel Imports'!NP$290/1000</f>
        <v>29.738700000000001</v>
      </c>
      <c r="BP52" s="210">
        <f>'[7]US Biodiesel Imports'!MB$290/1000</f>
        <v>9.6056957999999995</v>
      </c>
    </row>
    <row r="53" spans="1:68">
      <c r="A53" s="244" t="s">
        <v>179</v>
      </c>
      <c r="B53" s="248">
        <f t="shared" ref="B53:L53" si="56">SUM(B41:B52)</f>
        <v>1.9267380952380955</v>
      </c>
      <c r="C53" s="248">
        <f t="shared" si="56"/>
        <v>4.6985952380952378</v>
      </c>
      <c r="D53" s="248">
        <f t="shared" si="56"/>
        <v>2.3048571428571427</v>
      </c>
      <c r="E53" s="248">
        <f t="shared" si="56"/>
        <v>2.3938809523809521</v>
      </c>
      <c r="F53" s="248">
        <f t="shared" si="56"/>
        <v>5.0878571428571426</v>
      </c>
      <c r="G53" s="248">
        <f t="shared" si="56"/>
        <v>26.317</v>
      </c>
      <c r="H53" s="248">
        <f t="shared" si="56"/>
        <v>82.261047619047616</v>
      </c>
      <c r="I53" s="248">
        <f t="shared" si="56"/>
        <v>184.64359523809526</v>
      </c>
      <c r="J53" s="248">
        <f t="shared" si="56"/>
        <v>45.378</v>
      </c>
      <c r="K53" s="248">
        <f t="shared" si="56"/>
        <v>13.427523809523809</v>
      </c>
      <c r="L53" s="248">
        <f t="shared" si="56"/>
        <v>25.784952380952383</v>
      </c>
      <c r="M53" s="248">
        <f t="shared" ref="M53:X53" si="57">SUM(M41:M52)</f>
        <v>20.30952380952381</v>
      </c>
      <c r="N53" s="248">
        <f t="shared" si="57"/>
        <v>194.09523809523807</v>
      </c>
      <c r="O53" s="248">
        <f t="shared" si="57"/>
        <v>109.00000000000001</v>
      </c>
      <c r="P53" s="248">
        <f t="shared" si="57"/>
        <v>199.97619047619045</v>
      </c>
      <c r="Q53" s="248">
        <f t="shared" si="57"/>
        <v>401.88095238095241</v>
      </c>
      <c r="R53" s="248">
        <f t="shared" si="57"/>
        <v>223.19047619047615</v>
      </c>
      <c r="S53" s="248">
        <f t="shared" si="57"/>
        <v>94.499999999999986</v>
      </c>
      <c r="T53" s="248">
        <f t="shared" si="57"/>
        <v>97.095238095238102</v>
      </c>
      <c r="U53" s="248">
        <f t="shared" si="57"/>
        <v>111.52380952380953</v>
      </c>
      <c r="V53" s="248">
        <f t="shared" si="57"/>
        <v>119.16666666666666</v>
      </c>
      <c r="W53" s="248">
        <f t="shared" si="57"/>
        <v>141.66666666666666</v>
      </c>
      <c r="X53" s="248">
        <f t="shared" si="57"/>
        <v>284.02380952380952</v>
      </c>
      <c r="Y53" s="297">
        <f t="shared" ref="Y53:AY53" si="58">Y6</f>
        <v>398.05131799999998</v>
      </c>
      <c r="Z53" s="297">
        <f t="shared" si="58"/>
        <v>340</v>
      </c>
      <c r="AA53" s="297">
        <f t="shared" si="58"/>
        <v>190.00000000000006</v>
      </c>
      <c r="AB53" s="297">
        <f t="shared" si="58"/>
        <v>200</v>
      </c>
      <c r="AC53" s="297">
        <f t="shared" si="58"/>
        <v>220</v>
      </c>
      <c r="AD53" s="297">
        <f t="shared" si="58"/>
        <v>219.99999999999997</v>
      </c>
      <c r="AE53" s="297">
        <f t="shared" si="58"/>
        <v>230.00000000000006</v>
      </c>
      <c r="AF53" s="297">
        <f t="shared" si="58"/>
        <v>210</v>
      </c>
      <c r="AG53" s="297">
        <f t="shared" si="58"/>
        <v>189.99999999999994</v>
      </c>
      <c r="AH53" s="297">
        <f t="shared" si="58"/>
        <v>180</v>
      </c>
      <c r="AI53" s="297">
        <f t="shared" si="58"/>
        <v>175</v>
      </c>
      <c r="AJ53" s="297">
        <f t="shared" si="58"/>
        <v>160</v>
      </c>
      <c r="AK53" s="297">
        <f t="shared" si="58"/>
        <v>130</v>
      </c>
      <c r="AL53" s="297">
        <f t="shared" si="58"/>
        <v>110</v>
      </c>
      <c r="AM53" s="297">
        <f t="shared" si="58"/>
        <v>90.000000000000028</v>
      </c>
      <c r="AN53" s="297">
        <f t="shared" si="58"/>
        <v>74.999999999999986</v>
      </c>
      <c r="AO53" s="297">
        <f t="shared" si="58"/>
        <v>75</v>
      </c>
      <c r="AP53" s="297">
        <f t="shared" si="58"/>
        <v>0</v>
      </c>
      <c r="AQ53" s="297">
        <f t="shared" si="58"/>
        <v>0</v>
      </c>
      <c r="AR53" s="297">
        <f t="shared" si="58"/>
        <v>0</v>
      </c>
      <c r="AS53" s="297">
        <f t="shared" si="58"/>
        <v>0</v>
      </c>
      <c r="AT53" s="297">
        <f t="shared" si="58"/>
        <v>0</v>
      </c>
      <c r="AU53" s="297">
        <f t="shared" si="58"/>
        <v>0</v>
      </c>
      <c r="AV53" s="297">
        <f t="shared" si="58"/>
        <v>0</v>
      </c>
      <c r="AW53" s="297">
        <f t="shared" si="58"/>
        <v>0</v>
      </c>
      <c r="AX53" s="297">
        <f t="shared" si="58"/>
        <v>0</v>
      </c>
      <c r="AY53" s="297">
        <f t="shared" si="58"/>
        <v>0</v>
      </c>
      <c r="BE53" s="210" t="s">
        <v>195</v>
      </c>
      <c r="BF53" s="210">
        <f>SUM(BF41:BF52)</f>
        <v>90.719604976190482</v>
      </c>
      <c r="BG53" s="210">
        <f>SUM(BG41:BG52)</f>
        <v>82.91704883333334</v>
      </c>
      <c r="BH53" s="210">
        <f>SUM(BH41:BH52)</f>
        <v>96.020633333333336</v>
      </c>
      <c r="BI53" s="210">
        <f>SUM(BI41:BI52)</f>
        <v>155.70108547619043</v>
      </c>
      <c r="BJ53" s="210"/>
      <c r="BK53" s="210"/>
      <c r="BL53" s="210" t="s">
        <v>195</v>
      </c>
      <c r="BM53" s="210">
        <f>SUM(BM41:BM52)</f>
        <v>202.2434145</v>
      </c>
      <c r="BN53" s="210">
        <f>SUM(BN41:BN52)</f>
        <v>202.08371549999998</v>
      </c>
      <c r="BO53" s="210">
        <f>SUM(BO41:BO52)</f>
        <v>237.68729999999999</v>
      </c>
      <c r="BP53" s="210">
        <f>SUM(BP41:BP52)</f>
        <v>439.72489499999995</v>
      </c>
    </row>
    <row r="54" spans="1:68">
      <c r="X54" s="292">
        <f>X6</f>
        <v>284.02380952380952</v>
      </c>
      <c r="BE54" s="210"/>
      <c r="BF54" s="210"/>
      <c r="BG54" s="210"/>
      <c r="BH54" s="210"/>
      <c r="BI54" s="210"/>
      <c r="BJ54" s="210"/>
      <c r="BK54" s="210"/>
    </row>
    <row r="55" spans="1:68" ht="12" thickBot="1">
      <c r="A55" s="234" t="s">
        <v>196</v>
      </c>
      <c r="BE55" s="210"/>
      <c r="BF55" s="210"/>
      <c r="BG55" s="210"/>
      <c r="BH55" s="210"/>
      <c r="BI55" s="210"/>
      <c r="BJ55" s="210"/>
      <c r="BK55" s="210"/>
    </row>
    <row r="56" spans="1:68" ht="12" thickBot="1">
      <c r="A56" s="236"/>
      <c r="B56" s="237">
        <f t="shared" ref="B56:AY56" si="59">B2</f>
        <v>2001</v>
      </c>
      <c r="C56" s="237">
        <f t="shared" si="59"/>
        <v>2002</v>
      </c>
      <c r="D56" s="237">
        <f t="shared" si="59"/>
        <v>2003</v>
      </c>
      <c r="E56" s="237">
        <f t="shared" si="59"/>
        <v>2004</v>
      </c>
      <c r="F56" s="237">
        <f t="shared" si="59"/>
        <v>2005</v>
      </c>
      <c r="G56" s="237">
        <f t="shared" si="59"/>
        <v>2006</v>
      </c>
      <c r="H56" s="237">
        <f t="shared" si="59"/>
        <v>2007</v>
      </c>
      <c r="I56" s="237">
        <f t="shared" si="59"/>
        <v>2008</v>
      </c>
      <c r="J56" s="237">
        <f t="shared" si="59"/>
        <v>2009</v>
      </c>
      <c r="K56" s="237">
        <f t="shared" si="59"/>
        <v>2010</v>
      </c>
      <c r="L56" s="237">
        <f t="shared" si="59"/>
        <v>2011</v>
      </c>
      <c r="M56" s="237">
        <f t="shared" si="59"/>
        <v>2012</v>
      </c>
      <c r="N56" s="237">
        <f t="shared" si="59"/>
        <v>2013</v>
      </c>
      <c r="O56" s="237">
        <f t="shared" si="59"/>
        <v>2014</v>
      </c>
      <c r="P56" s="237">
        <f t="shared" si="59"/>
        <v>2015</v>
      </c>
      <c r="Q56" s="237">
        <f t="shared" si="59"/>
        <v>2016</v>
      </c>
      <c r="R56" s="237">
        <f t="shared" si="59"/>
        <v>2017</v>
      </c>
      <c r="S56" s="237">
        <f t="shared" si="59"/>
        <v>2018</v>
      </c>
      <c r="T56" s="237">
        <f t="shared" si="59"/>
        <v>2019</v>
      </c>
      <c r="U56" s="237">
        <f t="shared" si="59"/>
        <v>2020</v>
      </c>
      <c r="V56" s="237">
        <f t="shared" si="59"/>
        <v>2021</v>
      </c>
      <c r="W56" s="237">
        <f t="shared" si="59"/>
        <v>2022</v>
      </c>
      <c r="X56" s="237">
        <f t="shared" si="59"/>
        <v>2023</v>
      </c>
      <c r="Y56" s="237">
        <f t="shared" si="59"/>
        <v>2024</v>
      </c>
      <c r="Z56" s="237">
        <f t="shared" si="59"/>
        <v>2025</v>
      </c>
      <c r="AA56" s="237">
        <f t="shared" si="59"/>
        <v>2026</v>
      </c>
      <c r="AB56" s="237">
        <f t="shared" si="59"/>
        <v>2027</v>
      </c>
      <c r="AC56" s="237">
        <f t="shared" si="59"/>
        <v>2028</v>
      </c>
      <c r="AD56" s="237">
        <f t="shared" si="59"/>
        <v>2029</v>
      </c>
      <c r="AE56" s="237">
        <f t="shared" si="59"/>
        <v>2030</v>
      </c>
      <c r="AF56" s="237">
        <f t="shared" si="59"/>
        <v>2031</v>
      </c>
      <c r="AG56" s="237">
        <f t="shared" si="59"/>
        <v>2032</v>
      </c>
      <c r="AH56" s="237">
        <f t="shared" si="59"/>
        <v>2033</v>
      </c>
      <c r="AI56" s="237">
        <f t="shared" si="59"/>
        <v>2034</v>
      </c>
      <c r="AJ56" s="237">
        <f t="shared" si="59"/>
        <v>2035</v>
      </c>
      <c r="AK56" s="237">
        <f t="shared" si="59"/>
        <v>2036</v>
      </c>
      <c r="AL56" s="237">
        <f t="shared" si="59"/>
        <v>2037</v>
      </c>
      <c r="AM56" s="237">
        <f t="shared" si="59"/>
        <v>2038</v>
      </c>
      <c r="AN56" s="237">
        <f t="shared" si="59"/>
        <v>2039</v>
      </c>
      <c r="AO56" s="237">
        <f t="shared" si="59"/>
        <v>2040</v>
      </c>
      <c r="AP56" s="237">
        <f t="shared" si="59"/>
        <v>2041</v>
      </c>
      <c r="AQ56" s="237">
        <f t="shared" si="59"/>
        <v>2042</v>
      </c>
      <c r="AR56" s="237">
        <f t="shared" si="59"/>
        <v>2043</v>
      </c>
      <c r="AS56" s="237">
        <f t="shared" si="59"/>
        <v>2044</v>
      </c>
      <c r="AT56" s="237">
        <f t="shared" si="59"/>
        <v>2045</v>
      </c>
      <c r="AU56" s="237">
        <f t="shared" si="59"/>
        <v>2046</v>
      </c>
      <c r="AV56" s="237">
        <f t="shared" si="59"/>
        <v>2047</v>
      </c>
      <c r="AW56" s="237">
        <f t="shared" si="59"/>
        <v>2048</v>
      </c>
      <c r="AX56" s="237">
        <f t="shared" si="59"/>
        <v>2049</v>
      </c>
      <c r="AY56" s="237">
        <f t="shared" si="59"/>
        <v>2050</v>
      </c>
      <c r="BE56" s="210"/>
      <c r="BF56" s="210"/>
      <c r="BG56" s="210"/>
      <c r="BH56" s="210"/>
      <c r="BI56" s="210"/>
      <c r="BJ56" s="210"/>
      <c r="BK56" s="210"/>
    </row>
    <row r="57" spans="1:68">
      <c r="A57" s="68" t="s">
        <v>167</v>
      </c>
      <c r="M57" s="241">
        <f>'[7]US Biodiesel Exports'!IP$290/1000</f>
        <v>11.477781</v>
      </c>
      <c r="N57" s="241">
        <f>'[7]US Biodiesel Exports'!JB$290/1000</f>
        <v>0.69113160000000007</v>
      </c>
      <c r="O57" s="241">
        <f>'[7]US Biodiesel Exports'!JN$290/1000</f>
        <v>5.6774124000000006</v>
      </c>
      <c r="P57" s="241">
        <f>'[7]US Biodiesel Exports'!JZ$290/1000</f>
        <v>0.92914110000000005</v>
      </c>
      <c r="Q57" s="241">
        <f>'[7]US Biodiesel Exports'!KL$290/1000</f>
        <v>1.7938239</v>
      </c>
      <c r="R57" s="241">
        <f>'[7]US Biodiesel Exports'!KX$290/1000</f>
        <v>1.7971941</v>
      </c>
      <c r="S57" s="241">
        <f>'[7]US Biodiesel Exports'!LJ$290/1000</f>
        <v>3.5651361000000001</v>
      </c>
      <c r="T57" s="241">
        <f>'[7]US Biodiesel Exports'!LV$290/1000</f>
        <v>3.0477141000000003</v>
      </c>
      <c r="U57" s="241">
        <f>'[7]US Biodiesel Exports'!MH$290/1000</f>
        <v>1.3366796999999999</v>
      </c>
      <c r="V57" s="241">
        <f>'[7]US Biodiesel Exports'!MT$290/1000</f>
        <v>7.0262415000000003</v>
      </c>
      <c r="W57" s="241">
        <f>'[7]US Biodiesel Exports'!NF$290/1000</f>
        <v>8.841899999999999</v>
      </c>
      <c r="X57" s="241">
        <f>'[7]US Biodiesel Exports'!NR$290/1000</f>
        <v>3.8763000000000001</v>
      </c>
      <c r="Y57" s="241">
        <f>'[7]US Biodiesel Exports'!OD$290/1000</f>
        <v>5.1651000000000007</v>
      </c>
      <c r="Z57" s="296">
        <f t="shared" ref="Z57:Z67" si="60">Z$69*(SUM(T57:Y57)/SUM(T$69:Y$69))</f>
        <v>2.8329456720079027</v>
      </c>
      <c r="AA57" s="296">
        <f t="shared" ref="AA57:AA67" si="61">AA$69*(SUM(U57:Z57)/SUM(U$69:Z$69))</f>
        <v>1.8915565637559819</v>
      </c>
      <c r="AB57" s="296">
        <f t="shared" ref="AB57:AQ67" si="62">AB$69*(SUM(V57:AA57)/SUM(V$69:AA$69))</f>
        <v>0.88620084504206353</v>
      </c>
      <c r="AC57" s="296">
        <f t="shared" si="62"/>
        <v>0</v>
      </c>
      <c r="AD57" s="296">
        <f t="shared" si="62"/>
        <v>0</v>
      </c>
      <c r="AE57" s="296">
        <f t="shared" si="62"/>
        <v>0</v>
      </c>
      <c r="AF57" s="296">
        <f t="shared" si="62"/>
        <v>0</v>
      </c>
      <c r="AG57" s="296">
        <f t="shared" si="62"/>
        <v>0</v>
      </c>
      <c r="AH57" s="296">
        <f t="shared" si="62"/>
        <v>0</v>
      </c>
      <c r="AI57" s="296" t="e">
        <f t="shared" si="62"/>
        <v>#DIV/0!</v>
      </c>
      <c r="AJ57" s="296" t="e">
        <f t="shared" si="62"/>
        <v>#DIV/0!</v>
      </c>
      <c r="AK57" s="296" t="e">
        <f t="shared" si="62"/>
        <v>#DIV/0!</v>
      </c>
      <c r="AL57" s="296" t="e">
        <f t="shared" si="62"/>
        <v>#DIV/0!</v>
      </c>
      <c r="AM57" s="296" t="e">
        <f t="shared" si="62"/>
        <v>#DIV/0!</v>
      </c>
      <c r="AN57" s="296" t="e">
        <f t="shared" si="62"/>
        <v>#DIV/0!</v>
      </c>
      <c r="AO57" s="296" t="e">
        <f t="shared" si="62"/>
        <v>#DIV/0!</v>
      </c>
      <c r="AP57" s="296" t="e">
        <f t="shared" si="62"/>
        <v>#DIV/0!</v>
      </c>
      <c r="AQ57" s="296" t="e">
        <f t="shared" si="62"/>
        <v>#DIV/0!</v>
      </c>
      <c r="AR57" s="296" t="e">
        <f t="shared" ref="AR57:AY67" si="63">AR$69*(SUM(AL57:AQ57)/SUM(AL$69:AQ$69))</f>
        <v>#DIV/0!</v>
      </c>
      <c r="AS57" s="296" t="e">
        <f t="shared" si="63"/>
        <v>#DIV/0!</v>
      </c>
      <c r="AT57" s="296" t="e">
        <f t="shared" si="63"/>
        <v>#DIV/0!</v>
      </c>
      <c r="AU57" s="296" t="e">
        <f t="shared" si="63"/>
        <v>#DIV/0!</v>
      </c>
      <c r="AV57" s="296" t="e">
        <f t="shared" si="63"/>
        <v>#DIV/0!</v>
      </c>
      <c r="AW57" s="296" t="e">
        <f t="shared" si="63"/>
        <v>#DIV/0!</v>
      </c>
      <c r="AX57" s="296" t="e">
        <f t="shared" si="63"/>
        <v>#DIV/0!</v>
      </c>
      <c r="AY57" s="296" t="e">
        <f t="shared" si="63"/>
        <v>#DIV/0!</v>
      </c>
      <c r="BE57" s="210"/>
      <c r="BF57" s="210"/>
      <c r="BG57" s="210"/>
      <c r="BH57" s="210"/>
      <c r="BI57" s="210"/>
      <c r="BJ57" s="210"/>
      <c r="BK57" s="210"/>
    </row>
    <row r="58" spans="1:68">
      <c r="A58" s="68" t="s">
        <v>168</v>
      </c>
      <c r="M58" s="241">
        <f>'[7]US Biodiesel Exports'!IQ$290/1000</f>
        <v>5.2222137000000002</v>
      </c>
      <c r="N58" s="241">
        <f>'[7]US Biodiesel Exports'!JC$290/1000</f>
        <v>1.5809514</v>
      </c>
      <c r="O58" s="241">
        <f>'[7]US Biodiesel Exports'!JO$290/1000</f>
        <v>5.9492316000000001</v>
      </c>
      <c r="P58" s="241">
        <f>'[7]US Biodiesel Exports'!KA$290/1000</f>
        <v>0.98987760000000002</v>
      </c>
      <c r="Q58" s="241">
        <f>'[7]US Biodiesel Exports'!KM$290/1000</f>
        <v>2.0750595000000001</v>
      </c>
      <c r="R58" s="241">
        <f>'[7]US Biodiesel Exports'!KY$290/1000</f>
        <v>2.4831422999999999</v>
      </c>
      <c r="S58" s="241">
        <f>'[7]US Biodiesel Exports'!LK$290/1000</f>
        <v>4.3678901999999997</v>
      </c>
      <c r="T58" s="241">
        <f>'[7]US Biodiesel Exports'!LW$290/1000</f>
        <v>3.8850669</v>
      </c>
      <c r="U58" s="241">
        <f>'[7]US Biodiesel Exports'!MI$290/1000</f>
        <v>3.2153780999999997</v>
      </c>
      <c r="V58" s="241">
        <f>'[7]US Biodiesel Exports'!MU$290/1000</f>
        <v>5.1467205000000007</v>
      </c>
      <c r="W58" s="241">
        <f>'[7]US Biodiesel Exports'!NG$290/1000</f>
        <v>5.2371000000000008</v>
      </c>
      <c r="X58" s="241">
        <f>'[7]US Biodiesel Exports'!NS$290/1000</f>
        <v>5.5746000000000002</v>
      </c>
      <c r="Y58" s="241">
        <f>'[7]US Biodiesel Exports'!OD$290/1000</f>
        <v>5.1651000000000007</v>
      </c>
      <c r="Z58" s="296">
        <f t="shared" si="60"/>
        <v>2.7294714790376888</v>
      </c>
      <c r="AA58" s="296">
        <f t="shared" si="61"/>
        <v>1.7607572224659247</v>
      </c>
      <c r="AB58" s="296">
        <f t="shared" si="62"/>
        <v>0.76597464691171235</v>
      </c>
      <c r="AC58" s="296">
        <f t="shared" si="62"/>
        <v>0</v>
      </c>
      <c r="AD58" s="296">
        <f t="shared" si="62"/>
        <v>0</v>
      </c>
      <c r="AE58" s="296">
        <f t="shared" si="62"/>
        <v>0</v>
      </c>
      <c r="AF58" s="296">
        <f t="shared" si="62"/>
        <v>0</v>
      </c>
      <c r="AG58" s="296">
        <f t="shared" si="62"/>
        <v>0</v>
      </c>
      <c r="AH58" s="296">
        <f t="shared" si="62"/>
        <v>0</v>
      </c>
      <c r="AI58" s="296" t="e">
        <f t="shared" si="62"/>
        <v>#DIV/0!</v>
      </c>
      <c r="AJ58" s="296" t="e">
        <f t="shared" si="62"/>
        <v>#DIV/0!</v>
      </c>
      <c r="AK58" s="296" t="e">
        <f t="shared" si="62"/>
        <v>#DIV/0!</v>
      </c>
      <c r="AL58" s="296" t="e">
        <f t="shared" si="62"/>
        <v>#DIV/0!</v>
      </c>
      <c r="AM58" s="296" t="e">
        <f t="shared" si="62"/>
        <v>#DIV/0!</v>
      </c>
      <c r="AN58" s="296" t="e">
        <f t="shared" si="62"/>
        <v>#DIV/0!</v>
      </c>
      <c r="AO58" s="296" t="e">
        <f t="shared" si="62"/>
        <v>#DIV/0!</v>
      </c>
      <c r="AP58" s="296" t="e">
        <f t="shared" si="62"/>
        <v>#DIV/0!</v>
      </c>
      <c r="AQ58" s="296" t="e">
        <f t="shared" si="62"/>
        <v>#DIV/0!</v>
      </c>
      <c r="AR58" s="296" t="e">
        <f t="shared" si="63"/>
        <v>#DIV/0!</v>
      </c>
      <c r="AS58" s="296" t="e">
        <f t="shared" si="63"/>
        <v>#DIV/0!</v>
      </c>
      <c r="AT58" s="296" t="e">
        <f t="shared" si="63"/>
        <v>#DIV/0!</v>
      </c>
      <c r="AU58" s="296" t="e">
        <f t="shared" si="63"/>
        <v>#DIV/0!</v>
      </c>
      <c r="AV58" s="296" t="e">
        <f t="shared" si="63"/>
        <v>#DIV/0!</v>
      </c>
      <c r="AW58" s="296" t="e">
        <f t="shared" si="63"/>
        <v>#DIV/0!</v>
      </c>
      <c r="AX58" s="296" t="e">
        <f t="shared" si="63"/>
        <v>#DIV/0!</v>
      </c>
      <c r="AY58" s="296" t="e">
        <f t="shared" si="63"/>
        <v>#DIV/0!</v>
      </c>
      <c r="BE58" s="210"/>
      <c r="BF58" s="210"/>
      <c r="BG58" s="210"/>
      <c r="BH58" s="210"/>
      <c r="BI58" s="210"/>
      <c r="BJ58" s="210"/>
      <c r="BK58" s="210"/>
    </row>
    <row r="59" spans="1:68">
      <c r="A59" s="68" t="s">
        <v>169</v>
      </c>
      <c r="M59" s="241">
        <f>'[7]US Biodiesel Exports'!IR$290/1000</f>
        <v>7.9638945000000003</v>
      </c>
      <c r="N59" s="241">
        <f>'[7]US Biodiesel Exports'!JD$290/1000</f>
        <v>7.4467952999999998</v>
      </c>
      <c r="O59" s="241">
        <f>'[7]US Biodiesel Exports'!JP$290/1000</f>
        <v>3.8663772000000001</v>
      </c>
      <c r="P59" s="241">
        <f>'[7]US Biodiesel Exports'!KB$290/1000</f>
        <v>8.0637573000000007</v>
      </c>
      <c r="Q59" s="241">
        <f>'[7]US Biodiesel Exports'!KN$290/1000</f>
        <v>9.8782422000000008</v>
      </c>
      <c r="R59" s="241">
        <f>'[7]US Biodiesel Exports'!KZ$290/1000</f>
        <v>5.7715685999999993</v>
      </c>
      <c r="S59" s="241">
        <f>'[7]US Biodiesel Exports'!LL$290/1000</f>
        <v>10.870185900000001</v>
      </c>
      <c r="T59" s="241">
        <f>'[7]US Biodiesel Exports'!LX$290/1000</f>
        <v>10.147784400000001</v>
      </c>
      <c r="U59" s="241">
        <f>'[7]US Biodiesel Exports'!MJ$290/1000</f>
        <v>9.0930002999999999</v>
      </c>
      <c r="V59" s="241">
        <f>'[7]US Biodiesel Exports'!MV$290/1000</f>
        <v>11.2810758</v>
      </c>
      <c r="W59" s="241">
        <f>'[7]US Biodiesel Exports'!NH$290/1000</f>
        <v>7.2273000000000005</v>
      </c>
      <c r="X59" s="241">
        <f>'[7]US Biodiesel Exports'!NT$290/1000</f>
        <v>11.0175</v>
      </c>
      <c r="Y59" s="241">
        <f>'[7]US Biodiesel Exports'!OD$290/1000</f>
        <v>5.1651000000000007</v>
      </c>
      <c r="Z59" s="296">
        <f t="shared" si="60"/>
        <v>5.2156101912412485</v>
      </c>
      <c r="AA59" s="296">
        <f t="shared" si="61"/>
        <v>3.1873502249387222</v>
      </c>
      <c r="AB59" s="296">
        <f t="shared" si="62"/>
        <v>1.2887165528772559</v>
      </c>
      <c r="AC59" s="296">
        <f t="shared" si="62"/>
        <v>0</v>
      </c>
      <c r="AD59" s="296">
        <f t="shared" si="62"/>
        <v>0</v>
      </c>
      <c r="AE59" s="296">
        <f t="shared" si="62"/>
        <v>0</v>
      </c>
      <c r="AF59" s="296">
        <f t="shared" si="62"/>
        <v>0</v>
      </c>
      <c r="AG59" s="296">
        <f t="shared" si="62"/>
        <v>0</v>
      </c>
      <c r="AH59" s="296">
        <f t="shared" si="62"/>
        <v>0</v>
      </c>
      <c r="AI59" s="296" t="e">
        <f t="shared" si="62"/>
        <v>#DIV/0!</v>
      </c>
      <c r="AJ59" s="296" t="e">
        <f t="shared" si="62"/>
        <v>#DIV/0!</v>
      </c>
      <c r="AK59" s="296" t="e">
        <f t="shared" si="62"/>
        <v>#DIV/0!</v>
      </c>
      <c r="AL59" s="296" t="e">
        <f t="shared" si="62"/>
        <v>#DIV/0!</v>
      </c>
      <c r="AM59" s="296" t="e">
        <f t="shared" si="62"/>
        <v>#DIV/0!</v>
      </c>
      <c r="AN59" s="296" t="e">
        <f t="shared" si="62"/>
        <v>#DIV/0!</v>
      </c>
      <c r="AO59" s="296" t="e">
        <f t="shared" si="62"/>
        <v>#DIV/0!</v>
      </c>
      <c r="AP59" s="296" t="e">
        <f t="shared" si="62"/>
        <v>#DIV/0!</v>
      </c>
      <c r="AQ59" s="296" t="e">
        <f t="shared" si="62"/>
        <v>#DIV/0!</v>
      </c>
      <c r="AR59" s="296" t="e">
        <f t="shared" si="63"/>
        <v>#DIV/0!</v>
      </c>
      <c r="AS59" s="296" t="e">
        <f t="shared" si="63"/>
        <v>#DIV/0!</v>
      </c>
      <c r="AT59" s="296" t="e">
        <f t="shared" si="63"/>
        <v>#DIV/0!</v>
      </c>
      <c r="AU59" s="296" t="e">
        <f t="shared" si="63"/>
        <v>#DIV/0!</v>
      </c>
      <c r="AV59" s="296" t="e">
        <f t="shared" si="63"/>
        <v>#DIV/0!</v>
      </c>
      <c r="AW59" s="296" t="e">
        <f t="shared" si="63"/>
        <v>#DIV/0!</v>
      </c>
      <c r="AX59" s="296" t="e">
        <f t="shared" si="63"/>
        <v>#DIV/0!</v>
      </c>
      <c r="AY59" s="296" t="e">
        <f t="shared" si="63"/>
        <v>#DIV/0!</v>
      </c>
      <c r="BE59" s="210"/>
      <c r="BF59" s="210"/>
      <c r="BG59" s="210"/>
      <c r="BH59" s="210"/>
      <c r="BI59" s="210"/>
      <c r="BJ59" s="210"/>
      <c r="BK59" s="210"/>
    </row>
    <row r="60" spans="1:68">
      <c r="A60" s="68" t="s">
        <v>170</v>
      </c>
      <c r="M60" s="241">
        <f>'[7]US Biodiesel Exports'!IS$290/1000</f>
        <v>9.6495654000000002</v>
      </c>
      <c r="N60" s="241">
        <f>'[7]US Biodiesel Exports'!JE$290/1000</f>
        <v>15.686651400000001</v>
      </c>
      <c r="O60" s="241">
        <f>'[7]US Biodiesel Exports'!JQ$290/1000</f>
        <v>11.040236999999999</v>
      </c>
      <c r="P60" s="241">
        <f>'[7]US Biodiesel Exports'!KC$290/1000</f>
        <v>10.1539398</v>
      </c>
      <c r="Q60" s="241">
        <f>'[7]US Biodiesel Exports'!KO$290/1000</f>
        <v>10.3859724</v>
      </c>
      <c r="R60" s="241">
        <f>'[7]US Biodiesel Exports'!LA$290/1000</f>
        <v>11.984480100000001</v>
      </c>
      <c r="S60" s="241">
        <f>'[7]US Biodiesel Exports'!LM$290/1000</f>
        <v>9.1970100000000006</v>
      </c>
      <c r="T60" s="241">
        <f>'[7]US Biodiesel Exports'!LY$290/1000</f>
        <v>15.661962900000001</v>
      </c>
      <c r="U60" s="241">
        <f>'[7]US Biodiesel Exports'!MK$290/1000</f>
        <v>22.260470399999999</v>
      </c>
      <c r="V60" s="241">
        <f>'[7]US Biodiesel Exports'!MW$290/1000</f>
        <v>20.8884963</v>
      </c>
      <c r="W60" s="241">
        <f>'[7]US Biodiesel Exports'!NI$290/1000</f>
        <v>26.7438</v>
      </c>
      <c r="X60" s="241">
        <f>'[7]US Biodiesel Exports'!NU$290/1000</f>
        <v>44.164499999999997</v>
      </c>
      <c r="Y60" s="241">
        <f>'[7]US Biodiesel Exports'!OD$290/1000</f>
        <v>5.1651000000000007</v>
      </c>
      <c r="Z60" s="296">
        <f t="shared" si="60"/>
        <v>13.044337466055897</v>
      </c>
      <c r="AA60" s="296">
        <f t="shared" si="61"/>
        <v>8.6037524229248401</v>
      </c>
      <c r="AB60" s="296">
        <f t="shared" si="62"/>
        <v>3.5470106924438163</v>
      </c>
      <c r="AC60" s="296">
        <f t="shared" si="62"/>
        <v>0</v>
      </c>
      <c r="AD60" s="296">
        <f t="shared" si="62"/>
        <v>0</v>
      </c>
      <c r="AE60" s="296">
        <f t="shared" si="62"/>
        <v>0</v>
      </c>
      <c r="AF60" s="296">
        <f t="shared" si="62"/>
        <v>0</v>
      </c>
      <c r="AG60" s="296">
        <f t="shared" si="62"/>
        <v>0</v>
      </c>
      <c r="AH60" s="296">
        <f t="shared" si="62"/>
        <v>0</v>
      </c>
      <c r="AI60" s="296" t="e">
        <f t="shared" si="62"/>
        <v>#DIV/0!</v>
      </c>
      <c r="AJ60" s="296" t="e">
        <f t="shared" si="62"/>
        <v>#DIV/0!</v>
      </c>
      <c r="AK60" s="296" t="e">
        <f t="shared" si="62"/>
        <v>#DIV/0!</v>
      </c>
      <c r="AL60" s="296" t="e">
        <f t="shared" si="62"/>
        <v>#DIV/0!</v>
      </c>
      <c r="AM60" s="296" t="e">
        <f t="shared" si="62"/>
        <v>#DIV/0!</v>
      </c>
      <c r="AN60" s="296" t="e">
        <f t="shared" si="62"/>
        <v>#DIV/0!</v>
      </c>
      <c r="AO60" s="296" t="e">
        <f t="shared" si="62"/>
        <v>#DIV/0!</v>
      </c>
      <c r="AP60" s="296" t="e">
        <f t="shared" si="62"/>
        <v>#DIV/0!</v>
      </c>
      <c r="AQ60" s="296" t="e">
        <f t="shared" si="62"/>
        <v>#DIV/0!</v>
      </c>
      <c r="AR60" s="296" t="e">
        <f t="shared" si="63"/>
        <v>#DIV/0!</v>
      </c>
      <c r="AS60" s="296" t="e">
        <f t="shared" si="63"/>
        <v>#DIV/0!</v>
      </c>
      <c r="AT60" s="296" t="e">
        <f t="shared" si="63"/>
        <v>#DIV/0!</v>
      </c>
      <c r="AU60" s="296" t="e">
        <f t="shared" si="63"/>
        <v>#DIV/0!</v>
      </c>
      <c r="AV60" s="296" t="e">
        <f t="shared" si="63"/>
        <v>#DIV/0!</v>
      </c>
      <c r="AW60" s="296" t="e">
        <f t="shared" si="63"/>
        <v>#DIV/0!</v>
      </c>
      <c r="AX60" s="296" t="e">
        <f t="shared" si="63"/>
        <v>#DIV/0!</v>
      </c>
      <c r="AY60" s="296" t="e">
        <f t="shared" si="63"/>
        <v>#DIV/0!</v>
      </c>
      <c r="BE60" s="210"/>
      <c r="BF60" s="210"/>
      <c r="BG60" s="210"/>
      <c r="BH60" s="210"/>
      <c r="BI60" s="210"/>
      <c r="BJ60" s="210"/>
      <c r="BK60" s="210"/>
    </row>
    <row r="61" spans="1:68">
      <c r="A61" s="68" t="s">
        <v>171</v>
      </c>
      <c r="M61" s="241">
        <f>'[7]US Biodiesel Exports'!IT$290/1000</f>
        <v>13.3691739</v>
      </c>
      <c r="N61" s="241">
        <f>'[7]US Biodiesel Exports'!JF$290/1000</f>
        <v>23.811237000000002</v>
      </c>
      <c r="O61" s="241">
        <f>'[7]US Biodiesel Exports'!JR$290/1000</f>
        <v>8.7772248000000008</v>
      </c>
      <c r="P61" s="241">
        <f>'[7]US Biodiesel Exports'!KD$290/1000</f>
        <v>10.774435499999999</v>
      </c>
      <c r="Q61" s="241">
        <f>'[7]US Biodiesel Exports'!KP$290/1000</f>
        <v>14.178622499999999</v>
      </c>
      <c r="R61" s="241">
        <f>'[7]US Biodiesel Exports'!LB$290/1000</f>
        <v>10.119583199999999</v>
      </c>
      <c r="S61" s="241">
        <f>'[7]US Biodiesel Exports'!LN$290/1000</f>
        <v>16.7638122</v>
      </c>
      <c r="T61" s="241">
        <f>'[7]US Biodiesel Exports'!LZ$290/1000</f>
        <v>17.7351417</v>
      </c>
      <c r="U61" s="241">
        <f>'[7]US Biodiesel Exports'!ML$290/1000</f>
        <v>20.992098300000002</v>
      </c>
      <c r="V61" s="241">
        <f>'[7]US Biodiesel Exports'!MX$290/1000</f>
        <v>23.844832799999999</v>
      </c>
      <c r="W61" s="241">
        <f>'[7]US Biodiesel Exports'!NJ$290/1000</f>
        <v>29.575200000000002</v>
      </c>
      <c r="X61" s="241">
        <f>'[7]US Biodiesel Exports'!NV$290/1000</f>
        <v>32.023800000000001</v>
      </c>
      <c r="Y61" s="241">
        <f>'[7]US Biodiesel Exports'!OD$290/1000</f>
        <v>5.1651000000000007</v>
      </c>
      <c r="Z61" s="296">
        <f t="shared" si="60"/>
        <v>12.507788633226964</v>
      </c>
      <c r="AA61" s="296">
        <f t="shared" si="61"/>
        <v>8.0730941714969227</v>
      </c>
      <c r="AB61" s="296">
        <f t="shared" si="62"/>
        <v>3.3251118013995029</v>
      </c>
      <c r="AC61" s="296">
        <f t="shared" si="62"/>
        <v>0</v>
      </c>
      <c r="AD61" s="296">
        <f t="shared" si="62"/>
        <v>0</v>
      </c>
      <c r="AE61" s="296">
        <f t="shared" si="62"/>
        <v>0</v>
      </c>
      <c r="AF61" s="296">
        <f t="shared" si="62"/>
        <v>0</v>
      </c>
      <c r="AG61" s="296">
        <f t="shared" si="62"/>
        <v>0</v>
      </c>
      <c r="AH61" s="296">
        <f t="shared" si="62"/>
        <v>0</v>
      </c>
      <c r="AI61" s="296" t="e">
        <f t="shared" si="62"/>
        <v>#DIV/0!</v>
      </c>
      <c r="AJ61" s="296" t="e">
        <f t="shared" si="62"/>
        <v>#DIV/0!</v>
      </c>
      <c r="AK61" s="296" t="e">
        <f t="shared" si="62"/>
        <v>#DIV/0!</v>
      </c>
      <c r="AL61" s="296" t="e">
        <f t="shared" si="62"/>
        <v>#DIV/0!</v>
      </c>
      <c r="AM61" s="296" t="e">
        <f t="shared" si="62"/>
        <v>#DIV/0!</v>
      </c>
      <c r="AN61" s="296" t="e">
        <f t="shared" si="62"/>
        <v>#DIV/0!</v>
      </c>
      <c r="AO61" s="296" t="e">
        <f t="shared" si="62"/>
        <v>#DIV/0!</v>
      </c>
      <c r="AP61" s="296" t="e">
        <f t="shared" si="62"/>
        <v>#DIV/0!</v>
      </c>
      <c r="AQ61" s="296" t="e">
        <f t="shared" si="62"/>
        <v>#DIV/0!</v>
      </c>
      <c r="AR61" s="296" t="e">
        <f t="shared" si="63"/>
        <v>#DIV/0!</v>
      </c>
      <c r="AS61" s="296" t="e">
        <f t="shared" si="63"/>
        <v>#DIV/0!</v>
      </c>
      <c r="AT61" s="296" t="e">
        <f t="shared" si="63"/>
        <v>#DIV/0!</v>
      </c>
      <c r="AU61" s="296" t="e">
        <f t="shared" si="63"/>
        <v>#DIV/0!</v>
      </c>
      <c r="AV61" s="296" t="e">
        <f t="shared" si="63"/>
        <v>#DIV/0!</v>
      </c>
      <c r="AW61" s="296" t="e">
        <f t="shared" si="63"/>
        <v>#DIV/0!</v>
      </c>
      <c r="AX61" s="296" t="e">
        <f t="shared" si="63"/>
        <v>#DIV/0!</v>
      </c>
      <c r="AY61" s="296" t="e">
        <f t="shared" si="63"/>
        <v>#DIV/0!</v>
      </c>
      <c r="BE61" s="210"/>
      <c r="BF61" s="210"/>
      <c r="BG61" s="210"/>
      <c r="BH61" s="210"/>
      <c r="BI61" s="210"/>
      <c r="BJ61" s="210"/>
      <c r="BK61" s="210"/>
    </row>
    <row r="62" spans="1:68">
      <c r="A62" s="68" t="s">
        <v>172</v>
      </c>
      <c r="M62" s="241">
        <f>'[7]US Biodiesel Exports'!IU$290/1000</f>
        <v>14.516463900000002</v>
      </c>
      <c r="N62" s="241">
        <f>'[7]US Biodiesel Exports'!JG$290/1000</f>
        <v>24.836688900000002</v>
      </c>
      <c r="O62" s="241">
        <f>'[7]US Biodiesel Exports'!JS$290/1000</f>
        <v>11.137843500000001</v>
      </c>
      <c r="P62" s="241">
        <f>'[7]US Biodiesel Exports'!KE$290/1000</f>
        <v>10.988623499999999</v>
      </c>
      <c r="Q62" s="241">
        <f>'[7]US Biodiesel Exports'!KQ$290/1000</f>
        <v>9.3164915999999991</v>
      </c>
      <c r="R62" s="241">
        <f>'[7]US Biodiesel Exports'!LC$290/1000</f>
        <v>9.5564799000000011</v>
      </c>
      <c r="S62" s="241">
        <f>'[7]US Biodiesel Exports'!LO$290/1000</f>
        <v>11.6511549</v>
      </c>
      <c r="T62" s="241">
        <f>'[7]US Biodiesel Exports'!MA$290/1000</f>
        <v>12.6940203</v>
      </c>
      <c r="U62" s="241">
        <f>'[7]US Biodiesel Exports'!MM$290/1000</f>
        <v>20.900039100000001</v>
      </c>
      <c r="V62" s="241">
        <f>'[7]US Biodiesel Exports'!MY$290/1000</f>
        <v>27.832325700000002</v>
      </c>
      <c r="W62" s="241">
        <f>'[7]US Biodiesel Exports'!NK$290/1000</f>
        <v>24.8871</v>
      </c>
      <c r="X62" s="241">
        <f>'[7]US Biodiesel Exports'!NW$290/1000</f>
        <v>35.464500000000001</v>
      </c>
      <c r="Y62" s="241">
        <f>'[7]US Biodiesel Exports'!OD$290/1000</f>
        <v>5.1651000000000007</v>
      </c>
      <c r="Z62" s="296">
        <f t="shared" si="60"/>
        <v>12.27635890645856</v>
      </c>
      <c r="AA62" s="296">
        <f t="shared" si="61"/>
        <v>8.2302906664200712</v>
      </c>
      <c r="AB62" s="296">
        <f t="shared" si="62"/>
        <v>3.4048338640294884</v>
      </c>
      <c r="AC62" s="296">
        <f t="shared" si="62"/>
        <v>0</v>
      </c>
      <c r="AD62" s="296">
        <f t="shared" si="62"/>
        <v>0</v>
      </c>
      <c r="AE62" s="296">
        <f t="shared" si="62"/>
        <v>0</v>
      </c>
      <c r="AF62" s="296">
        <f t="shared" si="62"/>
        <v>0</v>
      </c>
      <c r="AG62" s="296">
        <f t="shared" si="62"/>
        <v>0</v>
      </c>
      <c r="AH62" s="296">
        <f t="shared" si="62"/>
        <v>0</v>
      </c>
      <c r="AI62" s="296" t="e">
        <f t="shared" si="62"/>
        <v>#DIV/0!</v>
      </c>
      <c r="AJ62" s="296" t="e">
        <f t="shared" si="62"/>
        <v>#DIV/0!</v>
      </c>
      <c r="AK62" s="296" t="e">
        <f t="shared" si="62"/>
        <v>#DIV/0!</v>
      </c>
      <c r="AL62" s="296" t="e">
        <f t="shared" si="62"/>
        <v>#DIV/0!</v>
      </c>
      <c r="AM62" s="296" t="e">
        <f t="shared" si="62"/>
        <v>#DIV/0!</v>
      </c>
      <c r="AN62" s="296" t="e">
        <f t="shared" si="62"/>
        <v>#DIV/0!</v>
      </c>
      <c r="AO62" s="296" t="e">
        <f t="shared" si="62"/>
        <v>#DIV/0!</v>
      </c>
      <c r="AP62" s="296" t="e">
        <f t="shared" si="62"/>
        <v>#DIV/0!</v>
      </c>
      <c r="AQ62" s="296" t="e">
        <f t="shared" si="62"/>
        <v>#DIV/0!</v>
      </c>
      <c r="AR62" s="296" t="e">
        <f t="shared" si="63"/>
        <v>#DIV/0!</v>
      </c>
      <c r="AS62" s="296" t="e">
        <f t="shared" si="63"/>
        <v>#DIV/0!</v>
      </c>
      <c r="AT62" s="296" t="e">
        <f t="shared" si="63"/>
        <v>#DIV/0!</v>
      </c>
      <c r="AU62" s="296" t="e">
        <f t="shared" si="63"/>
        <v>#DIV/0!</v>
      </c>
      <c r="AV62" s="296" t="e">
        <f t="shared" si="63"/>
        <v>#DIV/0!</v>
      </c>
      <c r="AW62" s="296" t="e">
        <f t="shared" si="63"/>
        <v>#DIV/0!</v>
      </c>
      <c r="AX62" s="296" t="e">
        <f t="shared" si="63"/>
        <v>#DIV/0!</v>
      </c>
      <c r="AY62" s="296" t="e">
        <f t="shared" si="63"/>
        <v>#DIV/0!</v>
      </c>
      <c r="BE62" s="210"/>
      <c r="BF62" s="210"/>
      <c r="BG62" s="210"/>
      <c r="BH62" s="210"/>
      <c r="BI62" s="210"/>
      <c r="BJ62" s="210"/>
      <c r="BK62" s="210"/>
    </row>
    <row r="63" spans="1:68">
      <c r="A63" s="68" t="s">
        <v>173</v>
      </c>
      <c r="M63" s="241">
        <f>'[7]US Biodiesel Exports'!IV$290/1000</f>
        <v>15.941796</v>
      </c>
      <c r="N63" s="241">
        <f>'[7]US Biodiesel Exports'!JH$290/1000</f>
        <v>18.133910700000001</v>
      </c>
      <c r="O63" s="241">
        <f>'[7]US Biodiesel Exports'!JT$290/1000</f>
        <v>13.5371349</v>
      </c>
      <c r="P63" s="241">
        <f>'[7]US Biodiesel Exports'!KF$290/1000</f>
        <v>10.784414099999999</v>
      </c>
      <c r="Q63" s="241">
        <f>'[7]US Biodiesel Exports'!KR$290/1000</f>
        <v>10.869367500000001</v>
      </c>
      <c r="R63" s="241">
        <f>'[7]US Biodiesel Exports'!LD$290/1000</f>
        <v>19.1604624</v>
      </c>
      <c r="S63" s="241">
        <f>'[7]US Biodiesel Exports'!LP$290/1000</f>
        <v>10.9486764</v>
      </c>
      <c r="T63" s="241">
        <f>'[7]US Biodiesel Exports'!MB$290/1000</f>
        <v>16.570667399999998</v>
      </c>
      <c r="U63" s="241">
        <f>'[7]US Biodiesel Exports'!MN$290/1000</f>
        <v>14.416146000000001</v>
      </c>
      <c r="V63" s="241">
        <f>'[7]US Biodiesel Exports'!MZ$290/1000</f>
        <v>20.695796999999999</v>
      </c>
      <c r="W63" s="241">
        <f>'[7]US Biodiesel Exports'!NL$290/1000</f>
        <v>26.409299999999998</v>
      </c>
      <c r="X63" s="241">
        <f>'[7]US Biodiesel Exports'!NX$290/1000</f>
        <v>29.238599999999998</v>
      </c>
      <c r="Y63" s="241">
        <f>'[7]US Biodiesel Exports'!OD$290/1000</f>
        <v>5.1651000000000007</v>
      </c>
      <c r="Z63" s="296">
        <f t="shared" si="60"/>
        <v>10.879178551424163</v>
      </c>
      <c r="AA63" s="296">
        <f t="shared" si="61"/>
        <v>6.9474492871823559</v>
      </c>
      <c r="AB63" s="296">
        <f t="shared" si="62"/>
        <v>2.9706083388256919</v>
      </c>
      <c r="AC63" s="296">
        <f t="shared" si="62"/>
        <v>0</v>
      </c>
      <c r="AD63" s="296">
        <f t="shared" si="62"/>
        <v>0</v>
      </c>
      <c r="AE63" s="296">
        <f t="shared" si="62"/>
        <v>0</v>
      </c>
      <c r="AF63" s="296">
        <f t="shared" si="62"/>
        <v>0</v>
      </c>
      <c r="AG63" s="296">
        <f t="shared" si="62"/>
        <v>0</v>
      </c>
      <c r="AH63" s="296">
        <f t="shared" si="62"/>
        <v>0</v>
      </c>
      <c r="AI63" s="296" t="e">
        <f t="shared" si="62"/>
        <v>#DIV/0!</v>
      </c>
      <c r="AJ63" s="296" t="e">
        <f t="shared" si="62"/>
        <v>#DIV/0!</v>
      </c>
      <c r="AK63" s="296" t="e">
        <f t="shared" si="62"/>
        <v>#DIV/0!</v>
      </c>
      <c r="AL63" s="296" t="e">
        <f t="shared" si="62"/>
        <v>#DIV/0!</v>
      </c>
      <c r="AM63" s="296" t="e">
        <f t="shared" si="62"/>
        <v>#DIV/0!</v>
      </c>
      <c r="AN63" s="296" t="e">
        <f t="shared" si="62"/>
        <v>#DIV/0!</v>
      </c>
      <c r="AO63" s="296" t="e">
        <f t="shared" si="62"/>
        <v>#DIV/0!</v>
      </c>
      <c r="AP63" s="296" t="e">
        <f t="shared" si="62"/>
        <v>#DIV/0!</v>
      </c>
      <c r="AQ63" s="296" t="e">
        <f t="shared" si="62"/>
        <v>#DIV/0!</v>
      </c>
      <c r="AR63" s="296" t="e">
        <f t="shared" si="63"/>
        <v>#DIV/0!</v>
      </c>
      <c r="AS63" s="296" t="e">
        <f t="shared" si="63"/>
        <v>#DIV/0!</v>
      </c>
      <c r="AT63" s="296" t="e">
        <f t="shared" si="63"/>
        <v>#DIV/0!</v>
      </c>
      <c r="AU63" s="296" t="e">
        <f t="shared" si="63"/>
        <v>#DIV/0!</v>
      </c>
      <c r="AV63" s="296" t="e">
        <f t="shared" si="63"/>
        <v>#DIV/0!</v>
      </c>
      <c r="AW63" s="296" t="e">
        <f t="shared" si="63"/>
        <v>#DIV/0!</v>
      </c>
      <c r="AX63" s="296" t="e">
        <f t="shared" si="63"/>
        <v>#DIV/0!</v>
      </c>
      <c r="AY63" s="296" t="e">
        <f t="shared" si="63"/>
        <v>#DIV/0!</v>
      </c>
      <c r="BE63" s="210"/>
      <c r="BF63" s="210"/>
      <c r="BG63" s="210"/>
      <c r="BH63" s="210"/>
      <c r="BI63" s="210"/>
      <c r="BJ63" s="210"/>
      <c r="BK63" s="210"/>
    </row>
    <row r="64" spans="1:68">
      <c r="A64" s="68" t="s">
        <v>174</v>
      </c>
      <c r="M64" s="241">
        <f>'[7]US Biodiesel Exports'!IW$290/1000</f>
        <v>15.93576</v>
      </c>
      <c r="N64" s="241">
        <f>'[7]US Biodiesel Exports'!JI$290/1000</f>
        <v>29.0381526</v>
      </c>
      <c r="O64" s="241">
        <f>'[7]US Biodiesel Exports'!JU$290/1000</f>
        <v>11.171998200000001</v>
      </c>
      <c r="P64" s="241">
        <f>'[7]US Biodiesel Exports'!KG$290/1000</f>
        <v>11.609990400000001</v>
      </c>
      <c r="Q64" s="241">
        <f>'[7]US Biodiesel Exports'!KS$290/1000</f>
        <v>10.482067800000001</v>
      </c>
      <c r="R64" s="241">
        <f>'[7]US Biodiesel Exports'!LE$290/1000</f>
        <v>16.418949900000001</v>
      </c>
      <c r="S64" s="241">
        <f>'[7]US Biodiesel Exports'!LQ$290/1000</f>
        <v>11.133420599999999</v>
      </c>
      <c r="T64" s="241">
        <f>'[7]US Biodiesel Exports'!MC$290/1000</f>
        <v>12.2817192</v>
      </c>
      <c r="U64" s="241">
        <f>'[7]US Biodiesel Exports'!MO$290/1000</f>
        <v>22.1530998</v>
      </c>
      <c r="V64" s="241">
        <f>'[7]US Biodiesel Exports'!NA$290/1000</f>
        <v>23.209792199999999</v>
      </c>
      <c r="W64" s="241">
        <f>'[7]US Biodiesel Exports'!NM$290/1000</f>
        <v>35.150400000000005</v>
      </c>
      <c r="X64" s="241">
        <f>'[7]US Biodiesel Exports'!NY$290/1000</f>
        <v>23.363700000000001</v>
      </c>
      <c r="Y64" s="296">
        <f t="shared" ref="Y64:Y67" si="64">Y$69*(SUM(S64:X64)/SUM(S$69:X$69))</f>
        <v>18.355686400142918</v>
      </c>
      <c r="Z64" s="296">
        <f t="shared" si="60"/>
        <v>13.008562236568983</v>
      </c>
      <c r="AA64" s="296">
        <f t="shared" si="61"/>
        <v>8.7972415971493287</v>
      </c>
      <c r="AB64" s="296">
        <f t="shared" si="62"/>
        <v>3.6449608387668309</v>
      </c>
      <c r="AC64" s="296">
        <f t="shared" si="62"/>
        <v>0</v>
      </c>
      <c r="AD64" s="296">
        <f t="shared" si="62"/>
        <v>0</v>
      </c>
      <c r="AE64" s="296">
        <f t="shared" si="62"/>
        <v>0</v>
      </c>
      <c r="AF64" s="296">
        <f t="shared" si="62"/>
        <v>0</v>
      </c>
      <c r="AG64" s="296">
        <f t="shared" si="62"/>
        <v>0</v>
      </c>
      <c r="AH64" s="296">
        <f t="shared" si="62"/>
        <v>0</v>
      </c>
      <c r="AI64" s="296" t="e">
        <f t="shared" si="62"/>
        <v>#DIV/0!</v>
      </c>
      <c r="AJ64" s="296" t="e">
        <f t="shared" si="62"/>
        <v>#DIV/0!</v>
      </c>
      <c r="AK64" s="296" t="e">
        <f t="shared" si="62"/>
        <v>#DIV/0!</v>
      </c>
      <c r="AL64" s="296" t="e">
        <f t="shared" si="62"/>
        <v>#DIV/0!</v>
      </c>
      <c r="AM64" s="296" t="e">
        <f t="shared" si="62"/>
        <v>#DIV/0!</v>
      </c>
      <c r="AN64" s="296" t="e">
        <f t="shared" si="62"/>
        <v>#DIV/0!</v>
      </c>
      <c r="AO64" s="296" t="e">
        <f t="shared" si="62"/>
        <v>#DIV/0!</v>
      </c>
      <c r="AP64" s="296" t="e">
        <f t="shared" si="62"/>
        <v>#DIV/0!</v>
      </c>
      <c r="AQ64" s="296" t="e">
        <f t="shared" si="62"/>
        <v>#DIV/0!</v>
      </c>
      <c r="AR64" s="296" t="e">
        <f t="shared" si="63"/>
        <v>#DIV/0!</v>
      </c>
      <c r="AS64" s="296" t="e">
        <f t="shared" si="63"/>
        <v>#DIV/0!</v>
      </c>
      <c r="AT64" s="296" t="e">
        <f t="shared" si="63"/>
        <v>#DIV/0!</v>
      </c>
      <c r="AU64" s="296" t="e">
        <f t="shared" si="63"/>
        <v>#DIV/0!</v>
      </c>
      <c r="AV64" s="296" t="e">
        <f t="shared" si="63"/>
        <v>#DIV/0!</v>
      </c>
      <c r="AW64" s="296" t="e">
        <f t="shared" si="63"/>
        <v>#DIV/0!</v>
      </c>
      <c r="AX64" s="296" t="e">
        <f t="shared" si="63"/>
        <v>#DIV/0!</v>
      </c>
      <c r="AY64" s="296" t="e">
        <f t="shared" si="63"/>
        <v>#DIV/0!</v>
      </c>
      <c r="BE64" s="210"/>
      <c r="BF64" s="210"/>
      <c r="BG64" s="210"/>
      <c r="BH64" s="210"/>
      <c r="BI64" s="210"/>
      <c r="BJ64" s="210"/>
      <c r="BK64" s="210"/>
    </row>
    <row r="65" spans="1:63">
      <c r="A65" s="68" t="s">
        <v>175</v>
      </c>
      <c r="M65" s="241">
        <f>'[7]US Biodiesel Exports'!IX$290/1000</f>
        <v>10.126984200000001</v>
      </c>
      <c r="N65" s="241">
        <f>'[7]US Biodiesel Exports'!JJ$290/1000</f>
        <v>21.594147</v>
      </c>
      <c r="O65" s="241">
        <f>'[7]US Biodiesel Exports'!JV$290/1000</f>
        <v>5.7621357</v>
      </c>
      <c r="P65" s="241">
        <f>'[7]US Biodiesel Exports'!KH$290/1000</f>
        <v>8.5246805999999999</v>
      </c>
      <c r="Q65" s="241">
        <f>'[7]US Biodiesel Exports'!KT$290/1000</f>
        <v>6.350454</v>
      </c>
      <c r="R65" s="241">
        <f>'[7]US Biodiesel Exports'!LF$290/1000</f>
        <v>4.2437559</v>
      </c>
      <c r="S65" s="241">
        <f>'[7]US Biodiesel Exports'!LR$290/1000</f>
        <v>8.0706351000000005</v>
      </c>
      <c r="T65" s="241">
        <f>'[7]US Biodiesel Exports'!MD$290/1000</f>
        <v>10.056385799999999</v>
      </c>
      <c r="U65" s="241">
        <f>'[7]US Biodiesel Exports'!MP$290/1000</f>
        <v>17.997199200000001</v>
      </c>
      <c r="V65" s="241">
        <f>'[7]US Biodiesel Exports'!NB$290/1000</f>
        <v>20.029416300000001</v>
      </c>
      <c r="W65" s="241">
        <f>'[7]US Biodiesel Exports'!NN$290/1000</f>
        <v>27.09</v>
      </c>
      <c r="X65" s="241">
        <f>'[7]US Biodiesel Exports'!NZ$290/1000</f>
        <v>17.322599999999998</v>
      </c>
      <c r="Y65" s="296">
        <f t="shared" si="64"/>
        <v>14.501778481496354</v>
      </c>
      <c r="Z65" s="296">
        <f t="shared" si="60"/>
        <v>10.347457958923528</v>
      </c>
      <c r="AA65" s="296">
        <f t="shared" si="61"/>
        <v>6.9789542587781304</v>
      </c>
      <c r="AB65" s="296">
        <f t="shared" si="62"/>
        <v>2.8789435406043298</v>
      </c>
      <c r="AC65" s="296">
        <f t="shared" si="62"/>
        <v>0</v>
      </c>
      <c r="AD65" s="296">
        <f t="shared" si="62"/>
        <v>0</v>
      </c>
      <c r="AE65" s="296">
        <f t="shared" si="62"/>
        <v>0</v>
      </c>
      <c r="AF65" s="296">
        <f t="shared" si="62"/>
        <v>0</v>
      </c>
      <c r="AG65" s="296">
        <f t="shared" si="62"/>
        <v>0</v>
      </c>
      <c r="AH65" s="296">
        <f t="shared" si="62"/>
        <v>0</v>
      </c>
      <c r="AI65" s="296" t="e">
        <f t="shared" si="62"/>
        <v>#DIV/0!</v>
      </c>
      <c r="AJ65" s="296" t="e">
        <f t="shared" si="62"/>
        <v>#DIV/0!</v>
      </c>
      <c r="AK65" s="296" t="e">
        <f t="shared" si="62"/>
        <v>#DIV/0!</v>
      </c>
      <c r="AL65" s="296" t="e">
        <f t="shared" si="62"/>
        <v>#DIV/0!</v>
      </c>
      <c r="AM65" s="296" t="e">
        <f t="shared" si="62"/>
        <v>#DIV/0!</v>
      </c>
      <c r="AN65" s="296" t="e">
        <f t="shared" si="62"/>
        <v>#DIV/0!</v>
      </c>
      <c r="AO65" s="296" t="e">
        <f t="shared" si="62"/>
        <v>#DIV/0!</v>
      </c>
      <c r="AP65" s="296" t="e">
        <f t="shared" si="62"/>
        <v>#DIV/0!</v>
      </c>
      <c r="AQ65" s="296" t="e">
        <f t="shared" si="62"/>
        <v>#DIV/0!</v>
      </c>
      <c r="AR65" s="296" t="e">
        <f t="shared" si="63"/>
        <v>#DIV/0!</v>
      </c>
      <c r="AS65" s="296" t="e">
        <f t="shared" si="63"/>
        <v>#DIV/0!</v>
      </c>
      <c r="AT65" s="296" t="e">
        <f t="shared" si="63"/>
        <v>#DIV/0!</v>
      </c>
      <c r="AU65" s="296" t="e">
        <f t="shared" si="63"/>
        <v>#DIV/0!</v>
      </c>
      <c r="AV65" s="296" t="e">
        <f t="shared" si="63"/>
        <v>#DIV/0!</v>
      </c>
      <c r="AW65" s="296" t="e">
        <f t="shared" si="63"/>
        <v>#DIV/0!</v>
      </c>
      <c r="AX65" s="296" t="e">
        <f t="shared" si="63"/>
        <v>#DIV/0!</v>
      </c>
      <c r="AY65" s="296" t="e">
        <f t="shared" si="63"/>
        <v>#DIV/0!</v>
      </c>
      <c r="BE65" s="210"/>
      <c r="BF65" s="210"/>
      <c r="BG65" s="210"/>
      <c r="BH65" s="210"/>
      <c r="BI65" s="210"/>
      <c r="BJ65" s="210"/>
      <c r="BK65" s="210"/>
    </row>
    <row r="66" spans="1:63">
      <c r="A66" s="68" t="s">
        <v>176</v>
      </c>
      <c r="M66" s="241">
        <f>'[7]US Biodiesel Exports'!IY$290/1000</f>
        <v>8.7580109999999998</v>
      </c>
      <c r="N66" s="241">
        <f>'[7]US Biodiesel Exports'!JK$290/1000</f>
        <v>17.531290200000001</v>
      </c>
      <c r="O66" s="241">
        <f>'[7]US Biodiesel Exports'!JW$290/1000</f>
        <v>1.6707999</v>
      </c>
      <c r="P66" s="241">
        <f>'[7]US Biodiesel Exports'!KI$290/1000</f>
        <v>6.7966316999999998</v>
      </c>
      <c r="Q66" s="241">
        <f>'[7]US Biodiesel Exports'!KU$290/1000</f>
        <v>4.7947040999999997</v>
      </c>
      <c r="R66" s="241">
        <f>'[7]US Biodiesel Exports'!LG$290/1000</f>
        <v>9.2031153000000003</v>
      </c>
      <c r="S66" s="241">
        <f>'[7]US Biodiesel Exports'!LS$290/1000</f>
        <v>8.6123721</v>
      </c>
      <c r="T66" s="241">
        <f>'[7]US Biodiesel Exports'!ME$290/1000</f>
        <v>6.6777794999999998</v>
      </c>
      <c r="U66" s="241">
        <f>'[7]US Biodiesel Exports'!MQ$290/1000</f>
        <v>4.7680155000000006</v>
      </c>
      <c r="V66" s="241">
        <f>'[7]US Biodiesel Exports'!NC$290/1000</f>
        <v>9.025351800000001</v>
      </c>
      <c r="W66" s="241">
        <f>'[7]US Biodiesel Exports'!NO$290/1000</f>
        <v>19.795200000000001</v>
      </c>
      <c r="X66" s="241">
        <f>'[7]US Biodiesel Exports'!OA$290/1000</f>
        <v>19.055400000000002</v>
      </c>
      <c r="Y66" s="296">
        <f t="shared" si="64"/>
        <v>9.7961858660491217</v>
      </c>
      <c r="Z66" s="296">
        <f t="shared" si="60"/>
        <v>6.6842281925985363</v>
      </c>
      <c r="AA66" s="296">
        <f t="shared" si="61"/>
        <v>4.4964382181246858</v>
      </c>
      <c r="AB66" s="296">
        <f t="shared" si="62"/>
        <v>2.059030947663492</v>
      </c>
      <c r="AC66" s="296">
        <f t="shared" si="62"/>
        <v>0</v>
      </c>
      <c r="AD66" s="296">
        <f t="shared" si="62"/>
        <v>0</v>
      </c>
      <c r="AE66" s="296">
        <f t="shared" si="62"/>
        <v>0</v>
      </c>
      <c r="AF66" s="296">
        <f t="shared" si="62"/>
        <v>0</v>
      </c>
      <c r="AG66" s="296">
        <f t="shared" si="62"/>
        <v>0</v>
      </c>
      <c r="AH66" s="296">
        <f t="shared" si="62"/>
        <v>0</v>
      </c>
      <c r="AI66" s="296" t="e">
        <f t="shared" si="62"/>
        <v>#DIV/0!</v>
      </c>
      <c r="AJ66" s="296" t="e">
        <f t="shared" si="62"/>
        <v>#DIV/0!</v>
      </c>
      <c r="AK66" s="296" t="e">
        <f t="shared" si="62"/>
        <v>#DIV/0!</v>
      </c>
      <c r="AL66" s="296" t="e">
        <f t="shared" si="62"/>
        <v>#DIV/0!</v>
      </c>
      <c r="AM66" s="296" t="e">
        <f t="shared" si="62"/>
        <v>#DIV/0!</v>
      </c>
      <c r="AN66" s="296" t="e">
        <f t="shared" si="62"/>
        <v>#DIV/0!</v>
      </c>
      <c r="AO66" s="296" t="e">
        <f t="shared" si="62"/>
        <v>#DIV/0!</v>
      </c>
      <c r="AP66" s="296" t="e">
        <f t="shared" si="62"/>
        <v>#DIV/0!</v>
      </c>
      <c r="AQ66" s="296" t="e">
        <f t="shared" si="62"/>
        <v>#DIV/0!</v>
      </c>
      <c r="AR66" s="296" t="e">
        <f t="shared" si="63"/>
        <v>#DIV/0!</v>
      </c>
      <c r="AS66" s="296" t="e">
        <f t="shared" si="63"/>
        <v>#DIV/0!</v>
      </c>
      <c r="AT66" s="296" t="e">
        <f t="shared" si="63"/>
        <v>#DIV/0!</v>
      </c>
      <c r="AU66" s="296" t="e">
        <f t="shared" si="63"/>
        <v>#DIV/0!</v>
      </c>
      <c r="AV66" s="296" t="e">
        <f t="shared" si="63"/>
        <v>#DIV/0!</v>
      </c>
      <c r="AW66" s="296" t="e">
        <f t="shared" si="63"/>
        <v>#DIV/0!</v>
      </c>
      <c r="AX66" s="296" t="e">
        <f t="shared" si="63"/>
        <v>#DIV/0!</v>
      </c>
      <c r="AY66" s="296" t="e">
        <f t="shared" si="63"/>
        <v>#DIV/0!</v>
      </c>
      <c r="BE66" s="210"/>
      <c r="BF66" s="210"/>
      <c r="BG66" s="210"/>
      <c r="BH66" s="210"/>
      <c r="BI66" s="210"/>
      <c r="BJ66" s="210"/>
      <c r="BK66" s="210"/>
    </row>
    <row r="67" spans="1:63">
      <c r="A67" s="68" t="s">
        <v>177</v>
      </c>
      <c r="M67" s="241">
        <f>'[7]US Biodiesel Exports'!IZ$290/1000</f>
        <v>2.7352761000000001</v>
      </c>
      <c r="N67" s="241">
        <f>'[7]US Biodiesel Exports'!JL$290/1000</f>
        <v>17.2459968</v>
      </c>
      <c r="O67" s="241">
        <f>'[7]US Biodiesel Exports'!JX$290/1000</f>
        <v>2.7519105000000001</v>
      </c>
      <c r="P67" s="241">
        <f>'[7]US Biodiesel Exports'!KJ$290/1000</f>
        <v>3.2052063</v>
      </c>
      <c r="Q67" s="241">
        <f>'[7]US Biodiesel Exports'!KV$290/1000</f>
        <v>5.9121849000000006</v>
      </c>
      <c r="R67" s="241">
        <f>'[7]US Biodiesel Exports'!LH$290/1000</f>
        <v>2.0887217999999996</v>
      </c>
      <c r="S67" s="241">
        <f>'[7]US Biodiesel Exports'!LT$290/1000</f>
        <v>6.0275222999999993</v>
      </c>
      <c r="T67" s="241">
        <f>'[7]US Biodiesel Exports'!MF$290/1000</f>
        <v>2.3653112999999997</v>
      </c>
      <c r="U67" s="241">
        <f>'[7]US Biodiesel Exports'!MR$290/1000</f>
        <v>3.0786951</v>
      </c>
      <c r="V67" s="241">
        <f>'[7]US Biodiesel Exports'!ND$290/1000</f>
        <v>3.5421</v>
      </c>
      <c r="W67" s="241">
        <f>'[7]US Biodiesel Exports'!NP$290/1000</f>
        <v>9.3392999999999997</v>
      </c>
      <c r="X67" s="241">
        <f>'[7]US Biodiesel Exports'!OB$290/1000</f>
        <v>15.262499999999999</v>
      </c>
      <c r="Y67" s="296">
        <f t="shared" si="64"/>
        <v>5.7125949227320696</v>
      </c>
      <c r="Z67" s="296">
        <f t="shared" si="60"/>
        <v>3.8006564836638601</v>
      </c>
      <c r="AA67" s="296">
        <f t="shared" si="61"/>
        <v>2.6498062402710394</v>
      </c>
      <c r="AB67" s="296">
        <f t="shared" si="62"/>
        <v>1.2053724508897219</v>
      </c>
      <c r="AC67" s="296">
        <f t="shared" si="62"/>
        <v>0</v>
      </c>
      <c r="AD67" s="296">
        <f t="shared" si="62"/>
        <v>0</v>
      </c>
      <c r="AE67" s="296">
        <f t="shared" si="62"/>
        <v>0</v>
      </c>
      <c r="AF67" s="296">
        <f t="shared" si="62"/>
        <v>0</v>
      </c>
      <c r="AG67" s="296">
        <f t="shared" si="62"/>
        <v>0</v>
      </c>
      <c r="AH67" s="296">
        <f t="shared" si="62"/>
        <v>0</v>
      </c>
      <c r="AI67" s="296" t="e">
        <f t="shared" si="62"/>
        <v>#DIV/0!</v>
      </c>
      <c r="AJ67" s="296" t="e">
        <f t="shared" si="62"/>
        <v>#DIV/0!</v>
      </c>
      <c r="AK67" s="296" t="e">
        <f t="shared" si="62"/>
        <v>#DIV/0!</v>
      </c>
      <c r="AL67" s="296" t="e">
        <f t="shared" si="62"/>
        <v>#DIV/0!</v>
      </c>
      <c r="AM67" s="296" t="e">
        <f t="shared" si="62"/>
        <v>#DIV/0!</v>
      </c>
      <c r="AN67" s="296" t="e">
        <f t="shared" si="62"/>
        <v>#DIV/0!</v>
      </c>
      <c r="AO67" s="296" t="e">
        <f t="shared" si="62"/>
        <v>#DIV/0!</v>
      </c>
      <c r="AP67" s="296" t="e">
        <f t="shared" si="62"/>
        <v>#DIV/0!</v>
      </c>
      <c r="AQ67" s="296" t="e">
        <f t="shared" si="62"/>
        <v>#DIV/0!</v>
      </c>
      <c r="AR67" s="296" t="e">
        <f t="shared" si="63"/>
        <v>#DIV/0!</v>
      </c>
      <c r="AS67" s="296" t="e">
        <f t="shared" si="63"/>
        <v>#DIV/0!</v>
      </c>
      <c r="AT67" s="296" t="e">
        <f t="shared" si="63"/>
        <v>#DIV/0!</v>
      </c>
      <c r="AU67" s="296" t="e">
        <f t="shared" si="63"/>
        <v>#DIV/0!</v>
      </c>
      <c r="AV67" s="296" t="e">
        <f t="shared" si="63"/>
        <v>#DIV/0!</v>
      </c>
      <c r="AW67" s="296" t="e">
        <f t="shared" si="63"/>
        <v>#DIV/0!</v>
      </c>
      <c r="AX67" s="296" t="e">
        <f t="shared" si="63"/>
        <v>#DIV/0!</v>
      </c>
      <c r="AY67" s="296" t="e">
        <f t="shared" si="63"/>
        <v>#DIV/0!</v>
      </c>
      <c r="BE67" s="210"/>
      <c r="BF67" s="210"/>
      <c r="BG67" s="210"/>
      <c r="BH67" s="210"/>
      <c r="BI67" s="210"/>
      <c r="BJ67" s="210"/>
      <c r="BK67" s="210"/>
    </row>
    <row r="68" spans="1:63">
      <c r="A68" s="68" t="s">
        <v>178</v>
      </c>
      <c r="M68" s="241">
        <f>'[7]US Biodiesel Exports'!JA$290/1000</f>
        <v>6.0519059999999998</v>
      </c>
      <c r="N68" s="241">
        <f>'[7]US Biodiesel Exports'!JM$290/1000</f>
        <v>20.1150363</v>
      </c>
      <c r="O68" s="241">
        <f>'[7]US Biodiesel Exports'!JY$290/1000</f>
        <v>2.1374025000000003</v>
      </c>
      <c r="P68" s="241">
        <f>'[7]US Biodiesel Exports'!KK$290/1000</f>
        <v>5.6441495999999995</v>
      </c>
      <c r="Q68" s="241">
        <f>'[7]US Biodiesel Exports'!KW$290/1000</f>
        <v>4.2969039000000002</v>
      </c>
      <c r="R68" s="241">
        <f>'[7]US Biodiesel Exports'!LI$290/1000</f>
        <v>1.4883876</v>
      </c>
      <c r="S68" s="241">
        <f>'[7]US Biodiesel Exports'!LU$290/1000</f>
        <v>3.2576421</v>
      </c>
      <c r="T68" s="241">
        <f>'[7]US Biodiesel Exports'!MG$290/1000</f>
        <v>3.5038679999999998</v>
      </c>
      <c r="U68" s="241">
        <f>'[7]US Biodiesel Exports'!MS$290/1000</f>
        <v>2.7264396</v>
      </c>
      <c r="V68" s="241">
        <f>'[7]US Biodiesel Exports'!NE$290/1000</f>
        <v>12.948</v>
      </c>
      <c r="W68" s="241">
        <f>'[7]US Biodiesel Exports'!NQ$290/1000</f>
        <v>19.512</v>
      </c>
      <c r="X68" s="241">
        <f>'[7]US Biodiesel Exports'!OC$290/1000</f>
        <v>16.539900000000003</v>
      </c>
      <c r="Y68" s="296">
        <f>Y69-SUM(Y57:Y67)</f>
        <v>65.478054329579535</v>
      </c>
      <c r="Z68" s="296">
        <f t="shared" ref="Z68:AH68" si="65">Z69-SUM(Z57:Z67)</f>
        <v>11.673404228792677</v>
      </c>
      <c r="AA68" s="296">
        <f t="shared" si="65"/>
        <v>8.3833091264919943</v>
      </c>
      <c r="AB68" s="296">
        <f t="shared" si="65"/>
        <v>4.023235480546095</v>
      </c>
      <c r="AC68" s="296">
        <f t="shared" si="65"/>
        <v>0</v>
      </c>
      <c r="AD68" s="296">
        <f t="shared" si="65"/>
        <v>0</v>
      </c>
      <c r="AE68" s="296">
        <f t="shared" si="65"/>
        <v>0</v>
      </c>
      <c r="AF68" s="296">
        <f t="shared" si="65"/>
        <v>0</v>
      </c>
      <c r="AG68" s="296">
        <f t="shared" si="65"/>
        <v>0</v>
      </c>
      <c r="AH68" s="296">
        <f t="shared" si="65"/>
        <v>0</v>
      </c>
      <c r="AI68" s="296" t="e">
        <f t="shared" ref="AI68:AY68" si="66">AI69-SUM(AI57:AI67)</f>
        <v>#DIV/0!</v>
      </c>
      <c r="AJ68" s="296" t="e">
        <f t="shared" si="66"/>
        <v>#DIV/0!</v>
      </c>
      <c r="AK68" s="296" t="e">
        <f t="shared" si="66"/>
        <v>#DIV/0!</v>
      </c>
      <c r="AL68" s="296" t="e">
        <f t="shared" si="66"/>
        <v>#DIV/0!</v>
      </c>
      <c r="AM68" s="296" t="e">
        <f t="shared" si="66"/>
        <v>#DIV/0!</v>
      </c>
      <c r="AN68" s="296" t="e">
        <f t="shared" si="66"/>
        <v>#DIV/0!</v>
      </c>
      <c r="AO68" s="296" t="e">
        <f t="shared" si="66"/>
        <v>#DIV/0!</v>
      </c>
      <c r="AP68" s="296" t="e">
        <f t="shared" si="66"/>
        <v>#DIV/0!</v>
      </c>
      <c r="AQ68" s="296" t="e">
        <f t="shared" si="66"/>
        <v>#DIV/0!</v>
      </c>
      <c r="AR68" s="296" t="e">
        <f t="shared" si="66"/>
        <v>#DIV/0!</v>
      </c>
      <c r="AS68" s="296" t="e">
        <f t="shared" si="66"/>
        <v>#DIV/0!</v>
      </c>
      <c r="AT68" s="296" t="e">
        <f t="shared" si="66"/>
        <v>#DIV/0!</v>
      </c>
      <c r="AU68" s="296" t="e">
        <f t="shared" si="66"/>
        <v>#DIV/0!</v>
      </c>
      <c r="AV68" s="296" t="e">
        <f t="shared" si="66"/>
        <v>#DIV/0!</v>
      </c>
      <c r="AW68" s="296" t="e">
        <f t="shared" si="66"/>
        <v>#DIV/0!</v>
      </c>
      <c r="AX68" s="296" t="e">
        <f t="shared" si="66"/>
        <v>#DIV/0!</v>
      </c>
      <c r="AY68" s="296" t="e">
        <f t="shared" si="66"/>
        <v>#DIV/0!</v>
      </c>
      <c r="BE68" s="210"/>
      <c r="BF68" s="210"/>
      <c r="BG68" s="210"/>
      <c r="BH68" s="210"/>
      <c r="BI68" s="210"/>
      <c r="BJ68" s="210"/>
      <c r="BK68" s="210"/>
    </row>
    <row r="69" spans="1:63">
      <c r="A69" s="244" t="s">
        <v>179</v>
      </c>
      <c r="M69" s="248">
        <f>SUM(M57:M68)</f>
        <v>121.7488257</v>
      </c>
      <c r="N69" s="248">
        <f>SUM(N57:N68)</f>
        <v>197.7119892</v>
      </c>
      <c r="O69" s="248">
        <f t="shared" ref="O69:X69" si="67">SUM(O57:O68)</f>
        <v>83.479708200000005</v>
      </c>
      <c r="P69" s="248">
        <f t="shared" si="67"/>
        <v>88.464847500000005</v>
      </c>
      <c r="Q69" s="248">
        <f t="shared" si="67"/>
        <v>90.333894300000011</v>
      </c>
      <c r="R69" s="248">
        <f t="shared" si="67"/>
        <v>94.315841099999986</v>
      </c>
      <c r="S69" s="248">
        <f t="shared" si="67"/>
        <v>104.4654579</v>
      </c>
      <c r="T69" s="248">
        <f t="shared" si="67"/>
        <v>114.6274215</v>
      </c>
      <c r="U69" s="248">
        <f t="shared" si="67"/>
        <v>142.9372611</v>
      </c>
      <c r="V69" s="248">
        <f t="shared" si="67"/>
        <v>185.47014990000002</v>
      </c>
      <c r="W69" s="248">
        <f t="shared" si="67"/>
        <v>239.80860000000004</v>
      </c>
      <c r="X69" s="248">
        <f t="shared" si="67"/>
        <v>252.90389999999996</v>
      </c>
      <c r="Y69" s="297">
        <f>Y10</f>
        <v>150</v>
      </c>
      <c r="Z69" s="297">
        <f t="shared" ref="Z69:AY69" si="68">Z10</f>
        <v>105</v>
      </c>
      <c r="AA69" s="297">
        <f t="shared" si="68"/>
        <v>70</v>
      </c>
      <c r="AB69" s="297">
        <f t="shared" si="68"/>
        <v>30</v>
      </c>
      <c r="AC69" s="297">
        <f t="shared" si="68"/>
        <v>0</v>
      </c>
      <c r="AD69" s="297">
        <f t="shared" si="68"/>
        <v>0</v>
      </c>
      <c r="AE69" s="297">
        <f t="shared" si="68"/>
        <v>0</v>
      </c>
      <c r="AF69" s="297">
        <f t="shared" si="68"/>
        <v>0</v>
      </c>
      <c r="AG69" s="297">
        <f t="shared" si="68"/>
        <v>0</v>
      </c>
      <c r="AH69" s="297">
        <f t="shared" si="68"/>
        <v>0</v>
      </c>
      <c r="AI69" s="297">
        <f t="shared" si="68"/>
        <v>0</v>
      </c>
      <c r="AJ69" s="297">
        <f t="shared" si="68"/>
        <v>0</v>
      </c>
      <c r="AK69" s="297">
        <f t="shared" si="68"/>
        <v>0</v>
      </c>
      <c r="AL69" s="297">
        <f t="shared" si="68"/>
        <v>0</v>
      </c>
      <c r="AM69" s="297">
        <f t="shared" si="68"/>
        <v>0</v>
      </c>
      <c r="AN69" s="297">
        <f t="shared" si="68"/>
        <v>0</v>
      </c>
      <c r="AO69" s="297">
        <f t="shared" si="68"/>
        <v>0</v>
      </c>
      <c r="AP69" s="297">
        <f t="shared" si="68"/>
        <v>0</v>
      </c>
      <c r="AQ69" s="297">
        <f t="shared" si="68"/>
        <v>0</v>
      </c>
      <c r="AR69" s="297">
        <f t="shared" si="68"/>
        <v>0</v>
      </c>
      <c r="AS69" s="297">
        <f t="shared" si="68"/>
        <v>0</v>
      </c>
      <c r="AT69" s="297">
        <f t="shared" si="68"/>
        <v>0</v>
      </c>
      <c r="AU69" s="297">
        <f t="shared" si="68"/>
        <v>0</v>
      </c>
      <c r="AV69" s="297">
        <f t="shared" si="68"/>
        <v>0</v>
      </c>
      <c r="AW69" s="297">
        <f t="shared" si="68"/>
        <v>0</v>
      </c>
      <c r="AX69" s="297">
        <f t="shared" si="68"/>
        <v>0</v>
      </c>
      <c r="AY69" s="297">
        <f t="shared" si="68"/>
        <v>0</v>
      </c>
      <c r="BE69" s="210"/>
      <c r="BF69" s="210"/>
      <c r="BG69" s="210"/>
      <c r="BH69" s="210"/>
      <c r="BI69" s="210"/>
      <c r="BJ69" s="210"/>
      <c r="BK69" s="210"/>
    </row>
    <row r="70" spans="1:63">
      <c r="A70" s="25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98">
        <f>X10</f>
        <v>252.90389999999996</v>
      </c>
      <c r="Y70" s="255"/>
      <c r="Z70" s="255"/>
      <c r="AA70" s="255"/>
      <c r="AB70" s="255"/>
      <c r="AC70" s="255"/>
      <c r="AD70" s="255"/>
      <c r="AE70" s="255"/>
      <c r="AF70" s="255"/>
      <c r="AG70" s="255"/>
      <c r="AH70" s="255"/>
      <c r="AI70" s="255"/>
      <c r="AJ70" s="255"/>
      <c r="AK70" s="255"/>
      <c r="AL70" s="255"/>
      <c r="AM70" s="255"/>
      <c r="AN70" s="255"/>
      <c r="AO70" s="255"/>
      <c r="AP70" s="255"/>
      <c r="AQ70" s="255"/>
      <c r="AR70" s="255"/>
      <c r="AS70" s="255"/>
      <c r="AT70" s="255"/>
      <c r="AU70" s="255"/>
      <c r="AV70" s="255"/>
      <c r="AW70" s="255"/>
      <c r="AX70" s="255"/>
      <c r="AY70" s="255"/>
      <c r="BE70" s="210"/>
      <c r="BF70" s="210"/>
      <c r="BG70" s="210"/>
      <c r="BH70" s="210"/>
      <c r="BI70" s="210"/>
      <c r="BJ70" s="210"/>
      <c r="BK70" s="210"/>
    </row>
    <row r="71" spans="1:63" ht="12" thickBot="1">
      <c r="A71" s="234" t="s">
        <v>197</v>
      </c>
      <c r="BE71" s="210"/>
      <c r="BF71" s="210"/>
      <c r="BG71" s="210"/>
      <c r="BH71" s="210"/>
      <c r="BI71" s="210"/>
      <c r="BJ71" s="210"/>
      <c r="BK71" s="210"/>
    </row>
    <row r="72" spans="1:63" ht="12" thickBot="1">
      <c r="A72" s="236"/>
      <c r="B72" s="236">
        <f t="shared" ref="B72:AY72" si="69">B2</f>
        <v>2001</v>
      </c>
      <c r="C72" s="236">
        <f t="shared" si="69"/>
        <v>2002</v>
      </c>
      <c r="D72" s="236">
        <f t="shared" si="69"/>
        <v>2003</v>
      </c>
      <c r="E72" s="236">
        <f t="shared" si="69"/>
        <v>2004</v>
      </c>
      <c r="F72" s="236">
        <f t="shared" si="69"/>
        <v>2005</v>
      </c>
      <c r="G72" s="236">
        <f t="shared" si="69"/>
        <v>2006</v>
      </c>
      <c r="H72" s="236">
        <f t="shared" si="69"/>
        <v>2007</v>
      </c>
      <c r="I72" s="236">
        <f t="shared" si="69"/>
        <v>2008</v>
      </c>
      <c r="J72" s="236">
        <f t="shared" si="69"/>
        <v>2009</v>
      </c>
      <c r="K72" s="236">
        <f t="shared" si="69"/>
        <v>2010</v>
      </c>
      <c r="L72" s="236">
        <f t="shared" si="69"/>
        <v>2011</v>
      </c>
      <c r="M72" s="236">
        <f t="shared" si="69"/>
        <v>2012</v>
      </c>
      <c r="N72" s="236">
        <f t="shared" si="69"/>
        <v>2013</v>
      </c>
      <c r="O72" s="236">
        <f t="shared" si="69"/>
        <v>2014</v>
      </c>
      <c r="P72" s="236">
        <f t="shared" si="69"/>
        <v>2015</v>
      </c>
      <c r="Q72" s="236">
        <f t="shared" si="69"/>
        <v>2016</v>
      </c>
      <c r="R72" s="236">
        <f t="shared" si="69"/>
        <v>2017</v>
      </c>
      <c r="S72" s="236">
        <f t="shared" si="69"/>
        <v>2018</v>
      </c>
      <c r="T72" s="236">
        <f t="shared" si="69"/>
        <v>2019</v>
      </c>
      <c r="U72" s="236">
        <f t="shared" si="69"/>
        <v>2020</v>
      </c>
      <c r="V72" s="236">
        <f t="shared" si="69"/>
        <v>2021</v>
      </c>
      <c r="W72" s="236">
        <f t="shared" si="69"/>
        <v>2022</v>
      </c>
      <c r="X72" s="236">
        <f t="shared" si="69"/>
        <v>2023</v>
      </c>
      <c r="Y72" s="236">
        <f t="shared" si="69"/>
        <v>2024</v>
      </c>
      <c r="Z72" s="236">
        <f t="shared" si="69"/>
        <v>2025</v>
      </c>
      <c r="AA72" s="236">
        <f t="shared" si="69"/>
        <v>2026</v>
      </c>
      <c r="AB72" s="236">
        <f t="shared" si="69"/>
        <v>2027</v>
      </c>
      <c r="AC72" s="236">
        <f t="shared" si="69"/>
        <v>2028</v>
      </c>
      <c r="AD72" s="236">
        <f t="shared" si="69"/>
        <v>2029</v>
      </c>
      <c r="AE72" s="236">
        <f t="shared" si="69"/>
        <v>2030</v>
      </c>
      <c r="AF72" s="236">
        <f t="shared" si="69"/>
        <v>2031</v>
      </c>
      <c r="AG72" s="236">
        <f t="shared" si="69"/>
        <v>2032</v>
      </c>
      <c r="AH72" s="236">
        <f t="shared" si="69"/>
        <v>2033</v>
      </c>
      <c r="AI72" s="236">
        <f t="shared" si="69"/>
        <v>2034</v>
      </c>
      <c r="AJ72" s="236">
        <f t="shared" si="69"/>
        <v>2035</v>
      </c>
      <c r="AK72" s="236">
        <f t="shared" si="69"/>
        <v>2036</v>
      </c>
      <c r="AL72" s="236">
        <f t="shared" si="69"/>
        <v>2037</v>
      </c>
      <c r="AM72" s="236">
        <f t="shared" si="69"/>
        <v>2038</v>
      </c>
      <c r="AN72" s="236">
        <f t="shared" si="69"/>
        <v>2039</v>
      </c>
      <c r="AO72" s="236">
        <f t="shared" si="69"/>
        <v>2040</v>
      </c>
      <c r="AP72" s="236">
        <f t="shared" si="69"/>
        <v>2041</v>
      </c>
      <c r="AQ72" s="236">
        <f t="shared" si="69"/>
        <v>2042</v>
      </c>
      <c r="AR72" s="236">
        <f t="shared" si="69"/>
        <v>2043</v>
      </c>
      <c r="AS72" s="236">
        <f t="shared" si="69"/>
        <v>2044</v>
      </c>
      <c r="AT72" s="236">
        <f t="shared" si="69"/>
        <v>2045</v>
      </c>
      <c r="AU72" s="236">
        <f t="shared" si="69"/>
        <v>2046</v>
      </c>
      <c r="AV72" s="236">
        <f t="shared" si="69"/>
        <v>2047</v>
      </c>
      <c r="AW72" s="236">
        <f t="shared" si="69"/>
        <v>2048</v>
      </c>
      <c r="AX72" s="236">
        <f t="shared" si="69"/>
        <v>2049</v>
      </c>
      <c r="AY72" s="236">
        <f t="shared" si="69"/>
        <v>2050</v>
      </c>
      <c r="BE72" s="210"/>
      <c r="BF72" s="210"/>
      <c r="BG72" s="210"/>
      <c r="BH72" s="210"/>
      <c r="BI72" s="210"/>
      <c r="BJ72" s="210"/>
      <c r="BK72" s="210"/>
    </row>
    <row r="73" spans="1:63">
      <c r="A73" s="68" t="s">
        <v>167</v>
      </c>
      <c r="B73" s="249">
        <f>monthly_data!N339</f>
        <v>0.71899999999999997</v>
      </c>
      <c r="C73" s="249">
        <f>monthly_data!N351</f>
        <v>1.3169999999999999</v>
      </c>
      <c r="D73" s="249">
        <f>monthly_data!N363</f>
        <v>1.4279999999999999</v>
      </c>
      <c r="E73" s="249">
        <f>monthly_data!N375</f>
        <v>2.5979999999999999</v>
      </c>
      <c r="F73" s="249">
        <f>monthly_data!N387</f>
        <v>8.0060000000000002</v>
      </c>
      <c r="G73" s="249">
        <f>monthly_data!N399</f>
        <v>12.894</v>
      </c>
      <c r="H73" s="249" t="s">
        <v>198</v>
      </c>
      <c r="I73" s="249">
        <f>monthly_data!N423</f>
        <v>28.495999999999999</v>
      </c>
      <c r="J73" s="249">
        <f>monthly_data!N435</f>
        <v>3.3180000000000001</v>
      </c>
      <c r="K73" s="249">
        <f>monthly_data!N447</f>
        <v>1.3149999999999999</v>
      </c>
      <c r="L73" s="249">
        <f>monthly_data!N459</f>
        <v>26.402000000000001</v>
      </c>
      <c r="M73" s="249">
        <f>monthly_data!N471</f>
        <v>43.76</v>
      </c>
      <c r="N73" s="249">
        <f>monthly_data!N483</f>
        <v>69.066000000000003</v>
      </c>
      <c r="O73" s="249">
        <f>monthly_data!N495</f>
        <v>80.483999999999995</v>
      </c>
      <c r="P73" s="249">
        <f>monthly_data!N507</f>
        <v>49.372</v>
      </c>
      <c r="Q73" s="249">
        <f>monthly_data!N519</f>
        <v>101.49</v>
      </c>
      <c r="R73" s="249">
        <f>monthly_data!N531</f>
        <v>101.11199999999999</v>
      </c>
      <c r="S73" s="249">
        <f>monthly_data!N543</f>
        <v>119.836</v>
      </c>
      <c r="T73" s="249">
        <f>monthly_data!N555</f>
        <v>124.2</v>
      </c>
      <c r="U73" s="249">
        <f>monthly_data!N567</f>
        <v>131.62700000000001</v>
      </c>
      <c r="V73" s="249">
        <f>U100+V25+V41-V57-V89</f>
        <v>100.76897592857145</v>
      </c>
      <c r="W73" s="249">
        <f>V100+W25+W41-W57-W89</f>
        <v>105.42859123809521</v>
      </c>
      <c r="X73" s="249">
        <f>W100+X25+X41-X57-X89</f>
        <v>122.47619114285718</v>
      </c>
      <c r="Y73" s="249">
        <f t="shared" ref="Y73:Y83" si="70">Y$85*(SUM(T73:X73)/SUM(T$85:X$85))</f>
        <v>122.66086815872328</v>
      </c>
      <c r="Z73" s="299">
        <f t="shared" ref="Z73:Z83" si="71">Z$85*(SUM(U73:Y73)/SUM(U$85:Y$85))</f>
        <v>108.90784550465025</v>
      </c>
      <c r="AA73" s="299">
        <f t="shared" ref="AA73:AP83" si="72">AA$85*(SUM(V73:Z73)/SUM(V$85:Z$85))</f>
        <v>82.804772275341719</v>
      </c>
      <c r="AB73" s="299">
        <f t="shared" si="72"/>
        <v>97.908459365780573</v>
      </c>
      <c r="AC73" s="299">
        <f t="shared" si="72"/>
        <v>67.108808007296986</v>
      </c>
      <c r="AD73" s="299">
        <f t="shared" si="72"/>
        <v>81.888811953615857</v>
      </c>
      <c r="AE73" s="299">
        <f t="shared" si="72"/>
        <v>83.62768933162485</v>
      </c>
      <c r="AF73" s="299">
        <f t="shared" si="72"/>
        <v>83.692514486567504</v>
      </c>
      <c r="AG73" s="299">
        <f t="shared" si="72"/>
        <v>90.718979366441928</v>
      </c>
      <c r="AH73" s="299">
        <f t="shared" si="72"/>
        <v>80.381217427902158</v>
      </c>
      <c r="AI73" s="299">
        <f t="shared" si="72"/>
        <v>78.59440560180083</v>
      </c>
      <c r="AJ73" s="299">
        <f t="shared" si="72"/>
        <v>71.781237135254784</v>
      </c>
      <c r="AK73" s="299">
        <f t="shared" si="72"/>
        <v>56.415846761995432</v>
      </c>
      <c r="AL73" s="299">
        <f t="shared" si="72"/>
        <v>34.198342650985985</v>
      </c>
      <c r="AM73" s="299">
        <f t="shared" si="72"/>
        <v>34.188409529568005</v>
      </c>
      <c r="AN73" s="299">
        <f t="shared" si="72"/>
        <v>18.800997878730776</v>
      </c>
      <c r="AO73" s="299" t="e">
        <f t="shared" si="72"/>
        <v>#NUM!</v>
      </c>
      <c r="AP73" s="299" t="e">
        <f t="shared" si="72"/>
        <v>#NUM!</v>
      </c>
      <c r="AQ73" s="299" t="e">
        <f t="shared" ref="AQ73:AY83" si="73">AQ$85*(SUM(AL73:AP73)/SUM(AL$85:AP$85))</f>
        <v>#NUM!</v>
      </c>
      <c r="AR73" s="299" t="e">
        <f t="shared" si="73"/>
        <v>#NUM!</v>
      </c>
      <c r="AS73" s="299" t="e">
        <f t="shared" si="73"/>
        <v>#NUM!</v>
      </c>
      <c r="AT73" s="299" t="e">
        <f t="shared" si="73"/>
        <v>#NUM!</v>
      </c>
      <c r="AU73" s="299" t="e">
        <f t="shared" si="73"/>
        <v>#NUM!</v>
      </c>
      <c r="AV73" s="299" t="e">
        <f t="shared" si="73"/>
        <v>#NUM!</v>
      </c>
      <c r="AW73" s="299" t="e">
        <f t="shared" si="73"/>
        <v>#NUM!</v>
      </c>
      <c r="AX73" s="299" t="e">
        <f t="shared" si="73"/>
        <v>#NUM!</v>
      </c>
      <c r="AY73" s="299" t="e">
        <f t="shared" si="73"/>
        <v>#NUM!</v>
      </c>
      <c r="BE73" s="210"/>
      <c r="BF73" s="210"/>
      <c r="BG73" s="210"/>
      <c r="BH73" s="210"/>
      <c r="BI73" s="210"/>
      <c r="BJ73" s="210"/>
      <c r="BK73" s="210"/>
    </row>
    <row r="74" spans="1:63">
      <c r="A74" s="68" t="s">
        <v>168</v>
      </c>
      <c r="B74" s="249">
        <f>monthly_data!N340</f>
        <v>0.502</v>
      </c>
      <c r="C74" s="249">
        <f>monthly_data!N352</f>
        <v>1.841</v>
      </c>
      <c r="D74" s="249">
        <f>monthly_data!N364</f>
        <v>0.80600000000000005</v>
      </c>
      <c r="E74" s="249">
        <f>monthly_data!N376</f>
        <v>2.6629999999999998</v>
      </c>
      <c r="F74" s="249">
        <f>monthly_data!N388</f>
        <v>8.0470000000000006</v>
      </c>
      <c r="G74" s="249">
        <f>monthly_data!N400</f>
        <v>9.032</v>
      </c>
      <c r="H74" s="249">
        <f>monthly_data!N412</f>
        <v>22.594000000000001</v>
      </c>
      <c r="I74" s="249">
        <f>monthly_data!N424</f>
        <v>21.411999999999999</v>
      </c>
      <c r="J74" s="249">
        <f>monthly_data!N436</f>
        <v>3.0659999999999998</v>
      </c>
      <c r="K74" s="249">
        <f>monthly_data!N448</f>
        <v>24.988</v>
      </c>
      <c r="L74" s="249">
        <f>monthly_data!N460</f>
        <v>29.7</v>
      </c>
      <c r="M74" s="249">
        <f>monthly_data!N472</f>
        <v>60.886000000000003</v>
      </c>
      <c r="N74" s="249">
        <f>monthly_data!N484</f>
        <v>71.370999999999995</v>
      </c>
      <c r="O74" s="249">
        <f>monthly_data!N496</f>
        <v>75.733999999999995</v>
      </c>
      <c r="P74" s="249">
        <f>monthly_data!N508</f>
        <v>89.938999999999993</v>
      </c>
      <c r="Q74" s="249">
        <f>monthly_data!N520</f>
        <v>118.899</v>
      </c>
      <c r="R74" s="249">
        <f>monthly_data!N532</f>
        <v>111.303</v>
      </c>
      <c r="S74" s="249">
        <f>monthly_data!N544</f>
        <v>114.253</v>
      </c>
      <c r="T74" s="249">
        <f>monthly_data!N556</f>
        <v>130.25399999999999</v>
      </c>
      <c r="U74" s="249">
        <f>monthly_data!N568</f>
        <v>143.012</v>
      </c>
      <c r="V74" s="249">
        <f t="shared" ref="V74:X84" si="74">V89+V26+V42-V58-V90</f>
        <v>125.80483226190478</v>
      </c>
      <c r="W74" s="249">
        <f t="shared" si="74"/>
        <v>114.95122638095233</v>
      </c>
      <c r="X74" s="249">
        <f t="shared" si="74"/>
        <v>116.04627066666666</v>
      </c>
      <c r="Y74" s="249">
        <f t="shared" si="70"/>
        <v>132.22348675122885</v>
      </c>
      <c r="Z74" s="299">
        <f t="shared" si="71"/>
        <v>118.07617122529463</v>
      </c>
      <c r="AA74" s="299">
        <f t="shared" si="72"/>
        <v>89.730686836539036</v>
      </c>
      <c r="AB74" s="299">
        <f t="shared" si="72"/>
        <v>103.09920112562659</v>
      </c>
      <c r="AC74" s="299">
        <f t="shared" si="72"/>
        <v>70.173074444818155</v>
      </c>
      <c r="AD74" s="299">
        <f t="shared" si="72"/>
        <v>87.681586400029715</v>
      </c>
      <c r="AE74" s="299">
        <f t="shared" si="72"/>
        <v>89.374611990595739</v>
      </c>
      <c r="AF74" s="299">
        <f t="shared" si="72"/>
        <v>89.102887930094425</v>
      </c>
      <c r="AG74" s="299">
        <f t="shared" si="72"/>
        <v>96.239099918312903</v>
      </c>
      <c r="AH74" s="299">
        <f t="shared" si="72"/>
        <v>85.423736353533585</v>
      </c>
      <c r="AI74" s="299">
        <f t="shared" si="72"/>
        <v>83.739058696170943</v>
      </c>
      <c r="AJ74" s="299">
        <f t="shared" si="72"/>
        <v>76.405469611990654</v>
      </c>
      <c r="AK74" s="299">
        <f t="shared" si="72"/>
        <v>60.000161741913004</v>
      </c>
      <c r="AL74" s="299">
        <f t="shared" si="72"/>
        <v>36.362672065332227</v>
      </c>
      <c r="AM74" s="299">
        <f t="shared" si="72"/>
        <v>36.375648773291537</v>
      </c>
      <c r="AN74" s="299">
        <f t="shared" si="72"/>
        <v>20.010640495501129</v>
      </c>
      <c r="AO74" s="299" t="e">
        <f t="shared" si="72"/>
        <v>#NUM!</v>
      </c>
      <c r="AP74" s="299" t="e">
        <f t="shared" si="72"/>
        <v>#NUM!</v>
      </c>
      <c r="AQ74" s="299" t="e">
        <f t="shared" si="73"/>
        <v>#NUM!</v>
      </c>
      <c r="AR74" s="299" t="e">
        <f t="shared" si="73"/>
        <v>#NUM!</v>
      </c>
      <c r="AS74" s="299" t="e">
        <f t="shared" si="73"/>
        <v>#NUM!</v>
      </c>
      <c r="AT74" s="299" t="e">
        <f t="shared" si="73"/>
        <v>#NUM!</v>
      </c>
      <c r="AU74" s="299" t="e">
        <f t="shared" si="73"/>
        <v>#NUM!</v>
      </c>
      <c r="AV74" s="299" t="e">
        <f t="shared" si="73"/>
        <v>#NUM!</v>
      </c>
      <c r="AW74" s="299" t="e">
        <f t="shared" si="73"/>
        <v>#NUM!</v>
      </c>
      <c r="AX74" s="299" t="e">
        <f t="shared" si="73"/>
        <v>#NUM!</v>
      </c>
      <c r="AY74" s="299" t="e">
        <f t="shared" si="73"/>
        <v>#NUM!</v>
      </c>
      <c r="BE74" s="210"/>
      <c r="BF74" s="210"/>
      <c r="BG74" s="210"/>
      <c r="BH74" s="210"/>
      <c r="BI74" s="210"/>
      <c r="BJ74" s="210"/>
      <c r="BK74" s="210"/>
    </row>
    <row r="75" spans="1:63">
      <c r="A75" s="68" t="s">
        <v>169</v>
      </c>
      <c r="B75" s="249">
        <f>monthly_data!N341</f>
        <v>0.81200000000000006</v>
      </c>
      <c r="C75" s="249">
        <f>monthly_data!N353</f>
        <v>2.512</v>
      </c>
      <c r="D75" s="249">
        <f>monthly_data!N365</f>
        <v>1.0289999999999999</v>
      </c>
      <c r="E75" s="249">
        <f>monthly_data!N377</f>
        <v>2.2189999999999999</v>
      </c>
      <c r="F75" s="249">
        <f>monthly_data!N389</f>
        <v>7.1989999999999998</v>
      </c>
      <c r="G75" s="249">
        <f>monthly_data!N401</f>
        <v>16.646999999999998</v>
      </c>
      <c r="H75" s="249">
        <f>monthly_data!N413</f>
        <v>24.765000000000001</v>
      </c>
      <c r="I75" s="249">
        <f>monthly_data!N425</f>
        <v>10.9</v>
      </c>
      <c r="J75" s="249">
        <f>monthly_data!N437</f>
        <v>24.288</v>
      </c>
      <c r="K75" s="249">
        <f>monthly_data!N449</f>
        <v>16.788</v>
      </c>
      <c r="L75" s="249">
        <f>monthly_data!N461</f>
        <v>46.441000000000003</v>
      </c>
      <c r="M75" s="249">
        <f>monthly_data!N473</f>
        <v>87.676000000000002</v>
      </c>
      <c r="N75" s="249">
        <f>monthly_data!N485</f>
        <v>97.034999999999997</v>
      </c>
      <c r="O75" s="249">
        <f>monthly_data!N497</f>
        <v>110.554</v>
      </c>
      <c r="P75" s="249">
        <f>monthly_data!N509</f>
        <v>103.964</v>
      </c>
      <c r="Q75" s="249">
        <f>monthly_data!N521</f>
        <v>132.66900000000001</v>
      </c>
      <c r="R75" s="249">
        <f>monthly_data!N533</f>
        <v>149.54300000000001</v>
      </c>
      <c r="S75" s="249">
        <f>monthly_data!N545</f>
        <v>157.91</v>
      </c>
      <c r="T75" s="249">
        <f>monthly_data!N557</f>
        <v>158.90199999999999</v>
      </c>
      <c r="U75" s="249">
        <f>monthly_data!N569</f>
        <v>146.559</v>
      </c>
      <c r="V75" s="249">
        <f t="shared" si="74"/>
        <v>143.92027829523803</v>
      </c>
      <c r="W75" s="249">
        <f t="shared" si="74"/>
        <v>130.82231314285718</v>
      </c>
      <c r="X75" s="249">
        <f t="shared" si="74"/>
        <v>139.70600580952384</v>
      </c>
      <c r="Y75" s="249">
        <f t="shared" si="70"/>
        <v>151.07719697333189</v>
      </c>
      <c r="Z75" s="299">
        <f t="shared" si="71"/>
        <v>133.03040411948982</v>
      </c>
      <c r="AA75" s="299">
        <f t="shared" si="72"/>
        <v>103.24777184673522</v>
      </c>
      <c r="AB75" s="299">
        <f t="shared" si="72"/>
        <v>118.78104375195257</v>
      </c>
      <c r="AC75" s="299">
        <f t="shared" si="72"/>
        <v>81.049192486398795</v>
      </c>
      <c r="AD75" s="299">
        <f t="shared" si="72"/>
        <v>100.30216811579926</v>
      </c>
      <c r="AE75" s="299">
        <f t="shared" si="72"/>
        <v>102.27283438014943</v>
      </c>
      <c r="AF75" s="299">
        <f t="shared" si="72"/>
        <v>102.38428726640798</v>
      </c>
      <c r="AG75" s="299">
        <f t="shared" si="72"/>
        <v>110.55307800841952</v>
      </c>
      <c r="AH75" s="299">
        <f t="shared" si="72"/>
        <v>98.060476185240432</v>
      </c>
      <c r="AI75" s="299">
        <f t="shared" si="72"/>
        <v>96.033946430799858</v>
      </c>
      <c r="AJ75" s="299">
        <f t="shared" si="72"/>
        <v>87.667189079437392</v>
      </c>
      <c r="AK75" s="299">
        <f t="shared" si="72"/>
        <v>68.882136033839956</v>
      </c>
      <c r="AL75" s="299">
        <f t="shared" si="72"/>
        <v>41.737269297532769</v>
      </c>
      <c r="AM75" s="299">
        <f t="shared" si="72"/>
        <v>41.742661385835149</v>
      </c>
      <c r="AN75" s="299">
        <f t="shared" si="72"/>
        <v>22.960839903738485</v>
      </c>
      <c r="AO75" s="299" t="e">
        <f t="shared" si="72"/>
        <v>#NUM!</v>
      </c>
      <c r="AP75" s="299" t="e">
        <f t="shared" si="72"/>
        <v>#NUM!</v>
      </c>
      <c r="AQ75" s="299" t="e">
        <f t="shared" si="73"/>
        <v>#NUM!</v>
      </c>
      <c r="AR75" s="299" t="e">
        <f t="shared" si="73"/>
        <v>#NUM!</v>
      </c>
      <c r="AS75" s="299" t="e">
        <f t="shared" si="73"/>
        <v>#NUM!</v>
      </c>
      <c r="AT75" s="299" t="e">
        <f t="shared" si="73"/>
        <v>#NUM!</v>
      </c>
      <c r="AU75" s="299" t="e">
        <f t="shared" si="73"/>
        <v>#NUM!</v>
      </c>
      <c r="AV75" s="299" t="e">
        <f t="shared" si="73"/>
        <v>#NUM!</v>
      </c>
      <c r="AW75" s="299" t="e">
        <f t="shared" si="73"/>
        <v>#NUM!</v>
      </c>
      <c r="AX75" s="299" t="e">
        <f t="shared" si="73"/>
        <v>#NUM!</v>
      </c>
      <c r="AY75" s="299" t="e">
        <f t="shared" si="73"/>
        <v>#NUM!</v>
      </c>
      <c r="BE75" s="210"/>
      <c r="BF75" s="210"/>
      <c r="BG75" s="210"/>
      <c r="BH75" s="210"/>
      <c r="BI75" s="210"/>
      <c r="BJ75" s="210"/>
      <c r="BK75" s="210"/>
    </row>
    <row r="76" spans="1:63">
      <c r="A76" s="68" t="s">
        <v>170</v>
      </c>
      <c r="B76" s="249">
        <f>monthly_data!N342</f>
        <v>0.63200000000000001</v>
      </c>
      <c r="C76" s="249">
        <f>monthly_data!N354</f>
        <v>1.077</v>
      </c>
      <c r="D76" s="249">
        <f>monthly_data!N366</f>
        <v>0.85</v>
      </c>
      <c r="E76" s="249">
        <f>monthly_data!N378</f>
        <v>2.5150000000000001</v>
      </c>
      <c r="F76" s="249">
        <f>monthly_data!N390</f>
        <v>7.4710000000000001</v>
      </c>
      <c r="G76" s="249">
        <f>monthly_data!N402</f>
        <v>16.219000000000001</v>
      </c>
      <c r="H76" s="249">
        <f>monthly_data!N414</f>
        <v>13.634</v>
      </c>
      <c r="I76" s="249">
        <f>monthly_data!N426</f>
        <v>14.019</v>
      </c>
      <c r="J76" s="249">
        <f>monthly_data!N438</f>
        <v>25.111000000000001</v>
      </c>
      <c r="K76" s="249">
        <f>monthly_data!N450</f>
        <v>28.305</v>
      </c>
      <c r="L76" s="249">
        <f>monthly_data!N462</f>
        <v>62.554000000000002</v>
      </c>
      <c r="M76" s="249">
        <f>monthly_data!N474</f>
        <v>90.391999999999996</v>
      </c>
      <c r="N76" s="249">
        <f>monthly_data!N486</f>
        <v>102.143</v>
      </c>
      <c r="O76" s="249">
        <f>monthly_data!N498</f>
        <v>96.555000000000007</v>
      </c>
      <c r="P76" s="249">
        <f>monthly_data!N510</f>
        <v>118.90600000000001</v>
      </c>
      <c r="Q76" s="249">
        <f>monthly_data!N522</f>
        <v>142.27699999999999</v>
      </c>
      <c r="R76" s="249">
        <f>monthly_data!N534</f>
        <v>163.84299999999999</v>
      </c>
      <c r="S76" s="249">
        <f>monthly_data!N546</f>
        <v>155.09899999999999</v>
      </c>
      <c r="T76" s="249">
        <f>monthly_data!N558</f>
        <v>156.29499999999999</v>
      </c>
      <c r="U76" s="249">
        <f>monthly_data!N570</f>
        <v>148.035</v>
      </c>
      <c r="V76" s="249">
        <f t="shared" si="74"/>
        <v>139.28105360476195</v>
      </c>
      <c r="W76" s="249">
        <f t="shared" si="74"/>
        <v>136.12871600000003</v>
      </c>
      <c r="X76" s="249">
        <f t="shared" si="74"/>
        <v>120.38690180952381</v>
      </c>
      <c r="Y76" s="249">
        <f t="shared" si="70"/>
        <v>146.92563545191587</v>
      </c>
      <c r="Z76" s="299">
        <f t="shared" si="71"/>
        <v>129.04604118310718</v>
      </c>
      <c r="AA76" s="299">
        <f t="shared" si="72"/>
        <v>99.288482870853301</v>
      </c>
      <c r="AB76" s="299">
        <f t="shared" si="72"/>
        <v>114.06725409306958</v>
      </c>
      <c r="AC76" s="299">
        <f t="shared" si="72"/>
        <v>76.515340568503575</v>
      </c>
      <c r="AD76" s="299">
        <f t="shared" si="72"/>
        <v>96.656413523265385</v>
      </c>
      <c r="AE76" s="299">
        <f t="shared" si="72"/>
        <v>98.300011983272967</v>
      </c>
      <c r="AF76" s="299">
        <f t="shared" si="72"/>
        <v>98.167552268220149</v>
      </c>
      <c r="AG76" s="299">
        <f t="shared" si="72"/>
        <v>105.93573693853544</v>
      </c>
      <c r="AH76" s="299">
        <f t="shared" si="72"/>
        <v>93.916082345565059</v>
      </c>
      <c r="AI76" s="299">
        <f t="shared" si="72"/>
        <v>92.182466116697213</v>
      </c>
      <c r="AJ76" s="299">
        <f t="shared" si="72"/>
        <v>84.086383956541866</v>
      </c>
      <c r="AK76" s="299">
        <f t="shared" si="72"/>
        <v>66.040132125077932</v>
      </c>
      <c r="AL76" s="299">
        <f t="shared" si="72"/>
        <v>40.014552170354527</v>
      </c>
      <c r="AM76" s="299">
        <f t="shared" si="72"/>
        <v>40.025491139812409</v>
      </c>
      <c r="AN76" s="299">
        <f t="shared" si="72"/>
        <v>22.023846463312569</v>
      </c>
      <c r="AO76" s="299" t="e">
        <f t="shared" si="72"/>
        <v>#NUM!</v>
      </c>
      <c r="AP76" s="299" t="e">
        <f t="shared" si="72"/>
        <v>#NUM!</v>
      </c>
      <c r="AQ76" s="299" t="e">
        <f t="shared" si="73"/>
        <v>#NUM!</v>
      </c>
      <c r="AR76" s="299" t="e">
        <f t="shared" si="73"/>
        <v>#NUM!</v>
      </c>
      <c r="AS76" s="299" t="e">
        <f t="shared" si="73"/>
        <v>#NUM!</v>
      </c>
      <c r="AT76" s="299" t="e">
        <f t="shared" si="73"/>
        <v>#NUM!</v>
      </c>
      <c r="AU76" s="299" t="e">
        <f t="shared" si="73"/>
        <v>#NUM!</v>
      </c>
      <c r="AV76" s="299" t="e">
        <f t="shared" si="73"/>
        <v>#NUM!</v>
      </c>
      <c r="AW76" s="299" t="e">
        <f t="shared" si="73"/>
        <v>#NUM!</v>
      </c>
      <c r="AX76" s="299" t="e">
        <f t="shared" si="73"/>
        <v>#NUM!</v>
      </c>
      <c r="AY76" s="299" t="e">
        <f t="shared" si="73"/>
        <v>#NUM!</v>
      </c>
      <c r="BE76" s="210"/>
      <c r="BF76" s="210"/>
      <c r="BG76" s="210"/>
      <c r="BH76" s="210"/>
      <c r="BI76" s="210"/>
      <c r="BJ76" s="210"/>
      <c r="BK76" s="210"/>
    </row>
    <row r="77" spans="1:63">
      <c r="A77" s="68" t="s">
        <v>171</v>
      </c>
      <c r="B77" s="249">
        <f>monthly_data!N343</f>
        <v>0.72499999999999998</v>
      </c>
      <c r="C77" s="249">
        <f>monthly_data!N355</f>
        <v>1.3149999999999999</v>
      </c>
      <c r="D77" s="249">
        <f>monthly_data!N367</f>
        <v>0.88300000000000001</v>
      </c>
      <c r="E77" s="249">
        <f>monthly_data!N379</f>
        <v>1.974</v>
      </c>
      <c r="F77" s="249">
        <f>monthly_data!N391</f>
        <v>7.61</v>
      </c>
      <c r="G77" s="249">
        <f>monthly_data!N403</f>
        <v>23.234000000000002</v>
      </c>
      <c r="H77" s="249">
        <f>monthly_data!N415</f>
        <v>21.469000000000001</v>
      </c>
      <c r="I77" s="249">
        <f>monthly_data!N427</f>
        <v>17.353000000000002</v>
      </c>
      <c r="J77" s="249">
        <f>monthly_data!N439</f>
        <v>20.414000000000001</v>
      </c>
      <c r="K77" s="249">
        <f>monthly_data!N451</f>
        <v>24.183</v>
      </c>
      <c r="L77" s="249">
        <f>monthly_data!N463</f>
        <v>63.875</v>
      </c>
      <c r="M77" s="249">
        <f>monthly_data!N475</f>
        <v>94.332999999999998</v>
      </c>
      <c r="N77" s="249">
        <f>monthly_data!N487</f>
        <v>106.65600000000001</v>
      </c>
      <c r="O77" s="249">
        <f>monthly_data!N499</f>
        <v>114.39400000000001</v>
      </c>
      <c r="P77" s="249">
        <f>monthly_data!N511</f>
        <v>140.15</v>
      </c>
      <c r="Q77" s="249">
        <f>monthly_data!N523</f>
        <v>179.41900000000001</v>
      </c>
      <c r="R77" s="249">
        <f>monthly_data!N535</f>
        <v>199.417</v>
      </c>
      <c r="S77" s="249">
        <f>monthly_data!N547</f>
        <v>166.83799999999999</v>
      </c>
      <c r="T77" s="249">
        <f>monthly_data!N559</f>
        <v>169.54400000000001</v>
      </c>
      <c r="U77" s="249">
        <f>monthly_data!N571</f>
        <v>147.292</v>
      </c>
      <c r="V77" s="249">
        <f t="shared" si="74"/>
        <v>148.12878072380948</v>
      </c>
      <c r="W77" s="249">
        <f t="shared" si="74"/>
        <v>129.74959399999997</v>
      </c>
      <c r="X77" s="249">
        <f t="shared" si="74"/>
        <v>162.29302780952378</v>
      </c>
      <c r="Y77" s="299">
        <f t="shared" si="70"/>
        <v>158.86238619411176</v>
      </c>
      <c r="Z77" s="299">
        <f t="shared" si="71"/>
        <v>139.42724530135436</v>
      </c>
      <c r="AA77" s="299">
        <f t="shared" si="72"/>
        <v>109.14577315360384</v>
      </c>
      <c r="AB77" s="299">
        <f t="shared" si="72"/>
        <v>126.29090991049358</v>
      </c>
      <c r="AC77" s="299">
        <f t="shared" si="72"/>
        <v>87.346082710815764</v>
      </c>
      <c r="AD77" s="299">
        <f t="shared" si="72"/>
        <v>106.09065860846336</v>
      </c>
      <c r="AE77" s="299">
        <f t="shared" si="72"/>
        <v>108.35304597101873</v>
      </c>
      <c r="AF77" s="299">
        <f t="shared" si="72"/>
        <v>108.77726052630317</v>
      </c>
      <c r="AG77" s="299">
        <f t="shared" si="72"/>
        <v>117.57632958485955</v>
      </c>
      <c r="AH77" s="299">
        <f t="shared" si="72"/>
        <v>104.29722158768341</v>
      </c>
      <c r="AI77" s="299">
        <f t="shared" si="72"/>
        <v>101.92824288131341</v>
      </c>
      <c r="AJ77" s="299">
        <f t="shared" si="72"/>
        <v>93.111263209629044</v>
      </c>
      <c r="AK77" s="299">
        <f t="shared" si="72"/>
        <v>73.197386021362959</v>
      </c>
      <c r="AL77" s="299">
        <f t="shared" si="72"/>
        <v>44.353886270122025</v>
      </c>
      <c r="AM77" s="299">
        <f t="shared" si="72"/>
        <v>44.349787230862852</v>
      </c>
      <c r="AN77" s="299">
        <f t="shared" si="72"/>
        <v>24.387243613330387</v>
      </c>
      <c r="AO77" s="299" t="e">
        <f t="shared" si="72"/>
        <v>#NUM!</v>
      </c>
      <c r="AP77" s="299" t="e">
        <f t="shared" si="72"/>
        <v>#NUM!</v>
      </c>
      <c r="AQ77" s="299" t="e">
        <f t="shared" si="73"/>
        <v>#NUM!</v>
      </c>
      <c r="AR77" s="299" t="e">
        <f t="shared" si="73"/>
        <v>#NUM!</v>
      </c>
      <c r="AS77" s="299" t="e">
        <f t="shared" si="73"/>
        <v>#NUM!</v>
      </c>
      <c r="AT77" s="299" t="e">
        <f t="shared" si="73"/>
        <v>#NUM!</v>
      </c>
      <c r="AU77" s="299" t="e">
        <f t="shared" si="73"/>
        <v>#NUM!</v>
      </c>
      <c r="AV77" s="299" t="e">
        <f t="shared" si="73"/>
        <v>#NUM!</v>
      </c>
      <c r="AW77" s="299" t="e">
        <f t="shared" si="73"/>
        <v>#NUM!</v>
      </c>
      <c r="AX77" s="299" t="e">
        <f t="shared" si="73"/>
        <v>#NUM!</v>
      </c>
      <c r="AY77" s="299" t="e">
        <f t="shared" si="73"/>
        <v>#NUM!</v>
      </c>
      <c r="BE77" s="210"/>
      <c r="BF77" s="210"/>
      <c r="BG77" s="210"/>
      <c r="BH77" s="210"/>
      <c r="BI77" s="210"/>
      <c r="BJ77" s="210"/>
      <c r="BK77" s="210"/>
    </row>
    <row r="78" spans="1:63">
      <c r="A78" s="68" t="s">
        <v>172</v>
      </c>
      <c r="B78" s="249">
        <f>monthly_data!N344</f>
        <v>0.74399999999999999</v>
      </c>
      <c r="C78" s="249">
        <f>monthly_data!N356</f>
        <v>1.3859999999999999</v>
      </c>
      <c r="D78" s="249">
        <f>monthly_data!N368</f>
        <v>0.9</v>
      </c>
      <c r="E78" s="249">
        <f>monthly_data!N380</f>
        <v>1.8720000000000001</v>
      </c>
      <c r="F78" s="249">
        <f>monthly_data!N392</f>
        <v>7.9379999999999997</v>
      </c>
      <c r="G78" s="249">
        <f>monthly_data!N404</f>
        <v>29.751000000000001</v>
      </c>
      <c r="H78" s="249">
        <f>monthly_data!N416</f>
        <v>37.253999999999998</v>
      </c>
      <c r="I78" s="249">
        <f>monthly_data!N428</f>
        <v>6.5629999999999997</v>
      </c>
      <c r="J78" s="249">
        <f>monthly_data!N440</f>
        <v>24.475000000000001</v>
      </c>
      <c r="K78" s="249">
        <f>monthly_data!N452</f>
        <v>18.257000000000001</v>
      </c>
      <c r="L78" s="249">
        <f>monthly_data!N464</f>
        <v>80.63</v>
      </c>
      <c r="M78" s="249">
        <f>monthly_data!N476</f>
        <v>97.662999999999997</v>
      </c>
      <c r="N78" s="249">
        <f>monthly_data!N488</f>
        <v>116.958</v>
      </c>
      <c r="O78" s="249">
        <f>monthly_data!N500</f>
        <v>124.014</v>
      </c>
      <c r="P78" s="249">
        <f>monthly_data!N512</f>
        <v>161.70699999999999</v>
      </c>
      <c r="Q78" s="249">
        <f>monthly_data!N524</f>
        <v>167.14400000000001</v>
      </c>
      <c r="R78" s="249">
        <f>monthly_data!N536</f>
        <v>197.84700000000001</v>
      </c>
      <c r="S78" s="249">
        <f>monthly_data!N548</f>
        <v>177.57</v>
      </c>
      <c r="T78" s="249">
        <f>monthly_data!N560</f>
        <v>159.03899999999999</v>
      </c>
      <c r="U78" s="249">
        <f>monthly_data!N572</f>
        <v>155.78700000000001</v>
      </c>
      <c r="V78" s="249">
        <f t="shared" si="74"/>
        <v>128.60741191904756</v>
      </c>
      <c r="W78" s="249">
        <f t="shared" si="74"/>
        <v>138.76323323809524</v>
      </c>
      <c r="X78" s="249">
        <f t="shared" si="74"/>
        <v>159.97437019047626</v>
      </c>
      <c r="Y78" s="299">
        <f t="shared" si="70"/>
        <v>155.7488844463947</v>
      </c>
      <c r="Z78" s="299">
        <f t="shared" si="71"/>
        <v>138.0364045033528</v>
      </c>
      <c r="AA78" s="299">
        <f t="shared" si="72"/>
        <v>106.5842623782369</v>
      </c>
      <c r="AB78" s="299">
        <f t="shared" si="72"/>
        <v>126.22394894397468</v>
      </c>
      <c r="AC78" s="299">
        <f t="shared" si="72"/>
        <v>86.159981985385627</v>
      </c>
      <c r="AD78" s="299">
        <f t="shared" si="72"/>
        <v>104.66963397990231</v>
      </c>
      <c r="AE78" s="299">
        <f t="shared" si="72"/>
        <v>107.08963952432593</v>
      </c>
      <c r="AF78" s="299">
        <f t="shared" si="72"/>
        <v>107.46134658586547</v>
      </c>
      <c r="AG78" s="299">
        <f t="shared" si="72"/>
        <v>116.42579009930191</v>
      </c>
      <c r="AH78" s="299">
        <f t="shared" si="72"/>
        <v>103.04580013535598</v>
      </c>
      <c r="AI78" s="299">
        <f t="shared" si="72"/>
        <v>100.73106371926249</v>
      </c>
      <c r="AJ78" s="299">
        <f t="shared" si="72"/>
        <v>92.047757715953679</v>
      </c>
      <c r="AK78" s="299">
        <f t="shared" si="72"/>
        <v>72.364928364723241</v>
      </c>
      <c r="AL78" s="299">
        <f t="shared" si="72"/>
        <v>43.856591858334603</v>
      </c>
      <c r="AM78" s="299">
        <f t="shared" si="72"/>
        <v>43.834695935492554</v>
      </c>
      <c r="AN78" s="299">
        <f t="shared" si="72"/>
        <v>24.106741698952998</v>
      </c>
      <c r="AO78" s="299" t="e">
        <f t="shared" si="72"/>
        <v>#NUM!</v>
      </c>
      <c r="AP78" s="299" t="e">
        <f t="shared" si="72"/>
        <v>#NUM!</v>
      </c>
      <c r="AQ78" s="299" t="e">
        <f t="shared" si="73"/>
        <v>#NUM!</v>
      </c>
      <c r="AR78" s="299" t="e">
        <f t="shared" si="73"/>
        <v>#NUM!</v>
      </c>
      <c r="AS78" s="299" t="e">
        <f t="shared" si="73"/>
        <v>#NUM!</v>
      </c>
      <c r="AT78" s="299" t="e">
        <f t="shared" si="73"/>
        <v>#NUM!</v>
      </c>
      <c r="AU78" s="299" t="e">
        <f t="shared" si="73"/>
        <v>#NUM!</v>
      </c>
      <c r="AV78" s="299" t="e">
        <f t="shared" si="73"/>
        <v>#NUM!</v>
      </c>
      <c r="AW78" s="299" t="e">
        <f t="shared" si="73"/>
        <v>#NUM!</v>
      </c>
      <c r="AX78" s="299" t="e">
        <f t="shared" si="73"/>
        <v>#NUM!</v>
      </c>
      <c r="AY78" s="299" t="e">
        <f t="shared" si="73"/>
        <v>#NUM!</v>
      </c>
      <c r="BE78" s="210"/>
      <c r="BF78" s="210"/>
      <c r="BG78" s="210"/>
      <c r="BH78" s="210"/>
      <c r="BI78" s="210"/>
      <c r="BJ78" s="210"/>
      <c r="BK78" s="210"/>
    </row>
    <row r="79" spans="1:63">
      <c r="A79" s="68" t="s">
        <v>173</v>
      </c>
      <c r="B79" s="249">
        <f>monthly_data!N345</f>
        <v>1.1850000000000001</v>
      </c>
      <c r="C79" s="249">
        <f>monthly_data!N357</f>
        <v>1.623</v>
      </c>
      <c r="D79" s="249">
        <f>monthly_data!N369</f>
        <v>0.95299999999999996</v>
      </c>
      <c r="E79" s="249">
        <f>monthly_data!N381</f>
        <v>2.0459999999999998</v>
      </c>
      <c r="F79" s="249">
        <f>monthly_data!N393</f>
        <v>7.0739999999999998</v>
      </c>
      <c r="G79" s="249">
        <f>monthly_data!N405</f>
        <v>21.292999999999999</v>
      </c>
      <c r="H79" s="249">
        <f>monthly_data!N417</f>
        <v>24.786999999999999</v>
      </c>
      <c r="I79" s="249">
        <f>monthly_data!N429</f>
        <v>28.542999999999999</v>
      </c>
      <c r="J79" s="249">
        <f>monthly_data!N441</f>
        <v>23.472999999999999</v>
      </c>
      <c r="K79" s="249">
        <f>monthly_data!N453</f>
        <v>26.146000000000001</v>
      </c>
      <c r="L79" s="249">
        <f>monthly_data!N465</f>
        <v>78.814999999999998</v>
      </c>
      <c r="M79" s="249">
        <f>monthly_data!N477</f>
        <v>82.010999999999996</v>
      </c>
      <c r="N79" s="249">
        <f>monthly_data!N489</f>
        <v>117.73399999999999</v>
      </c>
      <c r="O79" s="249">
        <f>monthly_data!N501</f>
        <v>117.93300000000001</v>
      </c>
      <c r="P79" s="249">
        <f>monthly_data!N513</f>
        <v>144.64099999999999</v>
      </c>
      <c r="Q79" s="249">
        <f>monthly_data!N525</f>
        <v>211.90799999999999</v>
      </c>
      <c r="R79" s="249">
        <f>monthly_data!N537</f>
        <v>185.81800000000001</v>
      </c>
      <c r="S79" s="249">
        <f>monthly_data!N549</f>
        <v>166.559</v>
      </c>
      <c r="T79" s="249">
        <f>monthly_data!N561</f>
        <v>169.62</v>
      </c>
      <c r="U79" s="249">
        <f>monthly_data!N573</f>
        <v>178.852</v>
      </c>
      <c r="V79" s="249">
        <f t="shared" si="74"/>
        <v>139.10104099999995</v>
      </c>
      <c r="W79" s="249">
        <f t="shared" si="74"/>
        <v>133.81812676190481</v>
      </c>
      <c r="X79" s="249">
        <f t="shared" si="74"/>
        <v>150.47132276190476</v>
      </c>
      <c r="Y79" s="299">
        <f t="shared" si="70"/>
        <v>161.97981241397841</v>
      </c>
      <c r="Z79" s="299">
        <f t="shared" si="71"/>
        <v>142.77063998841098</v>
      </c>
      <c r="AA79" s="299">
        <f t="shared" si="72"/>
        <v>107.62044646674573</v>
      </c>
      <c r="AB79" s="299">
        <f t="shared" si="72"/>
        <v>125.78217752250524</v>
      </c>
      <c r="AC79" s="299">
        <f t="shared" si="72"/>
        <v>86.418063498665731</v>
      </c>
      <c r="AD79" s="299">
        <f t="shared" si="72"/>
        <v>106.6883085933619</v>
      </c>
      <c r="AE79" s="299">
        <f t="shared" si="72"/>
        <v>108.53969714947388</v>
      </c>
      <c r="AF79" s="299">
        <f t="shared" si="72"/>
        <v>108.33630565416064</v>
      </c>
      <c r="AG79" s="299">
        <f t="shared" si="72"/>
        <v>117.33686478579699</v>
      </c>
      <c r="AH79" s="299">
        <f t="shared" si="72"/>
        <v>104.13447170180075</v>
      </c>
      <c r="AI79" s="299">
        <f t="shared" si="72"/>
        <v>101.91723497028997</v>
      </c>
      <c r="AJ79" s="299">
        <f t="shared" si="72"/>
        <v>92.996361143376788</v>
      </c>
      <c r="AK79" s="299">
        <f t="shared" si="72"/>
        <v>73.062450896325018</v>
      </c>
      <c r="AL79" s="299">
        <f t="shared" si="72"/>
        <v>44.293880859510359</v>
      </c>
      <c r="AM79" s="299">
        <f t="shared" si="72"/>
        <v>44.29834037992584</v>
      </c>
      <c r="AN79" s="299">
        <f t="shared" si="72"/>
        <v>24.361807147476444</v>
      </c>
      <c r="AO79" s="299" t="e">
        <f t="shared" si="72"/>
        <v>#NUM!</v>
      </c>
      <c r="AP79" s="299" t="e">
        <f t="shared" si="72"/>
        <v>#NUM!</v>
      </c>
      <c r="AQ79" s="299" t="e">
        <f t="shared" si="73"/>
        <v>#NUM!</v>
      </c>
      <c r="AR79" s="299" t="e">
        <f t="shared" si="73"/>
        <v>#NUM!</v>
      </c>
      <c r="AS79" s="299" t="e">
        <f t="shared" si="73"/>
        <v>#NUM!</v>
      </c>
      <c r="AT79" s="299" t="e">
        <f t="shared" si="73"/>
        <v>#NUM!</v>
      </c>
      <c r="AU79" s="299" t="e">
        <f t="shared" si="73"/>
        <v>#NUM!</v>
      </c>
      <c r="AV79" s="299" t="e">
        <f t="shared" si="73"/>
        <v>#NUM!</v>
      </c>
      <c r="AW79" s="299" t="e">
        <f t="shared" si="73"/>
        <v>#NUM!</v>
      </c>
      <c r="AX79" s="299" t="e">
        <f t="shared" si="73"/>
        <v>#NUM!</v>
      </c>
      <c r="AY79" s="299" t="e">
        <f t="shared" si="73"/>
        <v>#NUM!</v>
      </c>
      <c r="BE79" s="210"/>
      <c r="BF79" s="210"/>
      <c r="BG79" s="210"/>
      <c r="BH79" s="210"/>
      <c r="BI79" s="210"/>
      <c r="BJ79" s="210"/>
      <c r="BK79" s="210"/>
    </row>
    <row r="80" spans="1:63">
      <c r="A80" s="68" t="s">
        <v>174</v>
      </c>
      <c r="B80" s="249">
        <f>monthly_data!N346</f>
        <v>0.70299999999999996</v>
      </c>
      <c r="C80" s="249">
        <f>monthly_data!N358</f>
        <v>0.996</v>
      </c>
      <c r="D80" s="249">
        <f>monthly_data!N370</f>
        <v>1.2709999999999999</v>
      </c>
      <c r="E80" s="249">
        <f>monthly_data!N382</f>
        <v>1.8640000000000001</v>
      </c>
      <c r="F80" s="249">
        <f>monthly_data!N394</f>
        <v>8.5310000000000006</v>
      </c>
      <c r="G80" s="249">
        <f>monthly_data!N406</f>
        <v>27.891999999999999</v>
      </c>
      <c r="H80" s="249">
        <f>monthly_data!N418</f>
        <v>44.268000000000001</v>
      </c>
      <c r="I80" s="249">
        <f>monthly_data!N430</f>
        <v>37.783000000000001</v>
      </c>
      <c r="J80" s="249">
        <f>monthly_data!N442</f>
        <v>33.222999999999999</v>
      </c>
      <c r="K80" s="249">
        <f>monthly_data!N454</f>
        <v>22.396999999999998</v>
      </c>
      <c r="L80" s="249">
        <f>monthly_data!N466</f>
        <v>91.572999999999993</v>
      </c>
      <c r="M80" s="249">
        <f>monthly_data!N478</f>
        <v>87.305000000000007</v>
      </c>
      <c r="N80" s="249">
        <f>monthly_data!N490</f>
        <v>122.56399999999999</v>
      </c>
      <c r="O80" s="249">
        <f>monthly_data!N502</f>
        <v>151.07400000000001</v>
      </c>
      <c r="P80" s="249">
        <f>monthly_data!N514</f>
        <v>154.97200000000001</v>
      </c>
      <c r="Q80" s="249">
        <f>monthly_data!N526</f>
        <v>218.434</v>
      </c>
      <c r="R80" s="249">
        <f>monthly_data!N538</f>
        <v>201.73500000000001</v>
      </c>
      <c r="S80" s="249">
        <f>monthly_data!N550</f>
        <v>186.364</v>
      </c>
      <c r="T80" s="249">
        <f>monthly_data!N562</f>
        <v>162.322</v>
      </c>
      <c r="U80" s="249">
        <f>monthly_data!N574</f>
        <v>164.20099999999999</v>
      </c>
      <c r="V80" s="249">
        <f t="shared" si="74"/>
        <v>146.91506513333334</v>
      </c>
      <c r="W80" s="249">
        <f t="shared" si="74"/>
        <v>136.03175333333326</v>
      </c>
      <c r="X80" s="249">
        <f t="shared" si="74"/>
        <v>150.55711809523808</v>
      </c>
      <c r="Y80" s="299">
        <f t="shared" si="70"/>
        <v>159.4960528919114</v>
      </c>
      <c r="Z80" s="299">
        <f t="shared" si="71"/>
        <v>141.45893079618719</v>
      </c>
      <c r="AA80" s="299">
        <f t="shared" si="72"/>
        <v>108.55425405847667</v>
      </c>
      <c r="AB80" s="299">
        <f t="shared" si="72"/>
        <v>125.68066510936686</v>
      </c>
      <c r="AC80" s="299">
        <f t="shared" si="72"/>
        <v>86.056970495706068</v>
      </c>
      <c r="AD80" s="299">
        <f t="shared" si="72"/>
        <v>106.12046235188296</v>
      </c>
      <c r="AE80" s="299">
        <f t="shared" si="72"/>
        <v>108.27117843490025</v>
      </c>
      <c r="AF80" s="299">
        <f t="shared" si="72"/>
        <v>108.2623677358112</v>
      </c>
      <c r="AG80" s="299">
        <f t="shared" si="72"/>
        <v>117.03618652382796</v>
      </c>
      <c r="AH80" s="299">
        <f t="shared" si="72"/>
        <v>103.8240200860506</v>
      </c>
      <c r="AI80" s="299">
        <f t="shared" si="72"/>
        <v>101.63273941501527</v>
      </c>
      <c r="AJ80" s="299">
        <f t="shared" si="72"/>
        <v>92.783248656620586</v>
      </c>
      <c r="AK80" s="299">
        <f t="shared" si="72"/>
        <v>72.897774513804833</v>
      </c>
      <c r="AL80" s="299">
        <f t="shared" si="72"/>
        <v>44.178639746182739</v>
      </c>
      <c r="AM80" s="299">
        <f t="shared" si="72"/>
        <v>44.182598129539784</v>
      </c>
      <c r="AN80" s="299">
        <f t="shared" si="72"/>
        <v>24.300776429023575</v>
      </c>
      <c r="AO80" s="299" t="e">
        <f t="shared" si="72"/>
        <v>#NUM!</v>
      </c>
      <c r="AP80" s="299" t="e">
        <f t="shared" si="72"/>
        <v>#NUM!</v>
      </c>
      <c r="AQ80" s="299" t="e">
        <f t="shared" si="73"/>
        <v>#NUM!</v>
      </c>
      <c r="AR80" s="299" t="e">
        <f t="shared" si="73"/>
        <v>#NUM!</v>
      </c>
      <c r="AS80" s="299" t="e">
        <f t="shared" si="73"/>
        <v>#NUM!</v>
      </c>
      <c r="AT80" s="299" t="e">
        <f t="shared" si="73"/>
        <v>#NUM!</v>
      </c>
      <c r="AU80" s="299" t="e">
        <f t="shared" si="73"/>
        <v>#NUM!</v>
      </c>
      <c r="AV80" s="299" t="e">
        <f t="shared" si="73"/>
        <v>#NUM!</v>
      </c>
      <c r="AW80" s="299" t="e">
        <f t="shared" si="73"/>
        <v>#NUM!</v>
      </c>
      <c r="AX80" s="299" t="e">
        <f t="shared" si="73"/>
        <v>#NUM!</v>
      </c>
      <c r="AY80" s="299" t="e">
        <f t="shared" si="73"/>
        <v>#NUM!</v>
      </c>
      <c r="BE80" s="210"/>
      <c r="BF80" s="210"/>
      <c r="BG80" s="210"/>
      <c r="BH80" s="210"/>
      <c r="BI80" s="210"/>
      <c r="BJ80" s="210"/>
      <c r="BK80" s="210"/>
    </row>
    <row r="81" spans="1:63">
      <c r="A81" s="68" t="s">
        <v>175</v>
      </c>
      <c r="B81" s="249">
        <f>monthly_data!N347</f>
        <v>1.018</v>
      </c>
      <c r="C81" s="249">
        <f>monthly_data!N359</f>
        <v>0.999</v>
      </c>
      <c r="D81" s="249">
        <f>monthly_data!N371</f>
        <v>1.5069999999999999</v>
      </c>
      <c r="E81" s="249">
        <f>monthly_data!N383</f>
        <v>2.194</v>
      </c>
      <c r="F81" s="249">
        <f>monthly_data!N395</f>
        <v>7.4240000000000004</v>
      </c>
      <c r="G81" s="249">
        <f>monthly_data!N407</f>
        <v>26.161999999999999</v>
      </c>
      <c r="H81" s="249">
        <f>monthly_data!N419</f>
        <v>42.045999999999999</v>
      </c>
      <c r="I81" s="249">
        <f>monthly_data!N431</f>
        <v>39.408000000000001</v>
      </c>
      <c r="J81" s="249">
        <f>monthly_data!N443</f>
        <v>43.654000000000003</v>
      </c>
      <c r="K81" s="249">
        <f>monthly_data!N455</f>
        <v>31.388000000000002</v>
      </c>
      <c r="L81" s="249">
        <f>monthly_data!N467</f>
        <v>99.486000000000004</v>
      </c>
      <c r="M81" s="249">
        <f>monthly_data!N479</f>
        <v>72.448999999999998</v>
      </c>
      <c r="N81" s="249">
        <f>monthly_data!N491</f>
        <v>140.10300000000001</v>
      </c>
      <c r="O81" s="249">
        <f>monthly_data!N503</f>
        <v>145.41200000000001</v>
      </c>
      <c r="P81" s="249">
        <f>monthly_data!N515</f>
        <v>153.40100000000001</v>
      </c>
      <c r="Q81" s="249">
        <f>monthly_data!N527</f>
        <v>207.03800000000001</v>
      </c>
      <c r="R81" s="249">
        <f>monthly_data!N539</f>
        <v>173.00899999999999</v>
      </c>
      <c r="S81" s="249">
        <f>monthly_data!N551</f>
        <v>170.26300000000001</v>
      </c>
      <c r="T81" s="249">
        <f>monthly_data!N563</f>
        <v>150.08799999999999</v>
      </c>
      <c r="U81" s="249">
        <f>monthly_data!N575</f>
        <v>170.761</v>
      </c>
      <c r="V81" s="249">
        <f t="shared" si="74"/>
        <v>129.52903065238098</v>
      </c>
      <c r="W81" s="249">
        <f t="shared" si="74"/>
        <v>126.0955971428572</v>
      </c>
      <c r="X81" s="249">
        <f t="shared" si="74"/>
        <v>157.27135447619045</v>
      </c>
      <c r="Y81" s="299">
        <f t="shared" si="70"/>
        <v>153.98063262196791</v>
      </c>
      <c r="Z81" s="299">
        <f t="shared" si="71"/>
        <v>137.80413624807329</v>
      </c>
      <c r="AA81" s="299">
        <f t="shared" si="72"/>
        <v>104.15299097121824</v>
      </c>
      <c r="AB81" s="299">
        <f t="shared" si="72"/>
        <v>122.6486134970616</v>
      </c>
      <c r="AC81" s="299">
        <f t="shared" si="72"/>
        <v>84.815925938917147</v>
      </c>
      <c r="AD81" s="299">
        <f t="shared" si="72"/>
        <v>103.07227888009761</v>
      </c>
      <c r="AE81" s="299">
        <f t="shared" si="72"/>
        <v>105.33931257289116</v>
      </c>
      <c r="AF81" s="299">
        <f t="shared" si="72"/>
        <v>105.29515277334337</v>
      </c>
      <c r="AG81" s="299">
        <f t="shared" si="72"/>
        <v>114.1408183227375</v>
      </c>
      <c r="AH81" s="299">
        <f t="shared" si="72"/>
        <v>101.2402687350226</v>
      </c>
      <c r="AI81" s="299">
        <f t="shared" si="72"/>
        <v>98.935122923041661</v>
      </c>
      <c r="AJ81" s="299">
        <f t="shared" si="72"/>
        <v>90.360362146457092</v>
      </c>
      <c r="AK81" s="299">
        <f t="shared" si="72"/>
        <v>71.008721188691453</v>
      </c>
      <c r="AL81" s="299">
        <f t="shared" si="72"/>
        <v>43.048442834022651</v>
      </c>
      <c r="AM81" s="299">
        <f t="shared" si="72"/>
        <v>43.04179976885483</v>
      </c>
      <c r="AN81" s="299">
        <f t="shared" si="72"/>
        <v>23.666701474979781</v>
      </c>
      <c r="AO81" s="299" t="e">
        <f t="shared" si="72"/>
        <v>#NUM!</v>
      </c>
      <c r="AP81" s="299" t="e">
        <f t="shared" si="72"/>
        <v>#NUM!</v>
      </c>
      <c r="AQ81" s="299" t="e">
        <f t="shared" si="73"/>
        <v>#NUM!</v>
      </c>
      <c r="AR81" s="299" t="e">
        <f t="shared" si="73"/>
        <v>#NUM!</v>
      </c>
      <c r="AS81" s="299" t="e">
        <f t="shared" si="73"/>
        <v>#NUM!</v>
      </c>
      <c r="AT81" s="299" t="e">
        <f t="shared" si="73"/>
        <v>#NUM!</v>
      </c>
      <c r="AU81" s="299" t="e">
        <f t="shared" si="73"/>
        <v>#NUM!</v>
      </c>
      <c r="AV81" s="299" t="e">
        <f t="shared" si="73"/>
        <v>#NUM!</v>
      </c>
      <c r="AW81" s="299" t="e">
        <f t="shared" si="73"/>
        <v>#NUM!</v>
      </c>
      <c r="AX81" s="299" t="e">
        <f t="shared" si="73"/>
        <v>#NUM!</v>
      </c>
      <c r="AY81" s="299" t="e">
        <f t="shared" si="73"/>
        <v>#NUM!</v>
      </c>
      <c r="BE81" s="210"/>
      <c r="BF81" s="210"/>
      <c r="BG81" s="210"/>
      <c r="BH81" s="210"/>
      <c r="BI81" s="210"/>
      <c r="BJ81" s="210"/>
      <c r="BK81" s="210"/>
    </row>
    <row r="82" spans="1:63">
      <c r="A82" s="68" t="s">
        <v>176</v>
      </c>
      <c r="B82" s="249">
        <f>monthly_data!N348</f>
        <v>1.1499999999999999</v>
      </c>
      <c r="C82" s="249">
        <f>monthly_data!N360</f>
        <v>1.0580000000000001</v>
      </c>
      <c r="D82" s="249">
        <f>monthly_data!N372</f>
        <v>0.96799999999999997</v>
      </c>
      <c r="E82" s="249">
        <f>monthly_data!N384</f>
        <v>2.399</v>
      </c>
      <c r="F82" s="249">
        <f>monthly_data!N396</f>
        <v>6.335</v>
      </c>
      <c r="G82" s="249">
        <f>monthly_data!N408</f>
        <v>24.934999999999999</v>
      </c>
      <c r="H82" s="249">
        <f>monthly_data!N420</f>
        <v>43.167000000000002</v>
      </c>
      <c r="I82" s="249">
        <f>monthly_data!N432</f>
        <v>34.957000000000001</v>
      </c>
      <c r="J82" s="249">
        <f>monthly_data!N444</f>
        <v>44.857999999999997</v>
      </c>
      <c r="K82" s="249">
        <f>monthly_data!N456</f>
        <v>24.780999999999999</v>
      </c>
      <c r="L82" s="249">
        <f>monthly_data!N468</f>
        <v>89.742999999999995</v>
      </c>
      <c r="M82" s="249">
        <f>monthly_data!N480</f>
        <v>63.677999999999997</v>
      </c>
      <c r="N82" s="249">
        <f>monthly_data!N492</f>
        <v>170.553</v>
      </c>
      <c r="O82" s="249">
        <f>monthly_data!N504</f>
        <v>128.03200000000001</v>
      </c>
      <c r="P82" s="249">
        <f>monthly_data!N516</f>
        <v>133.93700000000001</v>
      </c>
      <c r="Q82" s="249">
        <f>monthly_data!N528</f>
        <v>196.488</v>
      </c>
      <c r="R82" s="249">
        <f>monthly_data!N540</f>
        <v>169.98</v>
      </c>
      <c r="S82" s="249">
        <f>monthly_data!N552</f>
        <v>170.434</v>
      </c>
      <c r="T82" s="249">
        <f>monthly_data!N564</f>
        <v>149.52699999999999</v>
      </c>
      <c r="U82" s="249">
        <f>monthly_data!N576</f>
        <v>161.84200000000001</v>
      </c>
      <c r="V82" s="249">
        <f t="shared" si="74"/>
        <v>143.48321896190481</v>
      </c>
      <c r="W82" s="249">
        <f t="shared" si="74"/>
        <v>138.12285266666669</v>
      </c>
      <c r="X82" s="249">
        <f t="shared" si="74"/>
        <v>157.12862971428572</v>
      </c>
      <c r="Y82" s="299">
        <f t="shared" si="70"/>
        <v>157.41360452959975</v>
      </c>
      <c r="Z82" s="299">
        <f t="shared" si="71"/>
        <v>141.60638947386451</v>
      </c>
      <c r="AA82" s="299">
        <f t="shared" si="72"/>
        <v>109.04137511761439</v>
      </c>
      <c r="AB82" s="299">
        <f t="shared" si="72"/>
        <v>126.98328840669204</v>
      </c>
      <c r="AC82" s="299">
        <f t="shared" si="72"/>
        <v>86.863426800575468</v>
      </c>
      <c r="AD82" s="299">
        <f t="shared" si="72"/>
        <v>106.23340942263565</v>
      </c>
      <c r="AE82" s="299">
        <f t="shared" si="72"/>
        <v>108.81582323676155</v>
      </c>
      <c r="AF82" s="299">
        <f t="shared" si="72"/>
        <v>108.92119349681683</v>
      </c>
      <c r="AG82" s="299">
        <f t="shared" si="72"/>
        <v>117.78639872836578</v>
      </c>
      <c r="AH82" s="299">
        <f t="shared" si="72"/>
        <v>104.39139424034579</v>
      </c>
      <c r="AI82" s="299">
        <f t="shared" si="72"/>
        <v>102.12527674693732</v>
      </c>
      <c r="AJ82" s="299">
        <f t="shared" si="72"/>
        <v>93.301982093719445</v>
      </c>
      <c r="AK82" s="299">
        <f t="shared" si="72"/>
        <v>73.31378099200046</v>
      </c>
      <c r="AL82" s="299">
        <f t="shared" si="72"/>
        <v>44.42704369243156</v>
      </c>
      <c r="AM82" s="299">
        <f t="shared" si="72"/>
        <v>44.421221038876013</v>
      </c>
      <c r="AN82" s="299">
        <f t="shared" si="72"/>
        <v>24.431567392569018</v>
      </c>
      <c r="AO82" s="299" t="e">
        <f t="shared" si="72"/>
        <v>#NUM!</v>
      </c>
      <c r="AP82" s="299" t="e">
        <f t="shared" si="72"/>
        <v>#NUM!</v>
      </c>
      <c r="AQ82" s="299" t="e">
        <f t="shared" si="73"/>
        <v>#NUM!</v>
      </c>
      <c r="AR82" s="299" t="e">
        <f t="shared" si="73"/>
        <v>#NUM!</v>
      </c>
      <c r="AS82" s="299" t="e">
        <f t="shared" si="73"/>
        <v>#NUM!</v>
      </c>
      <c r="AT82" s="299" t="e">
        <f t="shared" si="73"/>
        <v>#NUM!</v>
      </c>
      <c r="AU82" s="299" t="e">
        <f t="shared" si="73"/>
        <v>#NUM!</v>
      </c>
      <c r="AV82" s="299" t="e">
        <f t="shared" si="73"/>
        <v>#NUM!</v>
      </c>
      <c r="AW82" s="299" t="e">
        <f t="shared" si="73"/>
        <v>#NUM!</v>
      </c>
      <c r="AX82" s="299" t="e">
        <f t="shared" si="73"/>
        <v>#NUM!</v>
      </c>
      <c r="AY82" s="299" t="e">
        <f t="shared" si="73"/>
        <v>#NUM!</v>
      </c>
      <c r="BE82" s="210"/>
      <c r="BF82" s="210"/>
      <c r="BG82" s="210"/>
      <c r="BH82" s="210"/>
      <c r="BI82" s="210"/>
      <c r="BJ82" s="210"/>
      <c r="BK82" s="210"/>
    </row>
    <row r="83" spans="1:63">
      <c r="A83" s="68" t="s">
        <v>177</v>
      </c>
      <c r="B83" s="249">
        <f>monthly_data!N349</f>
        <v>1.367</v>
      </c>
      <c r="C83" s="249">
        <f>monthly_data!N361</f>
        <v>1.1279999999999999</v>
      </c>
      <c r="D83" s="249">
        <f>monthly_data!N373</f>
        <v>1.992</v>
      </c>
      <c r="E83" s="249">
        <f>monthly_data!N385</f>
        <v>2.2170000000000001</v>
      </c>
      <c r="F83" s="249">
        <f>monthly_data!N397</f>
        <v>7.9960000000000004</v>
      </c>
      <c r="G83" s="249">
        <f>monthly_data!N409</f>
        <v>24.193999999999999</v>
      </c>
      <c r="H83" s="249">
        <f>monthly_data!N421</f>
        <v>10.459</v>
      </c>
      <c r="I83" s="249">
        <f>monthly_data!N433</f>
        <v>35.685000000000002</v>
      </c>
      <c r="J83" s="249">
        <f>monthly_data!N445</f>
        <v>33.585999999999999</v>
      </c>
      <c r="K83" s="249">
        <f>monthly_data!N457</f>
        <v>19.917000000000002</v>
      </c>
      <c r="L83" s="249">
        <f>monthly_data!N469</f>
        <v>104.965</v>
      </c>
      <c r="M83" s="249">
        <f>monthly_data!N481</f>
        <v>68.052999999999997</v>
      </c>
      <c r="N83" s="249">
        <f>monthly_data!N493</f>
        <v>144.303</v>
      </c>
      <c r="O83" s="249">
        <f>monthly_data!N505</f>
        <v>129.809</v>
      </c>
      <c r="P83" s="249">
        <f>monthly_data!N517</f>
        <v>109.864</v>
      </c>
      <c r="Q83" s="249">
        <f>monthly_data!N529</f>
        <v>202.648</v>
      </c>
      <c r="R83" s="249">
        <f>monthly_data!N541</f>
        <v>165.803</v>
      </c>
      <c r="S83" s="249">
        <f>monthly_data!N553</f>
        <v>157.67699999999999</v>
      </c>
      <c r="T83" s="249">
        <f>monthly_data!N565</f>
        <v>136.33199999999999</v>
      </c>
      <c r="U83" s="249">
        <f>monthly_data!N577</f>
        <v>154.26</v>
      </c>
      <c r="V83" s="249">
        <f t="shared" si="74"/>
        <v>136.17185371428567</v>
      </c>
      <c r="W83" s="249">
        <f t="shared" si="74"/>
        <v>140.44734000000003</v>
      </c>
      <c r="X83" s="249">
        <f t="shared" si="74"/>
        <v>143.65377400000003</v>
      </c>
      <c r="Y83" s="299">
        <f t="shared" si="70"/>
        <v>149.17912910094563</v>
      </c>
      <c r="Z83" s="299">
        <f t="shared" si="71"/>
        <v>135.20259593637724</v>
      </c>
      <c r="AA83" s="299">
        <f t="shared" si="72"/>
        <v>104.1491394977112</v>
      </c>
      <c r="AB83" s="299">
        <f t="shared" si="72"/>
        <v>121.44385011515955</v>
      </c>
      <c r="AC83" s="299">
        <f t="shared" si="72"/>
        <v>82.026295185214039</v>
      </c>
      <c r="AD83" s="299">
        <f t="shared" si="72"/>
        <v>101.12472765871733</v>
      </c>
      <c r="AE83" s="299">
        <f t="shared" si="72"/>
        <v>103.70966463527543</v>
      </c>
      <c r="AF83" s="299">
        <f t="shared" si="72"/>
        <v>103.76128172525537</v>
      </c>
      <c r="AG83" s="299">
        <f t="shared" si="72"/>
        <v>112.14664637991716</v>
      </c>
      <c r="AH83" s="299">
        <f t="shared" si="72"/>
        <v>99.286239212041309</v>
      </c>
      <c r="AI83" s="299">
        <f t="shared" si="72"/>
        <v>97.241112772827236</v>
      </c>
      <c r="AJ83" s="299">
        <f t="shared" si="72"/>
        <v>88.844621633046287</v>
      </c>
      <c r="AK83" s="299">
        <f t="shared" si="72"/>
        <v>69.79846732853116</v>
      </c>
      <c r="AL83" s="299">
        <f t="shared" si="72"/>
        <v>42.291139124557752</v>
      </c>
      <c r="AM83" s="299">
        <f t="shared" si="72"/>
        <v>42.283146816064225</v>
      </c>
      <c r="AN83" s="299">
        <f t="shared" si="72"/>
        <v>23.261138909473875</v>
      </c>
      <c r="AO83" s="299" t="e">
        <f t="shared" si="72"/>
        <v>#NUM!</v>
      </c>
      <c r="AP83" s="299" t="e">
        <f t="shared" si="72"/>
        <v>#NUM!</v>
      </c>
      <c r="AQ83" s="299" t="e">
        <f t="shared" si="73"/>
        <v>#NUM!</v>
      </c>
      <c r="AR83" s="299" t="e">
        <f t="shared" si="73"/>
        <v>#NUM!</v>
      </c>
      <c r="AS83" s="299" t="e">
        <f t="shared" si="73"/>
        <v>#NUM!</v>
      </c>
      <c r="AT83" s="299" t="e">
        <f t="shared" si="73"/>
        <v>#NUM!</v>
      </c>
      <c r="AU83" s="299" t="e">
        <f t="shared" si="73"/>
        <v>#NUM!</v>
      </c>
      <c r="AV83" s="299" t="e">
        <f t="shared" si="73"/>
        <v>#NUM!</v>
      </c>
      <c r="AW83" s="299" t="e">
        <f t="shared" si="73"/>
        <v>#NUM!</v>
      </c>
      <c r="AX83" s="299" t="e">
        <f t="shared" si="73"/>
        <v>#NUM!</v>
      </c>
      <c r="AY83" s="299" t="e">
        <f t="shared" si="73"/>
        <v>#NUM!</v>
      </c>
      <c r="BE83" s="210"/>
      <c r="BF83" s="210"/>
      <c r="BG83" s="210"/>
      <c r="BH83" s="210"/>
      <c r="BI83" s="210"/>
      <c r="BJ83" s="210"/>
      <c r="BK83" s="210"/>
    </row>
    <row r="84" spans="1:63">
      <c r="A84" s="68" t="s">
        <v>178</v>
      </c>
      <c r="B84" s="249">
        <f>monthly_data!N350</f>
        <v>0.71199999999999997</v>
      </c>
      <c r="C84" s="249">
        <f>monthly_data!N362</f>
        <v>1.109</v>
      </c>
      <c r="D84" s="249">
        <f>monthly_data!N374</f>
        <v>0.92300000000000004</v>
      </c>
      <c r="E84" s="249">
        <f>monthly_data!N386</f>
        <v>2.2810000000000001</v>
      </c>
      <c r="F84" s="249">
        <f>monthly_data!N398</f>
        <v>7.1959999999999997</v>
      </c>
      <c r="G84" s="249">
        <f>monthly_data!N410</f>
        <v>28.670999999999999</v>
      </c>
      <c r="H84" s="249">
        <f>monthly_data!N422</f>
        <v>34.332999999999998</v>
      </c>
      <c r="I84" s="249">
        <f>monthly_data!N434</f>
        <v>28.437000000000001</v>
      </c>
      <c r="J84" s="249">
        <f>monthly_data!N446</f>
        <v>42.366</v>
      </c>
      <c r="K84" s="249">
        <f>monthly_data!N458</f>
        <v>21.61</v>
      </c>
      <c r="L84" s="249">
        <f>monthly_data!N470</f>
        <v>111.988</v>
      </c>
      <c r="M84" s="249">
        <f>monthly_data!N482</f>
        <v>50.84</v>
      </c>
      <c r="N84" s="249">
        <f>monthly_data!N494</f>
        <v>170.35300000000001</v>
      </c>
      <c r="O84" s="249">
        <f>monthly_data!N506</f>
        <v>142.863</v>
      </c>
      <c r="P84" s="249">
        <f>monthly_data!N518</f>
        <v>133.30699999999999</v>
      </c>
      <c r="Q84" s="249">
        <f>monthly_data!N530</f>
        <v>207.024</v>
      </c>
      <c r="R84" s="249">
        <f>monthly_data!N542</f>
        <v>165.87200000000001</v>
      </c>
      <c r="S84" s="249">
        <f>monthly_data!N554</f>
        <v>160.904</v>
      </c>
      <c r="T84" s="249">
        <f>monthly_data!N566</f>
        <v>146.72</v>
      </c>
      <c r="U84" s="249">
        <f>monthly_data!N578</f>
        <v>174.114</v>
      </c>
      <c r="V84" s="249">
        <f t="shared" si="74"/>
        <v>138.8811865714286</v>
      </c>
      <c r="W84" s="249">
        <f t="shared" si="74"/>
        <v>117.87093876190477</v>
      </c>
      <c r="X84" s="249">
        <f t="shared" si="74"/>
        <v>139.34577704761904</v>
      </c>
      <c r="Y84" s="299">
        <f>Y85-SUM(Y73:Y83)</f>
        <v>150.4523104658906</v>
      </c>
      <c r="Z84" s="299">
        <f t="shared" ref="Z84:AH84" si="75">Z85-SUM(Z73:Z83)</f>
        <v>134.63319571983789</v>
      </c>
      <c r="AA84" s="299">
        <f t="shared" si="75"/>
        <v>100.68004452692367</v>
      </c>
      <c r="AB84" s="299">
        <f t="shared" si="75"/>
        <v>116.0905881583169</v>
      </c>
      <c r="AC84" s="299">
        <f t="shared" si="75"/>
        <v>80.466837877702574</v>
      </c>
      <c r="AD84" s="299">
        <f t="shared" si="75"/>
        <v>99.471540512228785</v>
      </c>
      <c r="AE84" s="299">
        <f t="shared" si="75"/>
        <v>101.3064907897101</v>
      </c>
      <c r="AF84" s="299">
        <f t="shared" si="75"/>
        <v>100.83784955115379</v>
      </c>
      <c r="AG84" s="299">
        <f t="shared" si="75"/>
        <v>109.10407134348338</v>
      </c>
      <c r="AH84" s="299">
        <f t="shared" si="75"/>
        <v>96.999071989458344</v>
      </c>
      <c r="AI84" s="299">
        <f t="shared" ref="AI84:AY84" si="76">AI85-SUM(AI73:AI83)</f>
        <v>94.939329725843891</v>
      </c>
      <c r="AJ84" s="299">
        <f t="shared" si="76"/>
        <v>86.614123617972496</v>
      </c>
      <c r="AK84" s="299">
        <f t="shared" si="76"/>
        <v>68.018214031734601</v>
      </c>
      <c r="AL84" s="299">
        <f t="shared" si="76"/>
        <v>41.237539430632864</v>
      </c>
      <c r="AM84" s="299">
        <f t="shared" si="76"/>
        <v>41.256199871876788</v>
      </c>
      <c r="AN84" s="299">
        <f t="shared" si="76"/>
        <v>22.687698592910948</v>
      </c>
      <c r="AO84" s="299" t="e">
        <f t="shared" si="76"/>
        <v>#NUM!</v>
      </c>
      <c r="AP84" s="299" t="e">
        <f t="shared" si="76"/>
        <v>#NUM!</v>
      </c>
      <c r="AQ84" s="299" t="e">
        <f t="shared" si="76"/>
        <v>#NUM!</v>
      </c>
      <c r="AR84" s="299" t="e">
        <f t="shared" si="76"/>
        <v>#NUM!</v>
      </c>
      <c r="AS84" s="299" t="e">
        <f t="shared" si="76"/>
        <v>#NUM!</v>
      </c>
      <c r="AT84" s="299" t="e">
        <f t="shared" si="76"/>
        <v>#NUM!</v>
      </c>
      <c r="AU84" s="299" t="e">
        <f t="shared" si="76"/>
        <v>#NUM!</v>
      </c>
      <c r="AV84" s="299" t="e">
        <f t="shared" si="76"/>
        <v>#NUM!</v>
      </c>
      <c r="AW84" s="299" t="e">
        <f t="shared" si="76"/>
        <v>#NUM!</v>
      </c>
      <c r="AX84" s="299" t="e">
        <f t="shared" si="76"/>
        <v>#NUM!</v>
      </c>
      <c r="AY84" s="299" t="e">
        <f t="shared" si="76"/>
        <v>#NUM!</v>
      </c>
      <c r="BE84" s="210"/>
      <c r="BF84" s="210"/>
      <c r="BG84" s="210"/>
      <c r="BH84" s="210"/>
      <c r="BI84" s="210"/>
      <c r="BJ84" s="210"/>
      <c r="BK84" s="210"/>
    </row>
    <row r="85" spans="1:63">
      <c r="A85" s="244" t="s">
        <v>179</v>
      </c>
      <c r="B85" s="245">
        <f t="shared" ref="B85" si="77">SUM(B73:B84)</f>
        <v>10.269000000000002</v>
      </c>
      <c r="C85" s="245">
        <f t="shared" ref="C85:K85" si="78">SUM(C73:C84)</f>
        <v>16.360999999999997</v>
      </c>
      <c r="D85" s="245">
        <f t="shared" si="78"/>
        <v>13.51</v>
      </c>
      <c r="E85" s="245">
        <f t="shared" si="78"/>
        <v>26.841999999999995</v>
      </c>
      <c r="F85" s="245">
        <f t="shared" si="78"/>
        <v>90.826999999999998</v>
      </c>
      <c r="G85" s="245">
        <f t="shared" si="78"/>
        <v>260.92400000000004</v>
      </c>
      <c r="H85" s="245">
        <f t="shared" si="78"/>
        <v>318.77600000000007</v>
      </c>
      <c r="I85" s="245">
        <f t="shared" si="78"/>
        <v>303.55600000000004</v>
      </c>
      <c r="J85" s="245">
        <f t="shared" si="78"/>
        <v>321.83199999999999</v>
      </c>
      <c r="K85" s="245">
        <f t="shared" si="78"/>
        <v>260.07500000000005</v>
      </c>
      <c r="L85" s="245">
        <f>SUM(L73:L84)</f>
        <v>886.17200000000003</v>
      </c>
      <c r="M85" s="245">
        <f t="shared" ref="M85:X85" si="79">SUM(M73:M84)</f>
        <v>899.04600000000005</v>
      </c>
      <c r="N85" s="245">
        <f t="shared" si="79"/>
        <v>1428.8389999999999</v>
      </c>
      <c r="O85" s="245">
        <f t="shared" si="79"/>
        <v>1416.8579999999999</v>
      </c>
      <c r="P85" s="245">
        <f t="shared" si="79"/>
        <v>1494.16</v>
      </c>
      <c r="Q85" s="245">
        <f t="shared" si="79"/>
        <v>2085.4380000000001</v>
      </c>
      <c r="R85" s="245">
        <f t="shared" si="79"/>
        <v>1985.2819999999999</v>
      </c>
      <c r="S85" s="245">
        <f t="shared" si="79"/>
        <v>1903.7069999999997</v>
      </c>
      <c r="T85" s="245">
        <f t="shared" si="79"/>
        <v>1812.8430000000001</v>
      </c>
      <c r="U85" s="245">
        <f t="shared" si="79"/>
        <v>1876.3420000000001</v>
      </c>
      <c r="V85" s="245">
        <f t="shared" si="79"/>
        <v>1620.5927287666666</v>
      </c>
      <c r="W85" s="245">
        <f t="shared" si="79"/>
        <v>1548.2302826666669</v>
      </c>
      <c r="X85" s="245">
        <f t="shared" si="79"/>
        <v>1719.3107435238098</v>
      </c>
      <c r="Y85" s="291">
        <f t="shared" ref="Y85:AY85" si="80">Y8</f>
        <v>1800</v>
      </c>
      <c r="Z85" s="291">
        <f t="shared" si="80"/>
        <v>1600</v>
      </c>
      <c r="AA85" s="291">
        <f t="shared" si="80"/>
        <v>1225</v>
      </c>
      <c r="AB85" s="291">
        <f t="shared" si="80"/>
        <v>1425</v>
      </c>
      <c r="AC85" s="291">
        <f t="shared" si="80"/>
        <v>975</v>
      </c>
      <c r="AD85" s="291">
        <f t="shared" si="80"/>
        <v>1200</v>
      </c>
      <c r="AE85" s="291">
        <f t="shared" si="80"/>
        <v>1225</v>
      </c>
      <c r="AF85" s="291">
        <f t="shared" si="80"/>
        <v>1225</v>
      </c>
      <c r="AG85" s="291">
        <f t="shared" si="80"/>
        <v>1325</v>
      </c>
      <c r="AH85" s="291">
        <f t="shared" si="80"/>
        <v>1175</v>
      </c>
      <c r="AI85" s="291">
        <f t="shared" si="80"/>
        <v>1150</v>
      </c>
      <c r="AJ85" s="291">
        <f t="shared" si="80"/>
        <v>1050</v>
      </c>
      <c r="AK85" s="291">
        <f t="shared" si="80"/>
        <v>825</v>
      </c>
      <c r="AL85" s="291">
        <f t="shared" si="80"/>
        <v>500</v>
      </c>
      <c r="AM85" s="291">
        <f t="shared" si="80"/>
        <v>500</v>
      </c>
      <c r="AN85" s="291">
        <f t="shared" si="80"/>
        <v>275</v>
      </c>
      <c r="AO85" s="291" t="e">
        <f t="shared" si="80"/>
        <v>#NUM!</v>
      </c>
      <c r="AP85" s="291" t="e">
        <f t="shared" si="80"/>
        <v>#NUM!</v>
      </c>
      <c r="AQ85" s="291" t="e">
        <f t="shared" si="80"/>
        <v>#NUM!</v>
      </c>
      <c r="AR85" s="291" t="e">
        <f t="shared" si="80"/>
        <v>#NUM!</v>
      </c>
      <c r="AS85" s="291" t="e">
        <f t="shared" si="80"/>
        <v>#NUM!</v>
      </c>
      <c r="AT85" s="291" t="e">
        <f t="shared" si="80"/>
        <v>#NUM!</v>
      </c>
      <c r="AU85" s="291" t="e">
        <f t="shared" si="80"/>
        <v>#NUM!</v>
      </c>
      <c r="AV85" s="291" t="e">
        <f t="shared" si="80"/>
        <v>#NUM!</v>
      </c>
      <c r="AW85" s="291" t="e">
        <f t="shared" si="80"/>
        <v>#NUM!</v>
      </c>
      <c r="AX85" s="291" t="e">
        <f t="shared" si="80"/>
        <v>#NUM!</v>
      </c>
      <c r="AY85" s="291" t="e">
        <f t="shared" si="80"/>
        <v>#NUM!</v>
      </c>
      <c r="BE85" s="210"/>
      <c r="BF85" s="210"/>
      <c r="BG85" s="210"/>
      <c r="BH85" s="210"/>
      <c r="BI85" s="210"/>
      <c r="BJ85" s="210"/>
      <c r="BK85" s="210"/>
    </row>
    <row r="86" spans="1:63">
      <c r="X86" s="292">
        <f>X8</f>
        <v>1719.3107435238096</v>
      </c>
      <c r="BE86" s="210"/>
      <c r="BF86" s="210"/>
      <c r="BG86" s="210"/>
      <c r="BH86" s="210"/>
      <c r="BI86" s="210"/>
      <c r="BJ86" s="210"/>
      <c r="BK86" s="210"/>
    </row>
    <row r="87" spans="1:63" ht="12" thickBot="1">
      <c r="A87" s="234" t="s">
        <v>199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3"/>
      <c r="Y87" s="235"/>
      <c r="Z87" s="235"/>
      <c r="AA87" s="235"/>
      <c r="AB87" s="235"/>
      <c r="AC87" s="235"/>
      <c r="AD87" s="235"/>
      <c r="AE87" s="235"/>
      <c r="AF87" s="235"/>
      <c r="AG87" s="235"/>
      <c r="AH87" s="235"/>
      <c r="AI87" s="235"/>
      <c r="AJ87" s="235"/>
      <c r="AK87" s="235"/>
      <c r="AL87" s="235"/>
      <c r="AM87" s="235"/>
      <c r="AN87" s="235"/>
      <c r="AO87" s="235"/>
      <c r="AP87" s="235"/>
      <c r="AQ87" s="235"/>
      <c r="AR87" s="235"/>
      <c r="AS87" s="235"/>
      <c r="AT87" s="235"/>
      <c r="AU87" s="235"/>
      <c r="AV87" s="235"/>
      <c r="AW87" s="235"/>
      <c r="AX87" s="235"/>
      <c r="AY87" s="235"/>
      <c r="BE87" s="210"/>
      <c r="BF87" s="210"/>
      <c r="BG87" s="210"/>
      <c r="BH87" s="210"/>
      <c r="BI87" s="210"/>
      <c r="BJ87" s="210"/>
      <c r="BK87" s="210"/>
    </row>
    <row r="88" spans="1:63" ht="12" thickBot="1">
      <c r="A88" s="236"/>
      <c r="B88" s="237">
        <f t="shared" ref="B88:AY88" si="81">B2</f>
        <v>2001</v>
      </c>
      <c r="C88" s="237">
        <f t="shared" si="81"/>
        <v>2002</v>
      </c>
      <c r="D88" s="237">
        <f t="shared" si="81"/>
        <v>2003</v>
      </c>
      <c r="E88" s="237">
        <f t="shared" si="81"/>
        <v>2004</v>
      </c>
      <c r="F88" s="237">
        <f t="shared" si="81"/>
        <v>2005</v>
      </c>
      <c r="G88" s="237">
        <f t="shared" si="81"/>
        <v>2006</v>
      </c>
      <c r="H88" s="237">
        <f t="shared" si="81"/>
        <v>2007</v>
      </c>
      <c r="I88" s="237">
        <f t="shared" si="81"/>
        <v>2008</v>
      </c>
      <c r="J88" s="237">
        <f t="shared" si="81"/>
        <v>2009</v>
      </c>
      <c r="K88" s="237">
        <f t="shared" si="81"/>
        <v>2010</v>
      </c>
      <c r="L88" s="237">
        <f t="shared" si="81"/>
        <v>2011</v>
      </c>
      <c r="M88" s="237">
        <f t="shared" si="81"/>
        <v>2012</v>
      </c>
      <c r="N88" s="237">
        <f t="shared" si="81"/>
        <v>2013</v>
      </c>
      <c r="O88" s="237">
        <f t="shared" si="81"/>
        <v>2014</v>
      </c>
      <c r="P88" s="237">
        <f t="shared" si="81"/>
        <v>2015</v>
      </c>
      <c r="Q88" s="237">
        <f t="shared" si="81"/>
        <v>2016</v>
      </c>
      <c r="R88" s="237">
        <f t="shared" si="81"/>
        <v>2017</v>
      </c>
      <c r="S88" s="237">
        <f t="shared" si="81"/>
        <v>2018</v>
      </c>
      <c r="T88" s="237">
        <f t="shared" si="81"/>
        <v>2019</v>
      </c>
      <c r="U88" s="237">
        <f t="shared" si="81"/>
        <v>2020</v>
      </c>
      <c r="V88" s="237">
        <f t="shared" si="81"/>
        <v>2021</v>
      </c>
      <c r="W88" s="237">
        <f t="shared" si="81"/>
        <v>2022</v>
      </c>
      <c r="X88" s="237">
        <f t="shared" si="81"/>
        <v>2023</v>
      </c>
      <c r="Y88" s="237">
        <f t="shared" si="81"/>
        <v>2024</v>
      </c>
      <c r="Z88" s="237">
        <f t="shared" si="81"/>
        <v>2025</v>
      </c>
      <c r="AA88" s="237">
        <f t="shared" si="81"/>
        <v>2026</v>
      </c>
      <c r="AB88" s="237">
        <f t="shared" si="81"/>
        <v>2027</v>
      </c>
      <c r="AC88" s="237">
        <f t="shared" si="81"/>
        <v>2028</v>
      </c>
      <c r="AD88" s="237">
        <f t="shared" si="81"/>
        <v>2029</v>
      </c>
      <c r="AE88" s="237">
        <f t="shared" si="81"/>
        <v>2030</v>
      </c>
      <c r="AF88" s="237">
        <f t="shared" si="81"/>
        <v>2031</v>
      </c>
      <c r="AG88" s="237">
        <f t="shared" si="81"/>
        <v>2032</v>
      </c>
      <c r="AH88" s="237">
        <f t="shared" si="81"/>
        <v>2033</v>
      </c>
      <c r="AI88" s="237">
        <f t="shared" si="81"/>
        <v>2034</v>
      </c>
      <c r="AJ88" s="237">
        <f t="shared" si="81"/>
        <v>2035</v>
      </c>
      <c r="AK88" s="237">
        <f t="shared" si="81"/>
        <v>2036</v>
      </c>
      <c r="AL88" s="237">
        <f t="shared" si="81"/>
        <v>2037</v>
      </c>
      <c r="AM88" s="237">
        <f t="shared" si="81"/>
        <v>2038</v>
      </c>
      <c r="AN88" s="237">
        <f t="shared" si="81"/>
        <v>2039</v>
      </c>
      <c r="AO88" s="237">
        <f t="shared" si="81"/>
        <v>2040</v>
      </c>
      <c r="AP88" s="237">
        <f t="shared" si="81"/>
        <v>2041</v>
      </c>
      <c r="AQ88" s="237">
        <f t="shared" si="81"/>
        <v>2042</v>
      </c>
      <c r="AR88" s="237">
        <f t="shared" si="81"/>
        <v>2043</v>
      </c>
      <c r="AS88" s="237">
        <f t="shared" si="81"/>
        <v>2044</v>
      </c>
      <c r="AT88" s="237">
        <f t="shared" si="81"/>
        <v>2045</v>
      </c>
      <c r="AU88" s="237">
        <f t="shared" si="81"/>
        <v>2046</v>
      </c>
      <c r="AV88" s="237">
        <f t="shared" si="81"/>
        <v>2047</v>
      </c>
      <c r="AW88" s="237">
        <f t="shared" si="81"/>
        <v>2048</v>
      </c>
      <c r="AX88" s="237">
        <f t="shared" si="81"/>
        <v>2049</v>
      </c>
      <c r="AY88" s="237">
        <f t="shared" si="81"/>
        <v>2050</v>
      </c>
      <c r="BE88" s="210"/>
      <c r="BF88" s="210"/>
      <c r="BG88" s="210"/>
      <c r="BH88" s="210"/>
      <c r="BI88" s="210"/>
      <c r="BJ88" s="210"/>
      <c r="BK88" s="210"/>
    </row>
    <row r="89" spans="1:63">
      <c r="A89" s="68" t="s">
        <v>167</v>
      </c>
      <c r="B89" s="241"/>
      <c r="C89" s="241"/>
      <c r="D89" s="241"/>
      <c r="E89" s="241"/>
      <c r="F89" s="241"/>
      <c r="G89" s="241"/>
      <c r="H89" s="241"/>
      <c r="I89" s="241"/>
      <c r="J89" s="241">
        <f>monthly_data!K435*42/1000</f>
        <v>27.888000000000002</v>
      </c>
      <c r="K89" s="241">
        <f>monthly_data!K447*42/1000</f>
        <v>44.058</v>
      </c>
      <c r="L89" s="241">
        <f>monthly_data!K469*42/1000</f>
        <v>78.357300000000009</v>
      </c>
      <c r="M89" s="241">
        <f>(monthly_data!K471)*42/1000</f>
        <v>105.143094</v>
      </c>
      <c r="N89" s="241">
        <f>(monthly_data!K483)*42/1000</f>
        <v>84.078497999999996</v>
      </c>
      <c r="O89" s="241">
        <f>(monthly_data!K495)*42/1000</f>
        <v>155.74902</v>
      </c>
      <c r="P89" s="241">
        <f>(monthly_data!K507)*42/1000</f>
        <v>169.362774</v>
      </c>
      <c r="Q89" s="241">
        <f>(monthly_data!K519)*42/1000</f>
        <v>177.339204</v>
      </c>
      <c r="R89" s="241">
        <f>(monthly_data!K531)*42/1000</f>
        <v>268.68651599999998</v>
      </c>
      <c r="S89" s="241">
        <f>(monthly_data!K543)*42/1000</f>
        <v>191.73499799999999</v>
      </c>
      <c r="T89" s="241">
        <f>(monthly_data!K555)*42/1000</f>
        <v>224.88282599999999</v>
      </c>
      <c r="U89" s="241">
        <f>(monthly_data!K567)*42/1000</f>
        <v>179.47377000000003</v>
      </c>
      <c r="V89" s="241">
        <f>(monthly_data!K579)*42/1000</f>
        <v>192.373524</v>
      </c>
      <c r="W89" s="241">
        <f>(monthly_data!$K591)*42/1000</f>
        <v>190.82956199999998</v>
      </c>
      <c r="X89" s="241">
        <f>(monthly_data!$K603)*42/1000</f>
        <v>184.86610799999997</v>
      </c>
      <c r="Y89" s="241">
        <f>(monthly_data!$K615)*42/1000</f>
        <v>176.61638399999998</v>
      </c>
      <c r="Z89" s="296">
        <f t="shared" ref="Z89:AY89" si="82">Y100+Z41+Z25-Z73-Z57</f>
        <v>229.87578551034278</v>
      </c>
      <c r="AA89" s="296">
        <f t="shared" si="82"/>
        <v>497.58710909949656</v>
      </c>
      <c r="AB89" s="296">
        <f t="shared" si="82"/>
        <v>833.12394050341618</v>
      </c>
      <c r="AC89" s="296">
        <f t="shared" si="82"/>
        <v>1064.5838211657588</v>
      </c>
      <c r="AD89" s="296">
        <f t="shared" si="82"/>
        <v>1475.1572410103145</v>
      </c>
      <c r="AE89" s="296">
        <f t="shared" si="82"/>
        <v>1842.4681791270436</v>
      </c>
      <c r="AF89" s="296">
        <f t="shared" si="82"/>
        <v>2218.5970610427385</v>
      </c>
      <c r="AG89" s="296">
        <f t="shared" si="82"/>
        <v>2558.3913538343468</v>
      </c>
      <c r="AH89" s="296">
        <f t="shared" si="82"/>
        <v>2886.3518096522739</v>
      </c>
      <c r="AI89" s="296" t="e">
        <f t="shared" si="82"/>
        <v>#DIV/0!</v>
      </c>
      <c r="AJ89" s="296" t="e">
        <f t="shared" si="82"/>
        <v>#DIV/0!</v>
      </c>
      <c r="AK89" s="296" t="e">
        <f t="shared" si="82"/>
        <v>#DIV/0!</v>
      </c>
      <c r="AL89" s="296" t="e">
        <f t="shared" si="82"/>
        <v>#DIV/0!</v>
      </c>
      <c r="AM89" s="296" t="e">
        <f t="shared" si="82"/>
        <v>#DIV/0!</v>
      </c>
      <c r="AN89" s="296" t="e">
        <f t="shared" si="82"/>
        <v>#DIV/0!</v>
      </c>
      <c r="AO89" s="296" t="e">
        <f t="shared" si="82"/>
        <v>#DIV/0!</v>
      </c>
      <c r="AP89" s="296" t="e">
        <f t="shared" si="82"/>
        <v>#DIV/0!</v>
      </c>
      <c r="AQ89" s="296" t="e">
        <f t="shared" si="82"/>
        <v>#DIV/0!</v>
      </c>
      <c r="AR89" s="296" t="e">
        <f t="shared" si="82"/>
        <v>#DIV/0!</v>
      </c>
      <c r="AS89" s="296" t="e">
        <f t="shared" si="82"/>
        <v>#DIV/0!</v>
      </c>
      <c r="AT89" s="296" t="e">
        <f t="shared" si="82"/>
        <v>#DIV/0!</v>
      </c>
      <c r="AU89" s="296" t="e">
        <f t="shared" si="82"/>
        <v>#DIV/0!</v>
      </c>
      <c r="AV89" s="296" t="e">
        <f t="shared" si="82"/>
        <v>#DIV/0!</v>
      </c>
      <c r="AW89" s="296" t="e">
        <f t="shared" si="82"/>
        <v>#DIV/0!</v>
      </c>
      <c r="AX89" s="296" t="e">
        <f t="shared" si="82"/>
        <v>#DIV/0!</v>
      </c>
      <c r="AY89" s="296" t="e">
        <f t="shared" si="82"/>
        <v>#DIV/0!</v>
      </c>
      <c r="BE89" s="210"/>
      <c r="BF89" s="210"/>
      <c r="BG89" s="210"/>
      <c r="BH89" s="210"/>
      <c r="BI89" s="210"/>
      <c r="BJ89" s="210"/>
      <c r="BK89" s="210"/>
    </row>
    <row r="90" spans="1:63">
      <c r="A90" s="68" t="s">
        <v>168</v>
      </c>
      <c r="B90" s="241"/>
      <c r="C90" s="241"/>
      <c r="D90" s="241"/>
      <c r="E90" s="241"/>
      <c r="F90" s="241"/>
      <c r="G90" s="241"/>
      <c r="H90" s="241"/>
      <c r="I90" s="241"/>
      <c r="J90" s="241">
        <f>monthly_data!K436*42/1000</f>
        <v>17.808</v>
      </c>
      <c r="K90" s="241">
        <f>monthly_data!K448*42/1000</f>
        <v>43.637999999999998</v>
      </c>
      <c r="L90" s="241">
        <f>monthly_data!K470*42/1000</f>
        <v>84.194124000000002</v>
      </c>
      <c r="M90" s="241">
        <f>(monthly_data!K472)*42/1000</f>
        <v>121.28247599999999</v>
      </c>
      <c r="N90" s="241">
        <f>(monthly_data!K484)*42/1000</f>
        <v>85.08402000000001</v>
      </c>
      <c r="O90" s="241">
        <f>(monthly_data!K496)*42/1000</f>
        <v>156.51161400000001</v>
      </c>
      <c r="P90" s="241">
        <f>(monthly_data!K508)*42/1000</f>
        <v>178.26954599999999</v>
      </c>
      <c r="Q90" s="241">
        <f>(monthly_data!K520)*42/1000</f>
        <v>173.58738600000004</v>
      </c>
      <c r="R90" s="241">
        <f>(monthly_data!K532)*42/1000</f>
        <v>271.95819</v>
      </c>
      <c r="S90" s="241">
        <f>(monthly_data!K544)*42/1000</f>
        <v>207.22069200000001</v>
      </c>
      <c r="T90" s="241">
        <f>(monthly_data!K556)*42/1000</f>
        <v>231.10411800000003</v>
      </c>
      <c r="U90" s="241">
        <f>(monthly_data!K568)*42/1000</f>
        <v>177.226518</v>
      </c>
      <c r="V90" s="241">
        <f>(monthly_data!K580)*42/1000</f>
        <v>175.95387599999998</v>
      </c>
      <c r="W90" s="241">
        <f>(monthly_data!$K592)*42/1000</f>
        <v>187.20718800000003</v>
      </c>
      <c r="X90" s="241">
        <f>(monthly_data!$K604)*42/1000</f>
        <v>205.22090400000002</v>
      </c>
      <c r="Y90" s="241">
        <f>(monthly_data!$K616)*42/1000</f>
        <v>191.69123400000001</v>
      </c>
      <c r="Z90" s="296">
        <f t="shared" ref="Z90:AY99" si="83">Z89+Z42+Z26-Z74-Z58</f>
        <v>207.43630948669252</v>
      </c>
      <c r="AA90" s="296">
        <f t="shared" si="83"/>
        <v>523.98094785006617</v>
      </c>
      <c r="AB90" s="296">
        <f t="shared" si="83"/>
        <v>841.21194227984506</v>
      </c>
      <c r="AC90" s="296">
        <f t="shared" si="83"/>
        <v>1088.8307932617083</v>
      </c>
      <c r="AD90" s="296">
        <f t="shared" si="83"/>
        <v>1492.7765551014547</v>
      </c>
      <c r="AE90" s="296">
        <f t="shared" si="83"/>
        <v>1855.7732222443169</v>
      </c>
      <c r="AF90" s="296">
        <f t="shared" si="83"/>
        <v>2235.4093970696404</v>
      </c>
      <c r="AG90" s="296">
        <f t="shared" si="83"/>
        <v>2570.2518409289191</v>
      </c>
      <c r="AH90" s="296">
        <f t="shared" si="83"/>
        <v>2902.3189661564775</v>
      </c>
      <c r="AI90" s="296" t="e">
        <f t="shared" si="83"/>
        <v>#DIV/0!</v>
      </c>
      <c r="AJ90" s="296" t="e">
        <f t="shared" si="83"/>
        <v>#DIV/0!</v>
      </c>
      <c r="AK90" s="296" t="e">
        <f t="shared" si="83"/>
        <v>#DIV/0!</v>
      </c>
      <c r="AL90" s="296" t="e">
        <f t="shared" si="83"/>
        <v>#DIV/0!</v>
      </c>
      <c r="AM90" s="296" t="e">
        <f t="shared" si="83"/>
        <v>#DIV/0!</v>
      </c>
      <c r="AN90" s="296" t="e">
        <f t="shared" si="83"/>
        <v>#DIV/0!</v>
      </c>
      <c r="AO90" s="296" t="e">
        <f t="shared" si="83"/>
        <v>#DIV/0!</v>
      </c>
      <c r="AP90" s="296" t="e">
        <f t="shared" si="83"/>
        <v>#DIV/0!</v>
      </c>
      <c r="AQ90" s="296" t="e">
        <f t="shared" si="83"/>
        <v>#DIV/0!</v>
      </c>
      <c r="AR90" s="296" t="e">
        <f t="shared" si="83"/>
        <v>#DIV/0!</v>
      </c>
      <c r="AS90" s="296" t="e">
        <f t="shared" si="83"/>
        <v>#DIV/0!</v>
      </c>
      <c r="AT90" s="296" t="e">
        <f t="shared" si="83"/>
        <v>#DIV/0!</v>
      </c>
      <c r="AU90" s="296" t="e">
        <f t="shared" si="83"/>
        <v>#DIV/0!</v>
      </c>
      <c r="AV90" s="296" t="e">
        <f t="shared" si="83"/>
        <v>#DIV/0!</v>
      </c>
      <c r="AW90" s="296" t="e">
        <f t="shared" si="83"/>
        <v>#DIV/0!</v>
      </c>
      <c r="AX90" s="296" t="e">
        <f t="shared" si="83"/>
        <v>#DIV/0!</v>
      </c>
      <c r="AY90" s="296" t="e">
        <f t="shared" si="83"/>
        <v>#DIV/0!</v>
      </c>
      <c r="BE90" s="210"/>
      <c r="BF90" s="210"/>
      <c r="BG90" s="210"/>
      <c r="BH90" s="210"/>
      <c r="BI90" s="210"/>
      <c r="BJ90" s="210"/>
      <c r="BK90" s="210"/>
    </row>
    <row r="91" spans="1:63">
      <c r="A91" s="68" t="s">
        <v>169</v>
      </c>
      <c r="B91" s="241"/>
      <c r="C91" s="241"/>
      <c r="D91" s="241"/>
      <c r="E91" s="241"/>
      <c r="F91" s="241"/>
      <c r="G91" s="241"/>
      <c r="H91" s="241"/>
      <c r="I91" s="241"/>
      <c r="J91" s="241">
        <f>monthly_data!K437*42/1000</f>
        <v>27.93</v>
      </c>
      <c r="K91" s="241">
        <f>monthly_data!K449*42/1000</f>
        <v>44.393999999999998</v>
      </c>
      <c r="L91" s="241">
        <f>monthly_data!K471*42/1000</f>
        <v>105.143094</v>
      </c>
      <c r="M91" s="241">
        <f>(monthly_data!K473)*42/1000</f>
        <v>121.23069</v>
      </c>
      <c r="N91" s="241">
        <f>(monthly_data!K485)*42/1000</f>
        <v>100.373952</v>
      </c>
      <c r="O91" s="241">
        <f>(monthly_data!K497)*42/1000</f>
        <v>151.37589600000001</v>
      </c>
      <c r="P91" s="241">
        <f>(monthly_data!K509)*42/1000</f>
        <v>178.24888199999998</v>
      </c>
      <c r="Q91" s="241">
        <f>(monthly_data!K521)*42/1000</f>
        <v>174.99547799999999</v>
      </c>
      <c r="R91" s="241">
        <f>(monthly_data!K533)*42/1000</f>
        <v>259.95648</v>
      </c>
      <c r="S91" s="241">
        <f>(monthly_data!K545)*42/1000</f>
        <v>206.83509000000004</v>
      </c>
      <c r="T91" s="241">
        <f>(monthly_data!K557)*42/1000</f>
        <v>226.33884000000003</v>
      </c>
      <c r="U91" s="241">
        <f>(monthly_data!K569)*42/1000</f>
        <v>186.01837799999998</v>
      </c>
      <c r="V91" s="241">
        <f>(monthly_data!K581)*42/1000</f>
        <v>179.91875999999999</v>
      </c>
      <c r="W91" s="241">
        <f>(monthly_data!$K593)*42/1000</f>
        <v>197.055432</v>
      </c>
      <c r="X91" s="241">
        <f>(monthly_data!$K605)*42/1000</f>
        <v>215.570922</v>
      </c>
      <c r="Y91" s="241">
        <f>(monthly_data!$K617)*42/1000</f>
        <v>184.83204599999999</v>
      </c>
      <c r="Z91" s="296">
        <f t="shared" si="83"/>
        <v>187.32071693194294</v>
      </c>
      <c r="AA91" s="296">
        <f t="shared" si="83"/>
        <v>544.21706601204198</v>
      </c>
      <c r="AB91" s="296">
        <f t="shared" si="83"/>
        <v>845.97347124007399</v>
      </c>
      <c r="AC91" s="296">
        <f t="shared" si="83"/>
        <v>1108.3546700031736</v>
      </c>
      <c r="AD91" s="296">
        <f t="shared" si="83"/>
        <v>1504.5784015500392</v>
      </c>
      <c r="AE91" s="296">
        <f t="shared" si="83"/>
        <v>1866.695330567424</v>
      </c>
      <c r="AF91" s="296">
        <f t="shared" si="83"/>
        <v>2247.9467625400512</v>
      </c>
      <c r="AG91" s="296">
        <f t="shared" si="83"/>
        <v>2578.1909224198921</v>
      </c>
      <c r="AH91" s="296">
        <f t="shared" si="83"/>
        <v>2914.9466282077119</v>
      </c>
      <c r="AI91" s="296" t="e">
        <f t="shared" si="83"/>
        <v>#DIV/0!</v>
      </c>
      <c r="AJ91" s="296" t="e">
        <f t="shared" si="83"/>
        <v>#DIV/0!</v>
      </c>
      <c r="AK91" s="296" t="e">
        <f t="shared" si="83"/>
        <v>#DIV/0!</v>
      </c>
      <c r="AL91" s="296" t="e">
        <f t="shared" si="83"/>
        <v>#DIV/0!</v>
      </c>
      <c r="AM91" s="296" t="e">
        <f t="shared" si="83"/>
        <v>#DIV/0!</v>
      </c>
      <c r="AN91" s="296" t="e">
        <f t="shared" si="83"/>
        <v>#DIV/0!</v>
      </c>
      <c r="AO91" s="296" t="e">
        <f t="shared" si="83"/>
        <v>#DIV/0!</v>
      </c>
      <c r="AP91" s="296" t="e">
        <f t="shared" si="83"/>
        <v>#DIV/0!</v>
      </c>
      <c r="AQ91" s="296" t="e">
        <f t="shared" si="83"/>
        <v>#DIV/0!</v>
      </c>
      <c r="AR91" s="296" t="e">
        <f t="shared" si="83"/>
        <v>#DIV/0!</v>
      </c>
      <c r="AS91" s="296" t="e">
        <f t="shared" si="83"/>
        <v>#DIV/0!</v>
      </c>
      <c r="AT91" s="296" t="e">
        <f t="shared" si="83"/>
        <v>#DIV/0!</v>
      </c>
      <c r="AU91" s="296" t="e">
        <f t="shared" si="83"/>
        <v>#DIV/0!</v>
      </c>
      <c r="AV91" s="296" t="e">
        <f t="shared" si="83"/>
        <v>#DIV/0!</v>
      </c>
      <c r="AW91" s="296" t="e">
        <f t="shared" si="83"/>
        <v>#DIV/0!</v>
      </c>
      <c r="AX91" s="296" t="e">
        <f t="shared" si="83"/>
        <v>#DIV/0!</v>
      </c>
      <c r="AY91" s="296" t="e">
        <f t="shared" si="83"/>
        <v>#DIV/0!</v>
      </c>
      <c r="BE91" s="210"/>
      <c r="BF91" s="210"/>
      <c r="BG91" s="210"/>
      <c r="BH91" s="210"/>
      <c r="BI91" s="210"/>
      <c r="BJ91" s="210"/>
      <c r="BK91" s="210"/>
    </row>
    <row r="92" spans="1:63">
      <c r="A92" s="68" t="s">
        <v>170</v>
      </c>
      <c r="B92" s="241"/>
      <c r="C92" s="241"/>
      <c r="D92" s="241"/>
      <c r="E92" s="241"/>
      <c r="F92" s="241"/>
      <c r="G92" s="241"/>
      <c r="H92" s="241"/>
      <c r="I92" s="241"/>
      <c r="J92" s="241">
        <f>monthly_data!K438*42/1000</f>
        <v>26.544</v>
      </c>
      <c r="K92" s="241">
        <f>monthly_data!K450*42/1000</f>
        <v>42.378</v>
      </c>
      <c r="L92" s="241">
        <f>monthly_data!K472*42/1000</f>
        <v>121.28247599999999</v>
      </c>
      <c r="M92" s="241">
        <f>(monthly_data!K474)*42/1000</f>
        <v>116.44919999999999</v>
      </c>
      <c r="N92" s="241">
        <f>(monthly_data!K486)*42/1000</f>
        <v>105.292992</v>
      </c>
      <c r="O92" s="241">
        <f>(monthly_data!K498)*42/1000</f>
        <v>142.87824599999999</v>
      </c>
      <c r="P92" s="241">
        <f>(monthly_data!K510)*42/1000</f>
        <v>170.96667000000002</v>
      </c>
      <c r="Q92" s="241">
        <f>(monthly_data!K522)*42/1000</f>
        <v>183.05292600000001</v>
      </c>
      <c r="R92" s="241">
        <f>(monthly_data!K534)*42/1000</f>
        <v>239.632848</v>
      </c>
      <c r="S92" s="241">
        <f>(monthly_data!K546)*42/1000</f>
        <v>198.06376800000001</v>
      </c>
      <c r="T92" s="241">
        <f>(monthly_data!K558)*42/1000</f>
        <v>223.87251599999999</v>
      </c>
      <c r="U92" s="241">
        <f>(monthly_data!K570)*42/1000</f>
        <v>185.27632200000002</v>
      </c>
      <c r="V92" s="241">
        <f>(monthly_data!K582)*42/1000</f>
        <v>175.692972</v>
      </c>
      <c r="W92" s="241">
        <f>(monthly_data!$K594)*42/1000</f>
        <v>176.92491599999997</v>
      </c>
      <c r="X92" s="241">
        <f>(monthly_data!$K606)*42/1000</f>
        <v>208.21004399999998</v>
      </c>
      <c r="Y92" s="241">
        <f>(monthly_data!$K618)*42/1000</f>
        <v>185.349276</v>
      </c>
      <c r="Z92" s="296">
        <f t="shared" si="83"/>
        <v>209.53587167607725</v>
      </c>
      <c r="AA92" s="296">
        <f t="shared" si="83"/>
        <v>576.20028971618456</v>
      </c>
      <c r="AB92" s="296">
        <f t="shared" si="83"/>
        <v>869.50918201358922</v>
      </c>
      <c r="AC92" s="296">
        <f t="shared" si="83"/>
        <v>1148.1163011138897</v>
      </c>
      <c r="AD92" s="296">
        <f t="shared" si="83"/>
        <v>1539.8881396691229</v>
      </c>
      <c r="AE92" s="296">
        <f t="shared" si="83"/>
        <v>1903.4702269478344</v>
      </c>
      <c r="AF92" s="296">
        <f t="shared" si="83"/>
        <v>2282.0878809786645</v>
      </c>
      <c r="AG92" s="296">
        <f t="shared" si="83"/>
        <v>2609.1022963491955</v>
      </c>
      <c r="AH92" s="296">
        <f t="shared" si="83"/>
        <v>2949.5251124441929</v>
      </c>
      <c r="AI92" s="296" t="e">
        <f t="shared" si="83"/>
        <v>#DIV/0!</v>
      </c>
      <c r="AJ92" s="296" t="e">
        <f t="shared" si="83"/>
        <v>#DIV/0!</v>
      </c>
      <c r="AK92" s="296" t="e">
        <f t="shared" si="83"/>
        <v>#DIV/0!</v>
      </c>
      <c r="AL92" s="296" t="e">
        <f t="shared" si="83"/>
        <v>#DIV/0!</v>
      </c>
      <c r="AM92" s="296" t="e">
        <f t="shared" si="83"/>
        <v>#DIV/0!</v>
      </c>
      <c r="AN92" s="296" t="e">
        <f t="shared" si="83"/>
        <v>#DIV/0!</v>
      </c>
      <c r="AO92" s="296" t="e">
        <f t="shared" si="83"/>
        <v>#DIV/0!</v>
      </c>
      <c r="AP92" s="296" t="e">
        <f t="shared" si="83"/>
        <v>#DIV/0!</v>
      </c>
      <c r="AQ92" s="296" t="e">
        <f t="shared" si="83"/>
        <v>#DIV/0!</v>
      </c>
      <c r="AR92" s="296" t="e">
        <f t="shared" si="83"/>
        <v>#DIV/0!</v>
      </c>
      <c r="AS92" s="296" t="e">
        <f t="shared" si="83"/>
        <v>#DIV/0!</v>
      </c>
      <c r="AT92" s="296" t="e">
        <f t="shared" si="83"/>
        <v>#DIV/0!</v>
      </c>
      <c r="AU92" s="296" t="e">
        <f t="shared" si="83"/>
        <v>#DIV/0!</v>
      </c>
      <c r="AV92" s="296" t="e">
        <f t="shared" si="83"/>
        <v>#DIV/0!</v>
      </c>
      <c r="AW92" s="296" t="e">
        <f t="shared" si="83"/>
        <v>#DIV/0!</v>
      </c>
      <c r="AX92" s="296" t="e">
        <f t="shared" si="83"/>
        <v>#DIV/0!</v>
      </c>
      <c r="AY92" s="296" t="e">
        <f t="shared" si="83"/>
        <v>#DIV/0!</v>
      </c>
      <c r="BE92" s="210"/>
      <c r="BF92" s="210"/>
      <c r="BG92" s="210"/>
      <c r="BH92" s="210"/>
      <c r="BI92" s="210"/>
      <c r="BJ92" s="210"/>
      <c r="BK92" s="210"/>
    </row>
    <row r="93" spans="1:63">
      <c r="A93" s="68" t="s">
        <v>171</v>
      </c>
      <c r="B93" s="241"/>
      <c r="C93" s="241"/>
      <c r="D93" s="241"/>
      <c r="E93" s="241"/>
      <c r="F93" s="241"/>
      <c r="G93" s="241"/>
      <c r="H93" s="241"/>
      <c r="I93" s="241"/>
      <c r="J93" s="241">
        <f>monthly_data!K439*42/1000</f>
        <v>25.2</v>
      </c>
      <c r="K93" s="241">
        <f>monthly_data!K451*42/1000</f>
        <v>42.671999999999997</v>
      </c>
      <c r="L93" s="241">
        <f>monthly_data!K473*42/1000</f>
        <v>121.23069</v>
      </c>
      <c r="M93" s="241">
        <f>(monthly_data!K475)*42/1000</f>
        <v>113.813784</v>
      </c>
      <c r="N93" s="241">
        <f>(monthly_data!K487)*42/1000</f>
        <v>103.30748400000002</v>
      </c>
      <c r="O93" s="241">
        <f>(monthly_data!K499)*42/1000</f>
        <v>131.66638800000001</v>
      </c>
      <c r="P93" s="241">
        <f>(monthly_data!K511)*42/1000</f>
        <v>151.16883599999997</v>
      </c>
      <c r="Q93" s="241">
        <f>(monthly_data!K523)*42/1000</f>
        <v>171.809484</v>
      </c>
      <c r="R93" s="241">
        <f>(monthly_data!K535)*42/1000</f>
        <v>206.16237599999999</v>
      </c>
      <c r="S93" s="241">
        <f>(monthly_data!K547)*42/1000</f>
        <v>179.53912199999999</v>
      </c>
      <c r="T93" s="241">
        <f>(monthly_data!K559)*42/1000</f>
        <v>202.22903399999998</v>
      </c>
      <c r="U93" s="241">
        <f>(monthly_data!K571)*42/1000</f>
        <v>189.56574000000003</v>
      </c>
      <c r="V93" s="241">
        <f>(monthly_data!K583)*42/1000</f>
        <v>159.78916800000002</v>
      </c>
      <c r="W93" s="241">
        <f>(monthly_data!$K595)*42/1000</f>
        <v>161.248122</v>
      </c>
      <c r="X93" s="241">
        <f>(monthly_data!$K607)*42/1000</f>
        <v>188.47374000000002</v>
      </c>
      <c r="Y93" s="296">
        <f t="shared" ref="Y93:AN100" si="84">Y92+Y45+Y29-Y77-Y61</f>
        <v>185.2835517106501</v>
      </c>
      <c r="Z93" s="296">
        <f t="shared" si="83"/>
        <v>217.14047221325228</v>
      </c>
      <c r="AA93" s="296">
        <f t="shared" si="83"/>
        <v>600.6192384353144</v>
      </c>
      <c r="AB93" s="296">
        <f t="shared" si="83"/>
        <v>883.18288382351659</v>
      </c>
      <c r="AC93" s="296">
        <f t="shared" si="83"/>
        <v>1179.4947309282959</v>
      </c>
      <c r="AD93" s="296">
        <f t="shared" si="83"/>
        <v>1565.7230889934233</v>
      </c>
      <c r="AE93" s="296">
        <f t="shared" si="83"/>
        <v>1930.3925745800022</v>
      </c>
      <c r="AF93" s="296">
        <f t="shared" si="83"/>
        <v>2306.9573144507654</v>
      </c>
      <c r="AG93" s="296">
        <f t="shared" si="83"/>
        <v>2630.9630388636688</v>
      </c>
      <c r="AH93" s="296">
        <f t="shared" si="83"/>
        <v>2976.1657785750854</v>
      </c>
      <c r="AI93" s="296" t="e">
        <f t="shared" si="83"/>
        <v>#DIV/0!</v>
      </c>
      <c r="AJ93" s="296" t="e">
        <f t="shared" si="83"/>
        <v>#DIV/0!</v>
      </c>
      <c r="AK93" s="296" t="e">
        <f t="shared" si="83"/>
        <v>#DIV/0!</v>
      </c>
      <c r="AL93" s="296" t="e">
        <f t="shared" si="83"/>
        <v>#DIV/0!</v>
      </c>
      <c r="AM93" s="296" t="e">
        <f t="shared" si="83"/>
        <v>#DIV/0!</v>
      </c>
      <c r="AN93" s="296" t="e">
        <f t="shared" si="83"/>
        <v>#DIV/0!</v>
      </c>
      <c r="AO93" s="296" t="e">
        <f t="shared" si="83"/>
        <v>#DIV/0!</v>
      </c>
      <c r="AP93" s="296" t="e">
        <f t="shared" si="83"/>
        <v>#DIV/0!</v>
      </c>
      <c r="AQ93" s="296" t="e">
        <f t="shared" si="83"/>
        <v>#DIV/0!</v>
      </c>
      <c r="AR93" s="296" t="e">
        <f t="shared" si="83"/>
        <v>#DIV/0!</v>
      </c>
      <c r="AS93" s="296" t="e">
        <f t="shared" si="83"/>
        <v>#DIV/0!</v>
      </c>
      <c r="AT93" s="296" t="e">
        <f t="shared" si="83"/>
        <v>#DIV/0!</v>
      </c>
      <c r="AU93" s="296" t="e">
        <f t="shared" si="83"/>
        <v>#DIV/0!</v>
      </c>
      <c r="AV93" s="296" t="e">
        <f t="shared" si="83"/>
        <v>#DIV/0!</v>
      </c>
      <c r="AW93" s="296" t="e">
        <f t="shared" si="83"/>
        <v>#DIV/0!</v>
      </c>
      <c r="AX93" s="296" t="e">
        <f t="shared" si="83"/>
        <v>#DIV/0!</v>
      </c>
      <c r="AY93" s="296" t="e">
        <f t="shared" si="83"/>
        <v>#DIV/0!</v>
      </c>
      <c r="BE93" s="210"/>
      <c r="BF93" s="210"/>
      <c r="BG93" s="210"/>
      <c r="BH93" s="210"/>
      <c r="BI93" s="210"/>
      <c r="BJ93" s="210"/>
      <c r="BK93" s="210"/>
    </row>
    <row r="94" spans="1:63">
      <c r="A94" s="68" t="s">
        <v>172</v>
      </c>
      <c r="B94" s="241"/>
      <c r="C94" s="241"/>
      <c r="D94" s="241"/>
      <c r="E94" s="241"/>
      <c r="F94" s="241"/>
      <c r="G94" s="241"/>
      <c r="H94" s="241"/>
      <c r="I94" s="241"/>
      <c r="J94" s="241">
        <f>monthly_data!K440*42/1000</f>
        <v>24.402000000000001</v>
      </c>
      <c r="K94" s="241">
        <f>monthly_data!K452*42/1000</f>
        <v>40.655999999999999</v>
      </c>
      <c r="L94" s="241">
        <f>monthly_data!K474*42/1000</f>
        <v>116.44919999999999</v>
      </c>
      <c r="M94" s="241">
        <f>(monthly_data!K476)*42/1000</f>
        <v>98.611589999999993</v>
      </c>
      <c r="N94" s="241">
        <f>(monthly_data!K488)*42/1000</f>
        <v>104.36432999999998</v>
      </c>
      <c r="O94" s="241">
        <f>(monthly_data!K500)*42/1000</f>
        <v>117.52902</v>
      </c>
      <c r="P94" s="241">
        <f>(monthly_data!K512)*42/1000</f>
        <v>128.63722200000001</v>
      </c>
      <c r="Q94" s="241">
        <f>(monthly_data!K524)*42/1000</f>
        <v>198.49216799999999</v>
      </c>
      <c r="R94" s="241">
        <f>(monthly_data!K536)*42/1000</f>
        <v>212.194626</v>
      </c>
      <c r="S94" s="241">
        <f>(monthly_data!K548)*42/1000</f>
        <v>161.696136</v>
      </c>
      <c r="T94" s="241">
        <f>(monthly_data!K560)*42/1000</f>
        <v>185.15695799999997</v>
      </c>
      <c r="U94" s="241">
        <f>(monthly_data!K572)*42/1000</f>
        <v>181.36175399999999</v>
      </c>
      <c r="V94" s="241">
        <f>(monthly_data!K584)*42/1000</f>
        <v>157.39747800000001</v>
      </c>
      <c r="W94" s="241">
        <f>(monthly_data!$K596)*42/1000</f>
        <v>142.98488399999999</v>
      </c>
      <c r="X94" s="241">
        <f>(monthly_data!$K608)*42/1000</f>
        <v>167.91234599999999</v>
      </c>
      <c r="Y94" s="296">
        <f t="shared" si="84"/>
        <v>183.05723393092205</v>
      </c>
      <c r="Z94" s="296">
        <f t="shared" si="83"/>
        <v>229.26412510090964</v>
      </c>
      <c r="AA94" s="296">
        <f t="shared" si="83"/>
        <v>626.43256431421196</v>
      </c>
      <c r="AB94" s="296">
        <f t="shared" si="83"/>
        <v>894.36395090874055</v>
      </c>
      <c r="AC94" s="296">
        <f t="shared" si="83"/>
        <v>1209.2545080575037</v>
      </c>
      <c r="AD94" s="296">
        <f t="shared" si="83"/>
        <v>1590.0911714766034</v>
      </c>
      <c r="AE94" s="296">
        <f t="shared" si="83"/>
        <v>1957.4349368566652</v>
      </c>
      <c r="AF94" s="296">
        <f t="shared" si="83"/>
        <v>2331.108315015555</v>
      </c>
      <c r="AG94" s="296">
        <f t="shared" si="83"/>
        <v>2651.4969784903074</v>
      </c>
      <c r="AH94" s="296">
        <f t="shared" si="83"/>
        <v>3001.7354134758425</v>
      </c>
      <c r="AI94" s="296" t="e">
        <f t="shared" si="83"/>
        <v>#DIV/0!</v>
      </c>
      <c r="AJ94" s="296" t="e">
        <f t="shared" si="83"/>
        <v>#DIV/0!</v>
      </c>
      <c r="AK94" s="296" t="e">
        <f t="shared" si="83"/>
        <v>#DIV/0!</v>
      </c>
      <c r="AL94" s="296" t="e">
        <f t="shared" si="83"/>
        <v>#DIV/0!</v>
      </c>
      <c r="AM94" s="296" t="e">
        <f t="shared" si="83"/>
        <v>#DIV/0!</v>
      </c>
      <c r="AN94" s="296" t="e">
        <f t="shared" si="83"/>
        <v>#DIV/0!</v>
      </c>
      <c r="AO94" s="296" t="e">
        <f t="shared" si="83"/>
        <v>#DIV/0!</v>
      </c>
      <c r="AP94" s="296" t="e">
        <f t="shared" si="83"/>
        <v>#DIV/0!</v>
      </c>
      <c r="AQ94" s="296" t="e">
        <f t="shared" si="83"/>
        <v>#DIV/0!</v>
      </c>
      <c r="AR94" s="296" t="e">
        <f t="shared" si="83"/>
        <v>#DIV/0!</v>
      </c>
      <c r="AS94" s="296" t="e">
        <f t="shared" si="83"/>
        <v>#DIV/0!</v>
      </c>
      <c r="AT94" s="296" t="e">
        <f t="shared" si="83"/>
        <v>#DIV/0!</v>
      </c>
      <c r="AU94" s="296" t="e">
        <f t="shared" si="83"/>
        <v>#DIV/0!</v>
      </c>
      <c r="AV94" s="296" t="e">
        <f t="shared" si="83"/>
        <v>#DIV/0!</v>
      </c>
      <c r="AW94" s="296" t="e">
        <f t="shared" si="83"/>
        <v>#DIV/0!</v>
      </c>
      <c r="AX94" s="296" t="e">
        <f t="shared" si="83"/>
        <v>#DIV/0!</v>
      </c>
      <c r="AY94" s="296" t="e">
        <f t="shared" si="83"/>
        <v>#DIV/0!</v>
      </c>
      <c r="BE94" s="210"/>
      <c r="BF94" s="210"/>
      <c r="BG94" s="210"/>
      <c r="BH94" s="210"/>
      <c r="BI94" s="210"/>
      <c r="BJ94" s="210"/>
      <c r="BK94" s="210"/>
    </row>
    <row r="95" spans="1:63">
      <c r="A95" s="68" t="s">
        <v>173</v>
      </c>
      <c r="B95" s="241"/>
      <c r="C95" s="241"/>
      <c r="D95" s="241"/>
      <c r="E95" s="241"/>
      <c r="F95" s="241"/>
      <c r="G95" s="241"/>
      <c r="H95" s="241"/>
      <c r="I95" s="241"/>
      <c r="J95" s="241">
        <f>monthly_data!K441*42/1000</f>
        <v>21.462</v>
      </c>
      <c r="K95" s="241">
        <f>monthly_data!K453*42/1000</f>
        <v>34.86</v>
      </c>
      <c r="L95" s="241">
        <f>monthly_data!K475*42/1000</f>
        <v>113.813784</v>
      </c>
      <c r="M95" s="241">
        <f>(monthly_data!K477)*42/1000</f>
        <v>94.986905999999991</v>
      </c>
      <c r="N95" s="241">
        <f>(monthly_data!K489)*42/1000</f>
        <v>112.680666</v>
      </c>
      <c r="O95" s="241">
        <f>(monthly_data!K501)*42/1000</f>
        <v>129.74329200000003</v>
      </c>
      <c r="P95" s="241">
        <f>(monthly_data!K513)*42/1000</f>
        <v>142.95342599999998</v>
      </c>
      <c r="Q95" s="241">
        <f>(monthly_data!K525)*42/1000</f>
        <v>186.58613399999999</v>
      </c>
      <c r="R95" s="241">
        <f>(monthly_data!K537)*42/1000</f>
        <v>227.00563199999999</v>
      </c>
      <c r="S95" s="241">
        <f>(monthly_data!K549)*42/1000</f>
        <v>157.18462199999999</v>
      </c>
      <c r="T95" s="241">
        <f>(monthly_data!K561)*42/1000</f>
        <v>171.67974599999999</v>
      </c>
      <c r="U95" s="241">
        <f>(monthly_data!K573)*42/1000</f>
        <v>162.91779</v>
      </c>
      <c r="V95" s="241">
        <f>(monthly_data!K585)*42/1000</f>
        <v>155.27064000000001</v>
      </c>
      <c r="W95" s="241">
        <f>(monthly_data!$K597)*42/1000</f>
        <v>136.09936199999999</v>
      </c>
      <c r="X95" s="241">
        <f>(monthly_data!$K609)*42/1000</f>
        <v>157.625328</v>
      </c>
      <c r="Y95" s="296">
        <f t="shared" si="84"/>
        <v>176.23122627884837</v>
      </c>
      <c r="Z95" s="296">
        <f t="shared" si="83"/>
        <v>230.76668134326471</v>
      </c>
      <c r="AA95" s="296">
        <f t="shared" si="83"/>
        <v>647.30627214145125</v>
      </c>
      <c r="AB95" s="296">
        <f t="shared" si="83"/>
        <v>901.99808516008761</v>
      </c>
      <c r="AC95" s="296">
        <f t="shared" si="83"/>
        <v>1234.8223359965659</v>
      </c>
      <c r="AD95" s="296">
        <f t="shared" si="83"/>
        <v>1610.5622051829387</v>
      </c>
      <c r="AE95" s="296">
        <f t="shared" si="83"/>
        <v>1978.5016529118075</v>
      </c>
      <c r="AF95" s="296">
        <f t="shared" si="83"/>
        <v>2350.4304412173756</v>
      </c>
      <c r="AG95" s="296">
        <f t="shared" si="83"/>
        <v>2667.6877034083373</v>
      </c>
      <c r="AH95" s="296">
        <f t="shared" si="83"/>
        <v>3023.1386167530754</v>
      </c>
      <c r="AI95" s="296" t="e">
        <f t="shared" si="83"/>
        <v>#DIV/0!</v>
      </c>
      <c r="AJ95" s="296" t="e">
        <f t="shared" si="83"/>
        <v>#DIV/0!</v>
      </c>
      <c r="AK95" s="296" t="e">
        <f t="shared" si="83"/>
        <v>#DIV/0!</v>
      </c>
      <c r="AL95" s="296" t="e">
        <f t="shared" si="83"/>
        <v>#DIV/0!</v>
      </c>
      <c r="AM95" s="296" t="e">
        <f t="shared" si="83"/>
        <v>#DIV/0!</v>
      </c>
      <c r="AN95" s="296" t="e">
        <f t="shared" si="83"/>
        <v>#DIV/0!</v>
      </c>
      <c r="AO95" s="296" t="e">
        <f t="shared" si="83"/>
        <v>#DIV/0!</v>
      </c>
      <c r="AP95" s="296" t="e">
        <f t="shared" si="83"/>
        <v>#DIV/0!</v>
      </c>
      <c r="AQ95" s="296" t="e">
        <f t="shared" si="83"/>
        <v>#DIV/0!</v>
      </c>
      <c r="AR95" s="296" t="e">
        <f t="shared" si="83"/>
        <v>#DIV/0!</v>
      </c>
      <c r="AS95" s="296" t="e">
        <f t="shared" si="83"/>
        <v>#DIV/0!</v>
      </c>
      <c r="AT95" s="296" t="e">
        <f t="shared" si="83"/>
        <v>#DIV/0!</v>
      </c>
      <c r="AU95" s="296" t="e">
        <f t="shared" si="83"/>
        <v>#DIV/0!</v>
      </c>
      <c r="AV95" s="296" t="e">
        <f t="shared" si="83"/>
        <v>#DIV/0!</v>
      </c>
      <c r="AW95" s="296" t="e">
        <f t="shared" si="83"/>
        <v>#DIV/0!</v>
      </c>
      <c r="AX95" s="296" t="e">
        <f t="shared" si="83"/>
        <v>#DIV/0!</v>
      </c>
      <c r="AY95" s="296" t="e">
        <f t="shared" si="83"/>
        <v>#DIV/0!</v>
      </c>
      <c r="BE95" s="210"/>
      <c r="BF95" s="210"/>
      <c r="BG95" s="210"/>
      <c r="BH95" s="210"/>
      <c r="BI95" s="210"/>
      <c r="BJ95" s="210"/>
      <c r="BK95" s="210"/>
    </row>
    <row r="96" spans="1:63">
      <c r="A96" s="68" t="s">
        <v>174</v>
      </c>
      <c r="B96" s="241"/>
      <c r="C96" s="241"/>
      <c r="D96" s="241"/>
      <c r="E96" s="241"/>
      <c r="F96" s="241"/>
      <c r="G96" s="241"/>
      <c r="H96" s="241"/>
      <c r="I96" s="241"/>
      <c r="J96" s="241">
        <f>monthly_data!K442*42/1000</f>
        <v>21.462</v>
      </c>
      <c r="K96" s="241">
        <f>monthly_data!K454*42/1000</f>
        <v>32.381999999999998</v>
      </c>
      <c r="L96" s="241">
        <f>monthly_data!K476*42/1000</f>
        <v>98.611589999999993</v>
      </c>
      <c r="M96" s="241">
        <f>(monthly_data!K478)*42/1000</f>
        <v>84.481110000000001</v>
      </c>
      <c r="N96" s="241">
        <f>(monthly_data!K490)*42/1000</f>
        <v>107.06245200000001</v>
      </c>
      <c r="O96" s="241">
        <f>(monthly_data!K502)*42/1000</f>
        <v>116.992008</v>
      </c>
      <c r="P96" s="241">
        <f>(monthly_data!K514)*42/1000</f>
        <v>139.98742800000002</v>
      </c>
      <c r="Q96" s="241">
        <f>(monthly_data!K526)*42/1000</f>
        <v>179.13726600000001</v>
      </c>
      <c r="R96" s="241">
        <f>(monthly_data!K538)*42/1000</f>
        <v>224.93171399999997</v>
      </c>
      <c r="S96" s="241">
        <f>(monthly_data!K550)*42/1000</f>
        <v>143.845212</v>
      </c>
      <c r="T96" s="241">
        <f>(monthly_data!K562)*42/1000</f>
        <v>162.103872</v>
      </c>
      <c r="U96" s="241">
        <f>(monthly_data!K574)*42/1000</f>
        <v>149.64679799999999</v>
      </c>
      <c r="V96" s="241">
        <f>(monthly_data!K586)*42/1000</f>
        <v>141.48111600000001</v>
      </c>
      <c r="W96" s="241">
        <f>(monthly_data!$K598)*42/1000</f>
        <v>121.53754200000002</v>
      </c>
      <c r="X96" s="241">
        <f>(monthly_data!$K610)*42/1000</f>
        <v>152.14474799999999</v>
      </c>
      <c r="Y96" s="296">
        <f t="shared" si="84"/>
        <v>164.5054249638527</v>
      </c>
      <c r="Z96" s="296">
        <f t="shared" si="83"/>
        <v>243.00752579599651</v>
      </c>
      <c r="AA96" s="296">
        <f t="shared" si="83"/>
        <v>674.54117420084265</v>
      </c>
      <c r="AB96" s="296">
        <f t="shared" si="83"/>
        <v>918.78745833679295</v>
      </c>
      <c r="AC96" s="296">
        <f t="shared" si="83"/>
        <v>1268.7320985661254</v>
      </c>
      <c r="AD96" s="296">
        <f t="shared" si="83"/>
        <v>1639.0586899320924</v>
      </c>
      <c r="AE96" s="296">
        <f t="shared" si="83"/>
        <v>2008.8032911689484</v>
      </c>
      <c r="AF96" s="296">
        <f t="shared" si="83"/>
        <v>2378.4275868713985</v>
      </c>
      <c r="AG96" s="296">
        <f t="shared" si="83"/>
        <v>2692.4476598725587</v>
      </c>
      <c r="AH96" s="296">
        <f t="shared" si="83"/>
        <v>3052.4198633897036</v>
      </c>
      <c r="AI96" s="296" t="e">
        <f t="shared" si="83"/>
        <v>#DIV/0!</v>
      </c>
      <c r="AJ96" s="296" t="e">
        <f t="shared" si="83"/>
        <v>#DIV/0!</v>
      </c>
      <c r="AK96" s="296" t="e">
        <f t="shared" si="83"/>
        <v>#DIV/0!</v>
      </c>
      <c r="AL96" s="296" t="e">
        <f t="shared" si="83"/>
        <v>#DIV/0!</v>
      </c>
      <c r="AM96" s="296" t="e">
        <f t="shared" si="83"/>
        <v>#DIV/0!</v>
      </c>
      <c r="AN96" s="296" t="e">
        <f t="shared" si="83"/>
        <v>#DIV/0!</v>
      </c>
      <c r="AO96" s="296" t="e">
        <f t="shared" si="83"/>
        <v>#DIV/0!</v>
      </c>
      <c r="AP96" s="296" t="e">
        <f t="shared" si="83"/>
        <v>#DIV/0!</v>
      </c>
      <c r="AQ96" s="296" t="e">
        <f t="shared" si="83"/>
        <v>#DIV/0!</v>
      </c>
      <c r="AR96" s="296" t="e">
        <f t="shared" si="83"/>
        <v>#DIV/0!</v>
      </c>
      <c r="AS96" s="296" t="e">
        <f t="shared" si="83"/>
        <v>#DIV/0!</v>
      </c>
      <c r="AT96" s="296" t="e">
        <f t="shared" si="83"/>
        <v>#DIV/0!</v>
      </c>
      <c r="AU96" s="296" t="e">
        <f t="shared" si="83"/>
        <v>#DIV/0!</v>
      </c>
      <c r="AV96" s="296" t="e">
        <f t="shared" si="83"/>
        <v>#DIV/0!</v>
      </c>
      <c r="AW96" s="296" t="e">
        <f t="shared" si="83"/>
        <v>#DIV/0!</v>
      </c>
      <c r="AX96" s="296" t="e">
        <f t="shared" si="83"/>
        <v>#DIV/0!</v>
      </c>
      <c r="AY96" s="296" t="e">
        <f t="shared" si="83"/>
        <v>#DIV/0!</v>
      </c>
      <c r="BE96" s="210"/>
      <c r="BF96" s="210"/>
      <c r="BG96" s="210"/>
      <c r="BH96" s="210"/>
      <c r="BI96" s="210"/>
      <c r="BJ96" s="210"/>
      <c r="BK96" s="210"/>
    </row>
    <row r="97" spans="1:63">
      <c r="A97" s="68" t="s">
        <v>175</v>
      </c>
      <c r="B97" s="241"/>
      <c r="C97" s="241"/>
      <c r="D97" s="241"/>
      <c r="E97" s="241"/>
      <c r="F97" s="241"/>
      <c r="G97" s="241"/>
      <c r="H97" s="241"/>
      <c r="I97" s="241"/>
      <c r="J97" s="241">
        <f>monthly_data!K443*42/1000</f>
        <v>22.134</v>
      </c>
      <c r="K97" s="241">
        <f>monthly_data!K455*42/1000</f>
        <v>28.643999999999998</v>
      </c>
      <c r="L97" s="241">
        <f>monthly_data!K477*42/1000</f>
        <v>94.986905999999991</v>
      </c>
      <c r="M97" s="241">
        <f>(monthly_data!K479)*42/1000</f>
        <v>86.037588</v>
      </c>
      <c r="N97" s="241">
        <f>(monthly_data!K491)*42/1000</f>
        <v>105.377622</v>
      </c>
      <c r="O97" s="241">
        <f>(monthly_data!K503)*42/1000</f>
        <v>96.317970000000003</v>
      </c>
      <c r="P97" s="241">
        <f>(monthly_data!K515)*42/1000</f>
        <v>126.902202</v>
      </c>
      <c r="Q97" s="241">
        <f>(monthly_data!K527)*42/1000</f>
        <v>177.53034599999998</v>
      </c>
      <c r="R97" s="241">
        <f>(monthly_data!K539)*42/1000</f>
        <v>203.63922600000001</v>
      </c>
      <c r="S97" s="241">
        <f>(monthly_data!K551)*42/1000</f>
        <v>141.596868</v>
      </c>
      <c r="T97" s="241">
        <f>(monthly_data!K563)*42/1000</f>
        <v>155.64267599999997</v>
      </c>
      <c r="U97" s="241">
        <f>(monthly_data!K575)*42/1000</f>
        <v>135.29249999999999</v>
      </c>
      <c r="V97" s="241">
        <f>(monthly_data!K587)*42/1000</f>
        <v>135.64005000000003</v>
      </c>
      <c r="W97" s="241">
        <f>(monthly_data!$K599)*42/1000</f>
        <v>118.703802</v>
      </c>
      <c r="X97" s="241">
        <f>(monthly_data!$K611)*42/1000</f>
        <v>152.41598400000001</v>
      </c>
      <c r="Y97" s="296">
        <f t="shared" si="84"/>
        <v>165.06304021392444</v>
      </c>
      <c r="Z97" s="296">
        <f t="shared" si="83"/>
        <v>260.64356904371982</v>
      </c>
      <c r="AA97" s="296">
        <f t="shared" si="83"/>
        <v>703.49808103284101</v>
      </c>
      <c r="AB97" s="296">
        <f t="shared" si="83"/>
        <v>935.82174013888141</v>
      </c>
      <c r="AC97" s="296">
        <f t="shared" si="83"/>
        <v>1302.8117133988617</v>
      </c>
      <c r="AD97" s="296">
        <f t="shared" si="83"/>
        <v>1668.5652622306852</v>
      </c>
      <c r="AE97" s="296">
        <f t="shared" si="83"/>
        <v>2039.7521402669231</v>
      </c>
      <c r="AF97" s="296">
        <f t="shared" si="83"/>
        <v>2406.6913907873136</v>
      </c>
      <c r="AG97" s="296">
        <f t="shared" si="83"/>
        <v>2716.7709288608644</v>
      </c>
      <c r="AH97" s="296">
        <f t="shared" si="83"/>
        <v>3081.2384043242882</v>
      </c>
      <c r="AI97" s="296" t="e">
        <f t="shared" si="83"/>
        <v>#DIV/0!</v>
      </c>
      <c r="AJ97" s="296" t="e">
        <f t="shared" si="83"/>
        <v>#DIV/0!</v>
      </c>
      <c r="AK97" s="296" t="e">
        <f t="shared" si="83"/>
        <v>#DIV/0!</v>
      </c>
      <c r="AL97" s="296" t="e">
        <f t="shared" si="83"/>
        <v>#DIV/0!</v>
      </c>
      <c r="AM97" s="296" t="e">
        <f t="shared" si="83"/>
        <v>#DIV/0!</v>
      </c>
      <c r="AN97" s="296" t="e">
        <f t="shared" si="83"/>
        <v>#DIV/0!</v>
      </c>
      <c r="AO97" s="296" t="e">
        <f t="shared" si="83"/>
        <v>#DIV/0!</v>
      </c>
      <c r="AP97" s="296" t="e">
        <f t="shared" si="83"/>
        <v>#DIV/0!</v>
      </c>
      <c r="AQ97" s="296" t="e">
        <f t="shared" si="83"/>
        <v>#DIV/0!</v>
      </c>
      <c r="AR97" s="296" t="e">
        <f t="shared" si="83"/>
        <v>#DIV/0!</v>
      </c>
      <c r="AS97" s="296" t="e">
        <f t="shared" si="83"/>
        <v>#DIV/0!</v>
      </c>
      <c r="AT97" s="296" t="e">
        <f t="shared" si="83"/>
        <v>#DIV/0!</v>
      </c>
      <c r="AU97" s="296" t="e">
        <f t="shared" si="83"/>
        <v>#DIV/0!</v>
      </c>
      <c r="AV97" s="296" t="e">
        <f t="shared" si="83"/>
        <v>#DIV/0!</v>
      </c>
      <c r="AW97" s="296" t="e">
        <f t="shared" si="83"/>
        <v>#DIV/0!</v>
      </c>
      <c r="AX97" s="296" t="e">
        <f t="shared" si="83"/>
        <v>#DIV/0!</v>
      </c>
      <c r="AY97" s="296" t="e">
        <f t="shared" si="83"/>
        <v>#DIV/0!</v>
      </c>
      <c r="BE97" s="210"/>
      <c r="BF97" s="210"/>
      <c r="BG97" s="210"/>
      <c r="BH97" s="210"/>
      <c r="BI97" s="210"/>
      <c r="BJ97" s="210"/>
      <c r="BK97" s="210"/>
    </row>
    <row r="98" spans="1:63">
      <c r="A98" s="68" t="s">
        <v>176</v>
      </c>
      <c r="B98" s="241"/>
      <c r="C98" s="241"/>
      <c r="D98" s="241"/>
      <c r="E98" s="241"/>
      <c r="F98" s="241"/>
      <c r="G98" s="241"/>
      <c r="H98" s="241"/>
      <c r="I98" s="241"/>
      <c r="J98" s="241">
        <f>monthly_data!K444*42/1000</f>
        <v>23.225999999999999</v>
      </c>
      <c r="K98" s="241">
        <f>monthly_data!K456*42/1000</f>
        <v>27.3</v>
      </c>
      <c r="L98" s="241">
        <f>monthly_data!K478*42/1000</f>
        <v>84.481110000000001</v>
      </c>
      <c r="M98" s="241">
        <f>(monthly_data!K480)*42/1000</f>
        <v>91.380870000000016</v>
      </c>
      <c r="N98" s="241">
        <f>(monthly_data!K492)*42/1000</f>
        <v>104.278902</v>
      </c>
      <c r="O98" s="241">
        <f>(monthly_data!K504)*42/1000</f>
        <v>110.90188200000001</v>
      </c>
      <c r="P98" s="241">
        <f>(monthly_data!K516)*42/1000</f>
        <v>128.92681200000001</v>
      </c>
      <c r="Q98" s="241">
        <f>(monthly_data!K528)*42/1000</f>
        <v>196.97462400000001</v>
      </c>
      <c r="R98" s="241">
        <f>(monthly_data!K540)*42/1000</f>
        <v>188.36752200000001</v>
      </c>
      <c r="S98" s="241">
        <f>(monthly_data!K552)*42/1000</f>
        <v>153.17546999999999</v>
      </c>
      <c r="T98" s="241">
        <f>(monthly_data!K564)*42/1000</f>
        <v>156.98520600000001</v>
      </c>
      <c r="U98" s="241">
        <f>(monthly_data!K576)*42/1000</f>
        <v>143.559864</v>
      </c>
      <c r="V98" s="241">
        <f>(monthly_data!K588)*42/1000</f>
        <v>140.26538399999998</v>
      </c>
      <c r="W98" s="241">
        <f>(monthly_data!$K600)*42/1000</f>
        <v>121.93641599999999</v>
      </c>
      <c r="X98" s="241">
        <f>(monthly_data!$K612)*42/1000</f>
        <v>147.21923999999999</v>
      </c>
      <c r="Y98" s="296">
        <f t="shared" si="84"/>
        <v>182.20160400306983</v>
      </c>
      <c r="Z98" s="296">
        <f t="shared" si="83"/>
        <v>278.23133319919145</v>
      </c>
      <c r="AA98" s="296">
        <f t="shared" si="83"/>
        <v>732.47943230990188</v>
      </c>
      <c r="AB98" s="296">
        <f t="shared" si="83"/>
        <v>952.09590594059375</v>
      </c>
      <c r="AC98" s="296">
        <f t="shared" si="83"/>
        <v>1337.2500646409089</v>
      </c>
      <c r="AD98" s="296">
        <f t="shared" si="83"/>
        <v>1699.3642651265855</v>
      </c>
      <c r="AE98" s="296">
        <f t="shared" si="83"/>
        <v>2069.5865983736458</v>
      </c>
      <c r="AF98" s="296">
        <f t="shared" si="83"/>
        <v>2434.1961787111127</v>
      </c>
      <c r="AG98" s="296">
        <f t="shared" si="83"/>
        <v>2740.5551652486301</v>
      </c>
      <c r="AH98" s="296">
        <f t="shared" si="83"/>
        <v>3109.9180214629368</v>
      </c>
      <c r="AI98" s="296" t="e">
        <f t="shared" si="83"/>
        <v>#DIV/0!</v>
      </c>
      <c r="AJ98" s="296" t="e">
        <f t="shared" si="83"/>
        <v>#DIV/0!</v>
      </c>
      <c r="AK98" s="296" t="e">
        <f t="shared" si="83"/>
        <v>#DIV/0!</v>
      </c>
      <c r="AL98" s="296" t="e">
        <f t="shared" si="83"/>
        <v>#DIV/0!</v>
      </c>
      <c r="AM98" s="296" t="e">
        <f t="shared" si="83"/>
        <v>#DIV/0!</v>
      </c>
      <c r="AN98" s="296" t="e">
        <f t="shared" si="83"/>
        <v>#DIV/0!</v>
      </c>
      <c r="AO98" s="296" t="e">
        <f t="shared" si="83"/>
        <v>#DIV/0!</v>
      </c>
      <c r="AP98" s="296" t="e">
        <f t="shared" si="83"/>
        <v>#DIV/0!</v>
      </c>
      <c r="AQ98" s="296" t="e">
        <f t="shared" si="83"/>
        <v>#DIV/0!</v>
      </c>
      <c r="AR98" s="296" t="e">
        <f t="shared" si="83"/>
        <v>#DIV/0!</v>
      </c>
      <c r="AS98" s="296" t="e">
        <f t="shared" si="83"/>
        <v>#DIV/0!</v>
      </c>
      <c r="AT98" s="296" t="e">
        <f t="shared" si="83"/>
        <v>#DIV/0!</v>
      </c>
      <c r="AU98" s="296" t="e">
        <f t="shared" si="83"/>
        <v>#DIV/0!</v>
      </c>
      <c r="AV98" s="296" t="e">
        <f t="shared" si="83"/>
        <v>#DIV/0!</v>
      </c>
      <c r="AW98" s="296" t="e">
        <f t="shared" si="83"/>
        <v>#DIV/0!</v>
      </c>
      <c r="AX98" s="296" t="e">
        <f t="shared" si="83"/>
        <v>#DIV/0!</v>
      </c>
      <c r="AY98" s="296" t="e">
        <f t="shared" si="83"/>
        <v>#DIV/0!</v>
      </c>
      <c r="BE98" s="210"/>
      <c r="BF98" s="210"/>
      <c r="BG98" s="210"/>
      <c r="BH98" s="210"/>
      <c r="BI98" s="210"/>
      <c r="BJ98" s="210"/>
      <c r="BK98" s="210"/>
    </row>
    <row r="99" spans="1:63">
      <c r="A99" s="68" t="s">
        <v>177</v>
      </c>
      <c r="B99" s="241"/>
      <c r="C99" s="241"/>
      <c r="D99" s="241"/>
      <c r="E99" s="241"/>
      <c r="F99" s="241"/>
      <c r="G99" s="241"/>
      <c r="H99" s="241"/>
      <c r="I99" s="241"/>
      <c r="J99" s="241">
        <f>monthly_data!K445*42/1000</f>
        <v>22.302</v>
      </c>
      <c r="K99" s="241">
        <f>monthly_data!K457*42/1000</f>
        <v>28.391999999999999</v>
      </c>
      <c r="L99" s="241">
        <f>monthly_data!K479*42/1000</f>
        <v>86.037588</v>
      </c>
      <c r="M99" s="241">
        <f>(monthly_data!K481)*42/1000</f>
        <v>78.194339999999997</v>
      </c>
      <c r="N99" s="241">
        <f>(monthly_data!K493)*42/1000</f>
        <v>141.11055000000002</v>
      </c>
      <c r="O99" s="241">
        <f>(monthly_data!K505)*42/1000</f>
        <v>129.537282</v>
      </c>
      <c r="P99" s="241">
        <f>(monthly_data!K517)*42/1000</f>
        <v>151.19873999999999</v>
      </c>
      <c r="Q99" s="241">
        <f>(monthly_data!K529)*42/1000</f>
        <v>223.19816400000002</v>
      </c>
      <c r="R99" s="241">
        <f>(monthly_data!K541)*42/1000</f>
        <v>177.79637400000001</v>
      </c>
      <c r="S99" s="241">
        <f>(monthly_data!K553)*42/1000</f>
        <v>169.65164999999999</v>
      </c>
      <c r="T99" s="241">
        <f>(monthly_data!K565)*42/1000</f>
        <v>163.242828</v>
      </c>
      <c r="U99" s="241">
        <f>(monthly_data!K577)*42/1000</f>
        <v>157.12527600000001</v>
      </c>
      <c r="V99" s="241">
        <f>(monthly_data!K589)*42/1000</f>
        <v>157.36971600000001</v>
      </c>
      <c r="W99" s="241">
        <f>(monthly_data!$K601)*42/1000</f>
        <v>135.75777600000001</v>
      </c>
      <c r="X99" s="241">
        <f>(monthly_data!$K613)*42/1000</f>
        <v>153.48996600000001</v>
      </c>
      <c r="Y99" s="296">
        <f t="shared" si="84"/>
        <v>206.78791287309119</v>
      </c>
      <c r="Z99" s="296">
        <f t="shared" si="83"/>
        <v>308.72870629726697</v>
      </c>
      <c r="AA99" s="296">
        <f t="shared" si="83"/>
        <v>768.99564209397317</v>
      </c>
      <c r="AB99" s="296">
        <f t="shared" si="83"/>
        <v>974.50182752694082</v>
      </c>
      <c r="AC99" s="296">
        <f t="shared" si="83"/>
        <v>1376.1516817773254</v>
      </c>
      <c r="AD99" s="296">
        <f t="shared" si="83"/>
        <v>1734.459050652014</v>
      </c>
      <c r="AE99" s="296">
        <f t="shared" si="83"/>
        <v>2105.1831878346802</v>
      </c>
      <c r="AF99" s="296">
        <f t="shared" si="83"/>
        <v>2466.8383078583574</v>
      </c>
      <c r="AG99" s="296">
        <f t="shared" si="83"/>
        <v>2768.7894152931622</v>
      </c>
      <c r="AH99" s="296">
        <f t="shared" si="83"/>
        <v>3142.4671018331069</v>
      </c>
      <c r="AI99" s="296" t="e">
        <f t="shared" si="83"/>
        <v>#DIV/0!</v>
      </c>
      <c r="AJ99" s="296" t="e">
        <f t="shared" si="83"/>
        <v>#DIV/0!</v>
      </c>
      <c r="AK99" s="296" t="e">
        <f t="shared" si="83"/>
        <v>#DIV/0!</v>
      </c>
      <c r="AL99" s="296" t="e">
        <f t="shared" si="83"/>
        <v>#DIV/0!</v>
      </c>
      <c r="AM99" s="296" t="e">
        <f t="shared" si="83"/>
        <v>#DIV/0!</v>
      </c>
      <c r="AN99" s="296" t="e">
        <f t="shared" si="83"/>
        <v>#DIV/0!</v>
      </c>
      <c r="AO99" s="296" t="e">
        <f t="shared" si="83"/>
        <v>#DIV/0!</v>
      </c>
      <c r="AP99" s="296" t="e">
        <f t="shared" si="83"/>
        <v>#DIV/0!</v>
      </c>
      <c r="AQ99" s="296" t="e">
        <f t="shared" si="83"/>
        <v>#DIV/0!</v>
      </c>
      <c r="AR99" s="296" t="e">
        <f t="shared" si="83"/>
        <v>#DIV/0!</v>
      </c>
      <c r="AS99" s="296" t="e">
        <f t="shared" si="83"/>
        <v>#DIV/0!</v>
      </c>
      <c r="AT99" s="296" t="e">
        <f t="shared" si="83"/>
        <v>#DIV/0!</v>
      </c>
      <c r="AU99" s="296" t="e">
        <f t="shared" ref="AU99:AY99" si="85">AU98+AU51+AU35-AU83-AU67</f>
        <v>#DIV/0!</v>
      </c>
      <c r="AV99" s="296" t="e">
        <f t="shared" si="85"/>
        <v>#DIV/0!</v>
      </c>
      <c r="AW99" s="296" t="e">
        <f t="shared" si="85"/>
        <v>#DIV/0!</v>
      </c>
      <c r="AX99" s="296" t="e">
        <f t="shared" si="85"/>
        <v>#DIV/0!</v>
      </c>
      <c r="AY99" s="296" t="e">
        <f t="shared" si="85"/>
        <v>#DIV/0!</v>
      </c>
      <c r="BE99" s="210"/>
      <c r="BF99" s="210"/>
      <c r="BG99" s="210"/>
      <c r="BH99" s="210"/>
      <c r="BI99" s="210"/>
      <c r="BJ99" s="210"/>
      <c r="BK99" s="210"/>
    </row>
    <row r="100" spans="1:63">
      <c r="A100" s="244" t="s">
        <v>178</v>
      </c>
      <c r="B100" s="300"/>
      <c r="C100" s="300"/>
      <c r="D100" s="300"/>
      <c r="E100" s="300"/>
      <c r="F100" s="300"/>
      <c r="G100" s="300"/>
      <c r="H100" s="300"/>
      <c r="I100" s="300"/>
      <c r="J100" s="241">
        <f>monthly_data!K446*42/1000</f>
        <v>29.861999999999998</v>
      </c>
      <c r="K100" s="241">
        <f>monthly_data!K458*42/1000</f>
        <v>28.224</v>
      </c>
      <c r="L100" s="241">
        <f>monthly_data!K480*42/1000</f>
        <v>91.380870000000016</v>
      </c>
      <c r="M100" s="241">
        <f>(monthly_data!K482)*42/1000</f>
        <v>83.342952000000011</v>
      </c>
      <c r="N100" s="241">
        <f>(monthly_data!K494)*42/1000</f>
        <v>160.007778</v>
      </c>
      <c r="O100" s="241">
        <f>(monthly_data!K506)*42/1000</f>
        <v>131.485998</v>
      </c>
      <c r="P100" s="241">
        <f>(monthly_data!K518)*42/1000</f>
        <v>165.61855799999998</v>
      </c>
      <c r="Q100" s="241">
        <f>(monthly_data!K530)*42/1000</f>
        <v>268.70508000000001</v>
      </c>
      <c r="R100" s="241">
        <f>(monthly_data!K542)*42/1000</f>
        <v>179.25385799999998</v>
      </c>
      <c r="S100" s="241">
        <f>(monthly_data!K554)*42/1000</f>
        <v>195.81311399999998</v>
      </c>
      <c r="T100" s="241">
        <f>(monthly_data!K566)*42/1000</f>
        <v>164.07808199999999</v>
      </c>
      <c r="U100" s="241">
        <f>(monthly_data!K578)*42/1000</f>
        <v>153.94617000000002</v>
      </c>
      <c r="V100" s="241">
        <f>(monthly_data!K590)*42/1000</f>
        <v>175.87495799999999</v>
      </c>
      <c r="W100" s="241">
        <f>(monthly_data!$K602)*42/1000</f>
        <v>151.529742</v>
      </c>
      <c r="X100" s="241">
        <f>(monthly_data!$K614)*42/1000</f>
        <v>160.165908</v>
      </c>
      <c r="Y100" s="296">
        <f t="shared" si="84"/>
        <v>252.48042009710446</v>
      </c>
      <c r="Z100" s="296">
        <f t="shared" si="84"/>
        <v>471.17841760509162</v>
      </c>
      <c r="AA100" s="296">
        <f t="shared" si="84"/>
        <v>827.02100296556785</v>
      </c>
      <c r="AB100" s="296">
        <f t="shared" si="84"/>
        <v>1042.307063440076</v>
      </c>
      <c r="AC100" s="296">
        <f t="shared" si="84"/>
        <v>1459.2654512913057</v>
      </c>
      <c r="AD100" s="296">
        <f t="shared" si="84"/>
        <v>1830.3468967131348</v>
      </c>
      <c r="AE100" s="296">
        <f t="shared" si="84"/>
        <v>2203.0030114451674</v>
      </c>
      <c r="AF100" s="296">
        <f t="shared" si="84"/>
        <v>2547.8060172135806</v>
      </c>
      <c r="AG100" s="296">
        <f t="shared" si="84"/>
        <v>2851.6980715394793</v>
      </c>
      <c r="AH100" s="296">
        <f t="shared" si="84"/>
        <v>3207.8601845805297</v>
      </c>
      <c r="AI100" s="296" t="e">
        <f t="shared" si="84"/>
        <v>#DIV/0!</v>
      </c>
      <c r="AJ100" s="296" t="e">
        <f t="shared" si="84"/>
        <v>#DIV/0!</v>
      </c>
      <c r="AK100" s="296" t="e">
        <f t="shared" si="84"/>
        <v>#DIV/0!</v>
      </c>
      <c r="AL100" s="296" t="e">
        <f t="shared" si="84"/>
        <v>#DIV/0!</v>
      </c>
      <c r="AM100" s="296" t="e">
        <f t="shared" si="84"/>
        <v>#DIV/0!</v>
      </c>
      <c r="AN100" s="296" t="e">
        <f t="shared" si="84"/>
        <v>#DIV/0!</v>
      </c>
      <c r="AO100" s="296" t="e">
        <f t="shared" ref="AO100:AY100" si="86">AO99+AO52+AO36-AO84-AO68</f>
        <v>#DIV/0!</v>
      </c>
      <c r="AP100" s="296" t="e">
        <f t="shared" si="86"/>
        <v>#DIV/0!</v>
      </c>
      <c r="AQ100" s="296" t="e">
        <f t="shared" si="86"/>
        <v>#DIV/0!</v>
      </c>
      <c r="AR100" s="296" t="e">
        <f t="shared" si="86"/>
        <v>#DIV/0!</v>
      </c>
      <c r="AS100" s="296" t="e">
        <f t="shared" si="86"/>
        <v>#DIV/0!</v>
      </c>
      <c r="AT100" s="296" t="e">
        <f t="shared" si="86"/>
        <v>#DIV/0!</v>
      </c>
      <c r="AU100" s="296" t="e">
        <f t="shared" si="86"/>
        <v>#DIV/0!</v>
      </c>
      <c r="AV100" s="296" t="e">
        <f t="shared" si="86"/>
        <v>#DIV/0!</v>
      </c>
      <c r="AW100" s="296" t="e">
        <f t="shared" si="86"/>
        <v>#DIV/0!</v>
      </c>
      <c r="AX100" s="296" t="e">
        <f t="shared" si="86"/>
        <v>#DIV/0!</v>
      </c>
      <c r="AY100" s="296" t="e">
        <f t="shared" si="86"/>
        <v>#DIV/0!</v>
      </c>
      <c r="BE100" s="210"/>
      <c r="BF100" s="210"/>
      <c r="BG100" s="210"/>
      <c r="BH100" s="210"/>
      <c r="BI100" s="210"/>
      <c r="BJ100" s="210"/>
      <c r="BK100" s="210"/>
    </row>
    <row r="101" spans="1:63">
      <c r="A101" s="255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2">
        <f t="shared" ref="R101:AY101" si="87">R12</f>
        <v>179.25385799999998</v>
      </c>
      <c r="S101" s="302">
        <f t="shared" si="87"/>
        <v>195.81311399999998</v>
      </c>
      <c r="T101" s="302">
        <f t="shared" si="87"/>
        <v>164.07808199999999</v>
      </c>
      <c r="U101" s="302">
        <f t="shared" si="87"/>
        <v>153.94617000000002</v>
      </c>
      <c r="V101" s="302">
        <f t="shared" si="87"/>
        <v>175.87495799999999</v>
      </c>
      <c r="W101" s="302">
        <f t="shared" si="87"/>
        <v>151.529742</v>
      </c>
      <c r="X101" s="303">
        <f t="shared" si="87"/>
        <v>160.165908</v>
      </c>
      <c r="Y101" s="302">
        <f t="shared" si="87"/>
        <v>291.37155999999959</v>
      </c>
      <c r="Z101" s="302">
        <f t="shared" si="87"/>
        <v>510.06955750798716</v>
      </c>
      <c r="AA101" s="302">
        <f t="shared" si="87"/>
        <v>865.91214286846298</v>
      </c>
      <c r="AB101" s="302">
        <f t="shared" si="87"/>
        <v>1081.1982033429713</v>
      </c>
      <c r="AC101" s="302">
        <f t="shared" si="87"/>
        <v>1498.1565911942007</v>
      </c>
      <c r="AD101" s="302">
        <f t="shared" si="87"/>
        <v>1869.2380366160296</v>
      </c>
      <c r="AE101" s="302">
        <f t="shared" si="87"/>
        <v>2241.8941513480618</v>
      </c>
      <c r="AF101" s="302">
        <f t="shared" si="87"/>
        <v>2586.6971571164754</v>
      </c>
      <c r="AG101" s="302">
        <f t="shared" si="87"/>
        <v>2890.5892114423732</v>
      </c>
      <c r="AH101" s="302">
        <f t="shared" si="87"/>
        <v>3246.7513244834226</v>
      </c>
      <c r="AI101" s="302">
        <f t="shared" si="87"/>
        <v>3591.8643856716126</v>
      </c>
      <c r="AJ101" s="302">
        <f t="shared" si="87"/>
        <v>3969.7083769796363</v>
      </c>
      <c r="AK101" s="302">
        <f t="shared" si="87"/>
        <v>4336.9213714777761</v>
      </c>
      <c r="AL101" s="302">
        <f t="shared" si="87"/>
        <v>4808.5354028618822</v>
      </c>
      <c r="AM101" s="302">
        <f t="shared" si="87"/>
        <v>5243.7975952463048</v>
      </c>
      <c r="AN101" s="302">
        <f t="shared" si="87"/>
        <v>5746.6125528189759</v>
      </c>
      <c r="AO101" s="302" t="e">
        <f t="shared" si="87"/>
        <v>#NUM!</v>
      </c>
      <c r="AP101" s="302" t="e">
        <f t="shared" si="87"/>
        <v>#NUM!</v>
      </c>
      <c r="AQ101" s="302" t="e">
        <f t="shared" si="87"/>
        <v>#NUM!</v>
      </c>
      <c r="AR101" s="302" t="e">
        <f t="shared" si="87"/>
        <v>#NUM!</v>
      </c>
      <c r="AS101" s="302" t="e">
        <f t="shared" si="87"/>
        <v>#NUM!</v>
      </c>
      <c r="AT101" s="302" t="e">
        <f t="shared" si="87"/>
        <v>#NUM!</v>
      </c>
      <c r="AU101" s="302" t="e">
        <f t="shared" si="87"/>
        <v>#NUM!</v>
      </c>
      <c r="AV101" s="302" t="e">
        <f t="shared" si="87"/>
        <v>#NUM!</v>
      </c>
      <c r="AW101" s="302" t="e">
        <f t="shared" si="87"/>
        <v>#NUM!</v>
      </c>
      <c r="AX101" s="302" t="e">
        <f t="shared" si="87"/>
        <v>#NUM!</v>
      </c>
      <c r="AY101" s="302" t="e">
        <f t="shared" si="87"/>
        <v>#NUM!</v>
      </c>
      <c r="BE101" s="210"/>
      <c r="BF101" s="210"/>
      <c r="BG101" s="210"/>
      <c r="BH101" s="210"/>
      <c r="BI101" s="210"/>
      <c r="BJ101" s="210"/>
      <c r="BK101" s="210"/>
    </row>
    <row r="102" spans="1:63" ht="12" thickBot="1">
      <c r="A102" s="234" t="s">
        <v>200</v>
      </c>
      <c r="BE102" s="210"/>
      <c r="BF102" s="210"/>
      <c r="BG102" s="210"/>
      <c r="BH102" s="210"/>
      <c r="BI102" s="210"/>
      <c r="BJ102" s="210"/>
      <c r="BK102" s="210"/>
    </row>
    <row r="103" spans="1:63" ht="12" thickBot="1">
      <c r="A103" s="236"/>
      <c r="B103" s="237">
        <f t="shared" ref="B103:AY103" si="88">B2</f>
        <v>2001</v>
      </c>
      <c r="C103" s="237">
        <f t="shared" si="88"/>
        <v>2002</v>
      </c>
      <c r="D103" s="237">
        <f t="shared" si="88"/>
        <v>2003</v>
      </c>
      <c r="E103" s="237">
        <f t="shared" si="88"/>
        <v>2004</v>
      </c>
      <c r="F103" s="237">
        <f t="shared" si="88"/>
        <v>2005</v>
      </c>
      <c r="G103" s="237">
        <f t="shared" si="88"/>
        <v>2006</v>
      </c>
      <c r="H103" s="237">
        <f t="shared" si="88"/>
        <v>2007</v>
      </c>
      <c r="I103" s="237">
        <f t="shared" si="88"/>
        <v>2008</v>
      </c>
      <c r="J103" s="237">
        <f t="shared" si="88"/>
        <v>2009</v>
      </c>
      <c r="K103" s="237">
        <f t="shared" si="88"/>
        <v>2010</v>
      </c>
      <c r="L103" s="237">
        <f t="shared" si="88"/>
        <v>2011</v>
      </c>
      <c r="M103" s="237">
        <f t="shared" si="88"/>
        <v>2012</v>
      </c>
      <c r="N103" s="237">
        <f t="shared" si="88"/>
        <v>2013</v>
      </c>
      <c r="O103" s="237">
        <f t="shared" si="88"/>
        <v>2014</v>
      </c>
      <c r="P103" s="237">
        <f t="shared" si="88"/>
        <v>2015</v>
      </c>
      <c r="Q103" s="237">
        <f t="shared" si="88"/>
        <v>2016</v>
      </c>
      <c r="R103" s="237">
        <f t="shared" si="88"/>
        <v>2017</v>
      </c>
      <c r="S103" s="237">
        <f t="shared" si="88"/>
        <v>2018</v>
      </c>
      <c r="T103" s="237">
        <f t="shared" si="88"/>
        <v>2019</v>
      </c>
      <c r="U103" s="237">
        <f t="shared" si="88"/>
        <v>2020</v>
      </c>
      <c r="V103" s="237">
        <f t="shared" si="88"/>
        <v>2021</v>
      </c>
      <c r="W103" s="237">
        <f t="shared" si="88"/>
        <v>2022</v>
      </c>
      <c r="X103" s="237">
        <f t="shared" si="88"/>
        <v>2023</v>
      </c>
      <c r="Y103" s="237">
        <f t="shared" si="88"/>
        <v>2024</v>
      </c>
      <c r="Z103" s="237">
        <f t="shared" si="88"/>
        <v>2025</v>
      </c>
      <c r="AA103" s="237">
        <f t="shared" si="88"/>
        <v>2026</v>
      </c>
      <c r="AB103" s="237">
        <f t="shared" si="88"/>
        <v>2027</v>
      </c>
      <c r="AC103" s="237">
        <f t="shared" si="88"/>
        <v>2028</v>
      </c>
      <c r="AD103" s="237">
        <f t="shared" si="88"/>
        <v>2029</v>
      </c>
      <c r="AE103" s="237">
        <f t="shared" si="88"/>
        <v>2030</v>
      </c>
      <c r="AF103" s="237">
        <f t="shared" si="88"/>
        <v>2031</v>
      </c>
      <c r="AG103" s="237">
        <f t="shared" si="88"/>
        <v>2032</v>
      </c>
      <c r="AH103" s="237">
        <f t="shared" si="88"/>
        <v>2033</v>
      </c>
      <c r="AI103" s="237">
        <f t="shared" si="88"/>
        <v>2034</v>
      </c>
      <c r="AJ103" s="237">
        <f t="shared" si="88"/>
        <v>2035</v>
      </c>
      <c r="AK103" s="237">
        <f t="shared" si="88"/>
        <v>2036</v>
      </c>
      <c r="AL103" s="237">
        <f t="shared" si="88"/>
        <v>2037</v>
      </c>
      <c r="AM103" s="237">
        <f t="shared" si="88"/>
        <v>2038</v>
      </c>
      <c r="AN103" s="237">
        <f t="shared" si="88"/>
        <v>2039</v>
      </c>
      <c r="AO103" s="237">
        <f t="shared" si="88"/>
        <v>2040</v>
      </c>
      <c r="AP103" s="237">
        <f t="shared" si="88"/>
        <v>2041</v>
      </c>
      <c r="AQ103" s="237">
        <f t="shared" si="88"/>
        <v>2042</v>
      </c>
      <c r="AR103" s="237">
        <f t="shared" si="88"/>
        <v>2043</v>
      </c>
      <c r="AS103" s="237">
        <f t="shared" si="88"/>
        <v>2044</v>
      </c>
      <c r="AT103" s="237">
        <f t="shared" si="88"/>
        <v>2045</v>
      </c>
      <c r="AU103" s="237">
        <f t="shared" si="88"/>
        <v>2046</v>
      </c>
      <c r="AV103" s="237">
        <f t="shared" si="88"/>
        <v>2047</v>
      </c>
      <c r="AW103" s="237">
        <f t="shared" si="88"/>
        <v>2048</v>
      </c>
      <c r="AX103" s="237">
        <f t="shared" si="88"/>
        <v>2049</v>
      </c>
      <c r="AY103" s="237">
        <f t="shared" si="88"/>
        <v>2050</v>
      </c>
      <c r="BE103" s="210"/>
      <c r="BF103" s="210"/>
      <c r="BG103" s="210"/>
      <c r="BH103" s="210"/>
      <c r="BI103" s="210"/>
      <c r="BJ103" s="210"/>
      <c r="BK103" s="210"/>
    </row>
    <row r="104" spans="1:63" s="278" customFormat="1">
      <c r="A104" s="278" t="s">
        <v>167</v>
      </c>
      <c r="T104" s="304"/>
      <c r="U104" s="305">
        <f>[1]Forecasts!$G2</f>
        <v>0</v>
      </c>
      <c r="V104" s="305">
        <f>[2]Forecasts!$G14</f>
        <v>0</v>
      </c>
      <c r="W104" s="305">
        <f>[3]Forecasts!$G26</f>
        <v>2.2699875251370627</v>
      </c>
      <c r="X104" s="305">
        <f>[3]Forecasts!$G38</f>
        <v>3.5535684345340628</v>
      </c>
      <c r="Y104" s="305">
        <f>[3]Forecasts!$G50</f>
        <v>2.7617393873552216</v>
      </c>
      <c r="Z104" s="305">
        <f>[3]Forecasts!$G62</f>
        <v>2.0072675986513135</v>
      </c>
      <c r="AA104" s="305">
        <f>[3]Forecasts!$G74</f>
        <v>2.2933192678346006</v>
      </c>
      <c r="AB104" s="305">
        <f>[3]Forecasts!$G86</f>
        <v>2.6276102361879192</v>
      </c>
      <c r="AC104" s="305">
        <f>[3]Forecasts!$G98</f>
        <v>3.072277942783145</v>
      </c>
      <c r="AD104" s="305">
        <f>[3]Forecasts!$G110</f>
        <v>3.7591794855055141</v>
      </c>
      <c r="AE104" s="305">
        <f>[3]Forecasts!$G122</f>
        <v>4.2132308790679431</v>
      </c>
      <c r="AF104" s="305">
        <f>[3]Forecasts!$G134</f>
        <v>4.0269223486642796</v>
      </c>
      <c r="AG104" s="305">
        <f>[3]Forecasts!$G146</f>
        <v>4.20878498908524</v>
      </c>
      <c r="AH104" s="305">
        <f>[3]Forecasts!$G158</f>
        <v>3.6573305044062869</v>
      </c>
      <c r="AI104" s="305">
        <f>[3]Forecasts!$G146</f>
        <v>4.20878498908524</v>
      </c>
      <c r="AJ104" s="305">
        <f>[3]Forecasts!$G158</f>
        <v>3.6573305044062869</v>
      </c>
      <c r="AK104" s="305">
        <f>[3]Forecasts!$G146</f>
        <v>4.20878498908524</v>
      </c>
      <c r="AL104" s="305">
        <f>[3]Forecasts!$G158</f>
        <v>3.6573305044062869</v>
      </c>
      <c r="AM104" s="305">
        <f>[3]Forecasts!$G146</f>
        <v>4.20878498908524</v>
      </c>
      <c r="AN104" s="305">
        <f>[3]Forecasts!$G158</f>
        <v>3.6573305044062869</v>
      </c>
      <c r="AO104" s="305">
        <f>[3]Forecasts!$G146</f>
        <v>4.20878498908524</v>
      </c>
      <c r="AP104" s="305">
        <f>[3]Forecasts!$G158</f>
        <v>3.6573305044062869</v>
      </c>
      <c r="AQ104" s="305">
        <f>[3]Forecasts!$G146</f>
        <v>4.20878498908524</v>
      </c>
      <c r="AR104" s="305">
        <f>[3]Forecasts!$G146</f>
        <v>4.20878498908524</v>
      </c>
      <c r="AS104" s="305">
        <f>[3]Forecasts!$G158</f>
        <v>3.6573305044062869</v>
      </c>
      <c r="AT104" s="305">
        <f>[3]Forecasts!$G146</f>
        <v>4.20878498908524</v>
      </c>
      <c r="AU104" s="305">
        <f>[3]Forecasts!$G158</f>
        <v>3.6573305044062869</v>
      </c>
      <c r="AV104" s="305">
        <f>[3]Forecasts!$G146</f>
        <v>4.20878498908524</v>
      </c>
      <c r="AW104" s="305">
        <f>[3]Forecasts!$G158</f>
        <v>3.6573305044062869</v>
      </c>
      <c r="AX104" s="305">
        <f>[3]Forecasts!$G146</f>
        <v>4.20878498908524</v>
      </c>
      <c r="AY104" s="305">
        <f>[3]Forecasts!$G158</f>
        <v>3.6573305044062869</v>
      </c>
      <c r="AZ104" s="290"/>
      <c r="BE104" s="277"/>
      <c r="BF104" s="277"/>
      <c r="BG104" s="277"/>
      <c r="BH104" s="277"/>
      <c r="BI104" s="277"/>
      <c r="BJ104" s="277"/>
      <c r="BK104" s="277"/>
    </row>
    <row r="105" spans="1:63" s="278" customFormat="1">
      <c r="A105" s="278" t="s">
        <v>168</v>
      </c>
      <c r="T105" s="304"/>
      <c r="U105" s="305">
        <f>[3]Forecasts!$G3</f>
        <v>0.37382052635725016</v>
      </c>
      <c r="V105" s="305">
        <f>[3]Forecasts!$G15</f>
        <v>1.2268009429640627</v>
      </c>
      <c r="W105" s="305">
        <f>[3]Forecasts!$G27</f>
        <v>2.6164661636718751</v>
      </c>
      <c r="X105" s="305">
        <f>[3]Forecasts!$G39</f>
        <v>3.332536634955781</v>
      </c>
      <c r="Y105" s="305">
        <f>[3]Forecasts!$G51</f>
        <v>2.9281327310226564</v>
      </c>
      <c r="Z105" s="305">
        <f>[3]Forecasts!$G63</f>
        <v>1.7561055181408647</v>
      </c>
      <c r="AA105" s="305">
        <f>[3]Forecasts!$G75</f>
        <v>2.405163420065743</v>
      </c>
      <c r="AB105" s="305">
        <f>[3]Forecasts!$G87</f>
        <v>2.7020179532774784</v>
      </c>
      <c r="AC105" s="305">
        <f>[3]Forecasts!$G99</f>
        <v>3.1702621329774705</v>
      </c>
      <c r="AD105" s="305">
        <f>[3]Forecasts!$G111</f>
        <v>3.6598717207394156</v>
      </c>
      <c r="AE105" s="305">
        <f>[3]Forecasts!$G123</f>
        <v>4.3465958476080591</v>
      </c>
      <c r="AF105" s="305">
        <f>[3]Forecasts!$G135</f>
        <v>4.0745941457969757</v>
      </c>
      <c r="AG105" s="305">
        <f>[3]Forecasts!$G147</f>
        <v>4.1681573944414341</v>
      </c>
      <c r="AH105" s="305">
        <f>[3]Forecasts!$G159</f>
        <v>3.7167029097624811</v>
      </c>
      <c r="AI105" s="305">
        <f>[3]Forecasts!$G147</f>
        <v>4.1681573944414341</v>
      </c>
      <c r="AJ105" s="305">
        <f>[3]Forecasts!$G159</f>
        <v>3.7167029097624811</v>
      </c>
      <c r="AK105" s="305">
        <f>[3]Forecasts!$G147</f>
        <v>4.1681573944414341</v>
      </c>
      <c r="AL105" s="305">
        <f>[3]Forecasts!$G159</f>
        <v>3.7167029097624811</v>
      </c>
      <c r="AM105" s="305">
        <f>[3]Forecasts!$G147</f>
        <v>4.1681573944414341</v>
      </c>
      <c r="AN105" s="305">
        <f>[3]Forecasts!$G159</f>
        <v>3.7167029097624811</v>
      </c>
      <c r="AO105" s="305">
        <f>[3]Forecasts!$G147</f>
        <v>4.1681573944414341</v>
      </c>
      <c r="AP105" s="305">
        <f>[3]Forecasts!$G159</f>
        <v>3.7167029097624811</v>
      </c>
      <c r="AQ105" s="305">
        <f>[3]Forecasts!$G147</f>
        <v>4.1681573944414341</v>
      </c>
      <c r="AR105" s="305">
        <f>[3]Forecasts!$G147</f>
        <v>4.1681573944414341</v>
      </c>
      <c r="AS105" s="305">
        <f>[3]Forecasts!$G159</f>
        <v>3.7167029097624811</v>
      </c>
      <c r="AT105" s="305">
        <f>[3]Forecasts!$G147</f>
        <v>4.1681573944414341</v>
      </c>
      <c r="AU105" s="305">
        <f>[3]Forecasts!$G159</f>
        <v>3.7167029097624811</v>
      </c>
      <c r="AV105" s="305">
        <f>[3]Forecasts!$G147</f>
        <v>4.1681573944414341</v>
      </c>
      <c r="AW105" s="305">
        <f>[3]Forecasts!$G159</f>
        <v>3.7167029097624811</v>
      </c>
      <c r="AX105" s="305">
        <f>[3]Forecasts!$G147</f>
        <v>4.1681573944414341</v>
      </c>
      <c r="AY105" s="305">
        <f>[3]Forecasts!$G159</f>
        <v>3.7167029097624811</v>
      </c>
      <c r="AZ105" s="290"/>
      <c r="BE105" s="277"/>
      <c r="BF105" s="277"/>
      <c r="BG105" s="277"/>
      <c r="BH105" s="277"/>
      <c r="BI105" s="277"/>
      <c r="BJ105" s="277"/>
      <c r="BK105" s="277"/>
    </row>
    <row r="106" spans="1:63" s="278" customFormat="1">
      <c r="A106" s="278" t="s">
        <v>169</v>
      </c>
      <c r="T106" s="304"/>
      <c r="U106" s="305">
        <f>[3]Forecasts!$G4</f>
        <v>0.45743632442406268</v>
      </c>
      <c r="V106" s="305">
        <f>[3]Forecasts!$G16</f>
        <v>1.2103607574107815</v>
      </c>
      <c r="W106" s="305">
        <f>[3]Forecasts!$G28</f>
        <v>3.2548560126521875</v>
      </c>
      <c r="X106" s="305">
        <f>[3]Forecasts!$G40</f>
        <v>2.7414457314490623</v>
      </c>
      <c r="Y106" s="305">
        <f>[3]Forecasts!$G52</f>
        <v>2.55675304940875</v>
      </c>
      <c r="Z106" s="305">
        <f>[3]Forecasts!$G64</f>
        <v>1.512941044456654</v>
      </c>
      <c r="AA106" s="305">
        <f>[3]Forecasts!$G76</f>
        <v>2.4697905032631855</v>
      </c>
      <c r="AB106" s="305">
        <f>[3]Forecasts!$G88</f>
        <v>2.7379891421866773</v>
      </c>
      <c r="AC106" s="305">
        <f>[3]Forecasts!$G100</f>
        <v>3.1989413669262468</v>
      </c>
      <c r="AD106" s="305">
        <f>[3]Forecasts!$G112</f>
        <v>3.6989014680037333</v>
      </c>
      <c r="AE106" s="305">
        <f>[3]Forecasts!$G124</f>
        <v>4.3783698878188337</v>
      </c>
      <c r="AF106" s="305">
        <f>[3]Forecasts!$G136</f>
        <v>4.1014700106782449</v>
      </c>
      <c r="AG106" s="305">
        <f>[3]Forecasts!$G148</f>
        <v>3.9314930341248169</v>
      </c>
      <c r="AH106" s="305">
        <f>[3]Forecasts!$G160</f>
        <v>3.7842063692875554</v>
      </c>
      <c r="AI106" s="305">
        <f>[3]Forecasts!$G148</f>
        <v>3.9314930341248169</v>
      </c>
      <c r="AJ106" s="305">
        <f>[3]Forecasts!$G160</f>
        <v>3.7842063692875554</v>
      </c>
      <c r="AK106" s="305">
        <f>[3]Forecasts!$G148</f>
        <v>3.9314930341248169</v>
      </c>
      <c r="AL106" s="305">
        <f>[3]Forecasts!$G160</f>
        <v>3.7842063692875554</v>
      </c>
      <c r="AM106" s="305">
        <f>[3]Forecasts!$G148</f>
        <v>3.9314930341248169</v>
      </c>
      <c r="AN106" s="305">
        <f>[3]Forecasts!$G160</f>
        <v>3.7842063692875554</v>
      </c>
      <c r="AO106" s="305">
        <f>[3]Forecasts!$G148</f>
        <v>3.9314930341248169</v>
      </c>
      <c r="AP106" s="305">
        <f>[3]Forecasts!$G160</f>
        <v>3.7842063692875554</v>
      </c>
      <c r="AQ106" s="305">
        <f>[3]Forecasts!$G148</f>
        <v>3.9314930341248169</v>
      </c>
      <c r="AR106" s="305">
        <f>[3]Forecasts!$G148</f>
        <v>3.9314930341248169</v>
      </c>
      <c r="AS106" s="305">
        <f>[3]Forecasts!$G160</f>
        <v>3.7842063692875554</v>
      </c>
      <c r="AT106" s="305">
        <f>[3]Forecasts!$G148</f>
        <v>3.9314930341248169</v>
      </c>
      <c r="AU106" s="305">
        <f>[3]Forecasts!$G160</f>
        <v>3.7842063692875554</v>
      </c>
      <c r="AV106" s="305">
        <f>[3]Forecasts!$G148</f>
        <v>3.9314930341248169</v>
      </c>
      <c r="AW106" s="305">
        <f>[3]Forecasts!$G160</f>
        <v>3.7842063692875554</v>
      </c>
      <c r="AX106" s="305">
        <f>[3]Forecasts!$G148</f>
        <v>3.9314930341248169</v>
      </c>
      <c r="AY106" s="305">
        <f>[3]Forecasts!$G160</f>
        <v>3.7842063692875554</v>
      </c>
      <c r="AZ106" s="290"/>
      <c r="BE106" s="277"/>
      <c r="BF106" s="277"/>
      <c r="BG106" s="277"/>
      <c r="BH106" s="277"/>
      <c r="BI106" s="277"/>
      <c r="BJ106" s="277"/>
      <c r="BK106" s="277"/>
    </row>
    <row r="107" spans="1:63" s="278" customFormat="1">
      <c r="A107" s="278" t="s">
        <v>170</v>
      </c>
      <c r="T107" s="304"/>
      <c r="U107" s="305">
        <f>[3]Forecasts!$G5</f>
        <v>0.47833293067984406</v>
      </c>
      <c r="V107" s="305">
        <f>[3]Forecasts!$G17</f>
        <v>1.5065667111645002</v>
      </c>
      <c r="W107" s="305">
        <f>[3]Forecasts!$G29</f>
        <v>3.7298203072097502</v>
      </c>
      <c r="X107" s="305">
        <f>[3]Forecasts!$G41</f>
        <v>2.2833527645293747</v>
      </c>
      <c r="Y107" s="305">
        <f>[3]Forecasts!$G53</f>
        <v>2.6215420558218749</v>
      </c>
      <c r="Z107" s="305">
        <f>[3]Forecasts!$G65</f>
        <v>1.5178214361020856</v>
      </c>
      <c r="AA107" s="305">
        <f>[3]Forecasts!$G77</f>
        <v>2.4578187530165532</v>
      </c>
      <c r="AB107" s="305">
        <f>[3]Forecasts!$G89</f>
        <v>2.5823309074112988</v>
      </c>
      <c r="AC107" s="305">
        <f>[3]Forecasts!$G101</f>
        <v>2.7583787992810742</v>
      </c>
      <c r="AD107" s="305">
        <f>[3]Forecasts!$G113</f>
        <v>3.4678018728947846</v>
      </c>
      <c r="AE107" s="305">
        <f>[3]Forecasts!$G125</f>
        <v>3.8107992620885951</v>
      </c>
      <c r="AF107" s="305">
        <f>[3]Forecasts!$G137</f>
        <v>3.6569795667970597</v>
      </c>
      <c r="AG107" s="305">
        <f>[3]Forecasts!$G149</f>
        <v>3.6354236486942728</v>
      </c>
      <c r="AH107" s="305">
        <f>[3]Forecasts!$G161</f>
        <v>3.4560229632798909</v>
      </c>
      <c r="AI107" s="305">
        <f>[3]Forecasts!$G149</f>
        <v>3.6354236486942728</v>
      </c>
      <c r="AJ107" s="305">
        <f>[3]Forecasts!$G161</f>
        <v>3.4560229632798909</v>
      </c>
      <c r="AK107" s="305">
        <f>[3]Forecasts!$G149</f>
        <v>3.6354236486942728</v>
      </c>
      <c r="AL107" s="305">
        <f>[3]Forecasts!$G161</f>
        <v>3.4560229632798909</v>
      </c>
      <c r="AM107" s="305">
        <f>[3]Forecasts!$G149</f>
        <v>3.6354236486942728</v>
      </c>
      <c r="AN107" s="305">
        <f>[3]Forecasts!$G161</f>
        <v>3.4560229632798909</v>
      </c>
      <c r="AO107" s="305">
        <f>[3]Forecasts!$G149</f>
        <v>3.6354236486942728</v>
      </c>
      <c r="AP107" s="305">
        <f>[3]Forecasts!$G161</f>
        <v>3.4560229632798909</v>
      </c>
      <c r="AQ107" s="305">
        <f>[3]Forecasts!$G149</f>
        <v>3.6354236486942728</v>
      </c>
      <c r="AR107" s="305">
        <f>[3]Forecasts!$G149</f>
        <v>3.6354236486942728</v>
      </c>
      <c r="AS107" s="305">
        <f>[3]Forecasts!$G161</f>
        <v>3.4560229632798909</v>
      </c>
      <c r="AT107" s="305">
        <f>[3]Forecasts!$G149</f>
        <v>3.6354236486942728</v>
      </c>
      <c r="AU107" s="305">
        <f>[3]Forecasts!$G161</f>
        <v>3.4560229632798909</v>
      </c>
      <c r="AV107" s="305">
        <f>[3]Forecasts!$G149</f>
        <v>3.6354236486942728</v>
      </c>
      <c r="AW107" s="305">
        <f>[3]Forecasts!$G161</f>
        <v>3.4560229632798909</v>
      </c>
      <c r="AX107" s="305">
        <f>[3]Forecasts!$G149</f>
        <v>3.6354236486942728</v>
      </c>
      <c r="AY107" s="305">
        <f>[3]Forecasts!$G161</f>
        <v>3.4560229632798909</v>
      </c>
      <c r="AZ107" s="290"/>
      <c r="BE107" s="277"/>
      <c r="BF107" s="277"/>
      <c r="BG107" s="277"/>
      <c r="BH107" s="277"/>
      <c r="BI107" s="277"/>
      <c r="BJ107" s="277"/>
      <c r="BK107" s="277"/>
    </row>
    <row r="108" spans="1:63" s="278" customFormat="1">
      <c r="A108" s="278" t="s">
        <v>171</v>
      </c>
      <c r="T108" s="304"/>
      <c r="U108" s="305">
        <f>[3]Forecasts!$G6</f>
        <v>0.37915358278987521</v>
      </c>
      <c r="V108" s="305">
        <f>[3]Forecasts!$G18</f>
        <v>1.2096897435385003</v>
      </c>
      <c r="W108" s="305">
        <f>[3]Forecasts!$G30</f>
        <v>3.7191981844797652</v>
      </c>
      <c r="X108" s="305">
        <f>[3]Forecasts!$G42</f>
        <v>2.1804004741771879</v>
      </c>
      <c r="Y108" s="305">
        <f>[3]Forecasts!$G54</f>
        <v>2.4313457317656249</v>
      </c>
      <c r="Z108" s="305">
        <f>[3]Forecasts!$G66</f>
        <v>1.6317828275280513</v>
      </c>
      <c r="AA108" s="305">
        <f>[3]Forecasts!$G78</f>
        <v>2.4630967705183342</v>
      </c>
      <c r="AB108" s="305">
        <f>[3]Forecasts!$G90</f>
        <v>2.5839296909643044</v>
      </c>
      <c r="AC108" s="305">
        <f>[3]Forecasts!$G102</f>
        <v>2.9365763663870839</v>
      </c>
      <c r="AD108" s="305">
        <f>[3]Forecasts!$G114</f>
        <v>3.7639845663686344</v>
      </c>
      <c r="AE108" s="305">
        <f>[3]Forecasts!$G126</f>
        <v>3.8202813473389465</v>
      </c>
      <c r="AF108" s="305">
        <f>[3]Forecasts!$G138</f>
        <v>3.6494467784152533</v>
      </c>
      <c r="AG108" s="305">
        <f>[3]Forecasts!$G150</f>
        <v>3.6215035813241139</v>
      </c>
      <c r="AH108" s="305">
        <f>[3]Forecasts!$G162</f>
        <v>3.335818377765388</v>
      </c>
      <c r="AI108" s="305">
        <f>[3]Forecasts!$G150</f>
        <v>3.6215035813241139</v>
      </c>
      <c r="AJ108" s="305">
        <f>[3]Forecasts!$G162</f>
        <v>3.335818377765388</v>
      </c>
      <c r="AK108" s="305">
        <f>[3]Forecasts!$G150</f>
        <v>3.6215035813241139</v>
      </c>
      <c r="AL108" s="305">
        <f>[3]Forecasts!$G162</f>
        <v>3.335818377765388</v>
      </c>
      <c r="AM108" s="305">
        <f>[3]Forecasts!$G150</f>
        <v>3.6215035813241139</v>
      </c>
      <c r="AN108" s="305">
        <f>[3]Forecasts!$G162</f>
        <v>3.335818377765388</v>
      </c>
      <c r="AO108" s="305">
        <f>[3]Forecasts!$G150</f>
        <v>3.6215035813241139</v>
      </c>
      <c r="AP108" s="305">
        <f>[3]Forecasts!$G162</f>
        <v>3.335818377765388</v>
      </c>
      <c r="AQ108" s="305">
        <f>[3]Forecasts!$G150</f>
        <v>3.6215035813241139</v>
      </c>
      <c r="AR108" s="305">
        <f>[3]Forecasts!$G150</f>
        <v>3.6215035813241139</v>
      </c>
      <c r="AS108" s="305">
        <f>[3]Forecasts!$G162</f>
        <v>3.335818377765388</v>
      </c>
      <c r="AT108" s="305">
        <f>[3]Forecasts!$G150</f>
        <v>3.6215035813241139</v>
      </c>
      <c r="AU108" s="305">
        <f>[3]Forecasts!$G162</f>
        <v>3.335818377765388</v>
      </c>
      <c r="AV108" s="305">
        <f>[3]Forecasts!$G150</f>
        <v>3.6215035813241139</v>
      </c>
      <c r="AW108" s="305">
        <f>[3]Forecasts!$G162</f>
        <v>3.335818377765388</v>
      </c>
      <c r="AX108" s="305">
        <f>[3]Forecasts!$G150</f>
        <v>3.6215035813241139</v>
      </c>
      <c r="AY108" s="305">
        <f>[3]Forecasts!$G162</f>
        <v>3.335818377765388</v>
      </c>
      <c r="AZ108" s="290"/>
      <c r="BE108" s="277"/>
      <c r="BF108" s="277"/>
      <c r="BG108" s="277"/>
      <c r="BH108" s="277"/>
      <c r="BI108" s="277"/>
      <c r="BJ108" s="277"/>
      <c r="BK108" s="277"/>
    </row>
    <row r="109" spans="1:63" s="278" customFormat="1">
      <c r="A109" s="278" t="s">
        <v>172</v>
      </c>
      <c r="T109" s="304"/>
      <c r="U109" s="305">
        <f>[3]Forecasts!$G7</f>
        <v>0.43185317597242201</v>
      </c>
      <c r="V109" s="305">
        <f>[3]Forecasts!$G19</f>
        <v>1.6552803692895313</v>
      </c>
      <c r="W109" s="305">
        <f>[3]Forecasts!$G31</f>
        <v>3.9572046083717187</v>
      </c>
      <c r="X109" s="305">
        <f>[3]Forecasts!$G43</f>
        <v>2.197786817252422</v>
      </c>
      <c r="Y109" s="305">
        <f>[3]Forecasts!$G55</f>
        <v>2.3479876207913652</v>
      </c>
      <c r="Z109" s="305">
        <f>[3]Forecasts!$G67</f>
        <v>1.677433307158513</v>
      </c>
      <c r="AA109" s="305">
        <f>[3]Forecasts!$G79</f>
        <v>2.4494184727430741</v>
      </c>
      <c r="AB109" s="305">
        <f>[3]Forecasts!$G91</f>
        <v>2.551119821254233</v>
      </c>
      <c r="AC109" s="305">
        <f>[3]Forecasts!$G103</f>
        <v>3.0377590598609334</v>
      </c>
      <c r="AD109" s="305">
        <f>[3]Forecasts!$G115</f>
        <v>3.7396121610124409</v>
      </c>
      <c r="AE109" s="305">
        <f>[3]Forecasts!$G127</f>
        <v>3.7927848068640215</v>
      </c>
      <c r="AF109" s="305">
        <f>[3]Forecasts!$G139</f>
        <v>3.652366328019482</v>
      </c>
      <c r="AG109" s="305">
        <f>[3]Forecasts!$G151</f>
        <v>3.5075472660470735</v>
      </c>
      <c r="AH109" s="305">
        <f>[3]Forecasts!$G163</f>
        <v>3.3095701075279256</v>
      </c>
      <c r="AI109" s="305">
        <f>[3]Forecasts!$G151</f>
        <v>3.5075472660470735</v>
      </c>
      <c r="AJ109" s="305">
        <f>[3]Forecasts!$G163</f>
        <v>3.3095701075279256</v>
      </c>
      <c r="AK109" s="305">
        <f>[3]Forecasts!$G151</f>
        <v>3.5075472660470735</v>
      </c>
      <c r="AL109" s="305">
        <f>[3]Forecasts!$G163</f>
        <v>3.3095701075279256</v>
      </c>
      <c r="AM109" s="305">
        <f>[3]Forecasts!$G151</f>
        <v>3.5075472660470735</v>
      </c>
      <c r="AN109" s="305">
        <f>[3]Forecasts!$G163</f>
        <v>3.3095701075279256</v>
      </c>
      <c r="AO109" s="305">
        <f>[3]Forecasts!$G151</f>
        <v>3.5075472660470735</v>
      </c>
      <c r="AP109" s="305">
        <f>[3]Forecasts!$G163</f>
        <v>3.3095701075279256</v>
      </c>
      <c r="AQ109" s="305">
        <f>[3]Forecasts!$G151</f>
        <v>3.5075472660470735</v>
      </c>
      <c r="AR109" s="305">
        <f>[3]Forecasts!$G151</f>
        <v>3.5075472660470735</v>
      </c>
      <c r="AS109" s="305">
        <f>[3]Forecasts!$G163</f>
        <v>3.3095701075279256</v>
      </c>
      <c r="AT109" s="305">
        <f>[3]Forecasts!$G151</f>
        <v>3.5075472660470735</v>
      </c>
      <c r="AU109" s="305">
        <f>[3]Forecasts!$G163</f>
        <v>3.3095701075279256</v>
      </c>
      <c r="AV109" s="305">
        <f>[3]Forecasts!$G151</f>
        <v>3.5075472660470735</v>
      </c>
      <c r="AW109" s="305">
        <f>[3]Forecasts!$G163</f>
        <v>3.3095701075279256</v>
      </c>
      <c r="AX109" s="305">
        <f>[3]Forecasts!$G151</f>
        <v>3.5075472660470735</v>
      </c>
      <c r="AY109" s="305">
        <f>[3]Forecasts!$G163</f>
        <v>3.3095701075279256</v>
      </c>
      <c r="AZ109" s="290"/>
      <c r="BE109" s="277"/>
      <c r="BF109" s="277"/>
      <c r="BG109" s="277"/>
      <c r="BH109" s="277"/>
      <c r="BI109" s="277"/>
      <c r="BJ109" s="277"/>
      <c r="BK109" s="277"/>
    </row>
    <row r="110" spans="1:63" s="278" customFormat="1">
      <c r="A110" s="278" t="s">
        <v>173</v>
      </c>
      <c r="T110" s="304"/>
      <c r="U110" s="305">
        <f>[3]Forecasts!$G8</f>
        <v>0.51716392611812534</v>
      </c>
      <c r="V110" s="305">
        <f>[3]Forecasts!$G20</f>
        <v>1.8380847997845002</v>
      </c>
      <c r="W110" s="305">
        <f>[3]Forecasts!$G32</f>
        <v>3.7202026297145006</v>
      </c>
      <c r="X110" s="305">
        <f>[3]Forecasts!$G44</f>
        <v>2.1653838241446874</v>
      </c>
      <c r="Y110" s="305">
        <f>[3]Forecasts!$G56</f>
        <v>2.5143675800112497</v>
      </c>
      <c r="Z110" s="305">
        <f>[3]Forecasts!$G68</f>
        <v>1.7608804274017595</v>
      </c>
      <c r="AA110" s="305">
        <f>[3]Forecasts!$G80</f>
        <v>2.4698325427986312</v>
      </c>
      <c r="AB110" s="305">
        <f>[3]Forecasts!$G92</f>
        <v>2.7698030391267214</v>
      </c>
      <c r="AC110" s="305">
        <f>[3]Forecasts!$G104</f>
        <v>3.5126651152905195</v>
      </c>
      <c r="AD110" s="305">
        <f>[3]Forecasts!$G116</f>
        <v>4.4346914295432267</v>
      </c>
      <c r="AE110" s="305">
        <f>[3]Forecasts!$G128</f>
        <v>4.524347759725905</v>
      </c>
      <c r="AF110" s="305">
        <f>[3]Forecasts!$G140</f>
        <v>4.1109957695434449</v>
      </c>
      <c r="AG110" s="305">
        <f>[3]Forecasts!$G152</f>
        <v>3.9176294333454815</v>
      </c>
      <c r="AH110" s="305">
        <f>[3]Forecasts!$G164</f>
        <v>3.363606744683898</v>
      </c>
      <c r="AI110" s="305">
        <f>[3]Forecasts!$G152</f>
        <v>3.9176294333454815</v>
      </c>
      <c r="AJ110" s="305">
        <f>[3]Forecasts!$G164</f>
        <v>3.363606744683898</v>
      </c>
      <c r="AK110" s="305">
        <f>[3]Forecasts!$G152</f>
        <v>3.9176294333454815</v>
      </c>
      <c r="AL110" s="305">
        <f>[3]Forecasts!$G164</f>
        <v>3.363606744683898</v>
      </c>
      <c r="AM110" s="305">
        <f>[3]Forecasts!$G152</f>
        <v>3.9176294333454815</v>
      </c>
      <c r="AN110" s="305">
        <f>[3]Forecasts!$G164</f>
        <v>3.363606744683898</v>
      </c>
      <c r="AO110" s="305">
        <f>[3]Forecasts!$G152</f>
        <v>3.9176294333454815</v>
      </c>
      <c r="AP110" s="305">
        <f>[3]Forecasts!$G164</f>
        <v>3.363606744683898</v>
      </c>
      <c r="AQ110" s="305">
        <f>[3]Forecasts!$G152</f>
        <v>3.9176294333454815</v>
      </c>
      <c r="AR110" s="305">
        <f>[3]Forecasts!$G152</f>
        <v>3.9176294333454815</v>
      </c>
      <c r="AS110" s="305">
        <f>[3]Forecasts!$G164</f>
        <v>3.363606744683898</v>
      </c>
      <c r="AT110" s="305">
        <f>[3]Forecasts!$G152</f>
        <v>3.9176294333454815</v>
      </c>
      <c r="AU110" s="305">
        <f>[3]Forecasts!$G164</f>
        <v>3.363606744683898</v>
      </c>
      <c r="AV110" s="305">
        <f>[3]Forecasts!$G152</f>
        <v>3.9176294333454815</v>
      </c>
      <c r="AW110" s="305">
        <f>[3]Forecasts!$G164</f>
        <v>3.363606744683898</v>
      </c>
      <c r="AX110" s="305">
        <f>[3]Forecasts!$G152</f>
        <v>3.9176294333454815</v>
      </c>
      <c r="AY110" s="305">
        <f>[3]Forecasts!$G164</f>
        <v>3.363606744683898</v>
      </c>
      <c r="AZ110" s="290"/>
      <c r="BE110" s="277"/>
      <c r="BF110" s="277"/>
      <c r="BG110" s="277"/>
      <c r="BH110" s="277"/>
      <c r="BI110" s="277"/>
      <c r="BJ110" s="277"/>
      <c r="BK110" s="277"/>
    </row>
    <row r="111" spans="1:63" s="278" customFormat="1">
      <c r="A111" s="278" t="s">
        <v>174</v>
      </c>
      <c r="T111" s="304"/>
      <c r="U111" s="305">
        <f>[3]Forecasts!$G9</f>
        <v>0.51147596117500016</v>
      </c>
      <c r="V111" s="305">
        <f>[3]Forecasts!$G21</f>
        <v>1.7168598157978132</v>
      </c>
      <c r="W111" s="305">
        <f>[3]Forecasts!$G33</f>
        <v>3.3245347878546876</v>
      </c>
      <c r="X111" s="305">
        <f>[3]Forecasts!$G45</f>
        <v>2.98110994324625</v>
      </c>
      <c r="Y111" s="305">
        <f>[3]Forecasts!$G57</f>
        <v>2.3097106565812497</v>
      </c>
      <c r="Z111" s="305">
        <f>[3]Forecasts!$G69</f>
        <v>1.8649845881891087</v>
      </c>
      <c r="AA111" s="305">
        <f>[3]Forecasts!$G81</f>
        <v>2.4955982100198106</v>
      </c>
      <c r="AB111" s="305">
        <f>[3]Forecasts!$G93</f>
        <v>2.8172330666645182</v>
      </c>
      <c r="AC111" s="305">
        <f>[3]Forecasts!$G105</f>
        <v>3.561693926381321</v>
      </c>
      <c r="AD111" s="305">
        <f>[3]Forecasts!$G117</f>
        <v>4.395180015436142</v>
      </c>
      <c r="AE111" s="305">
        <f>[3]Forecasts!$G129</f>
        <v>4.4803914444488662</v>
      </c>
      <c r="AF111" s="305">
        <f>[3]Forecasts!$G141</f>
        <v>4.1688790712407924</v>
      </c>
      <c r="AG111" s="305">
        <f>[3]Forecasts!$G153</f>
        <v>3.8592644648053662</v>
      </c>
      <c r="AH111" s="305">
        <f>[3]Forecasts!$G165</f>
        <v>3.2205188574720474</v>
      </c>
      <c r="AI111" s="305">
        <f>[3]Forecasts!$G153</f>
        <v>3.8592644648053662</v>
      </c>
      <c r="AJ111" s="305">
        <f>[3]Forecasts!$G165</f>
        <v>3.2205188574720474</v>
      </c>
      <c r="AK111" s="305">
        <f>[3]Forecasts!$G153</f>
        <v>3.8592644648053662</v>
      </c>
      <c r="AL111" s="305">
        <f>[3]Forecasts!$G165</f>
        <v>3.2205188574720474</v>
      </c>
      <c r="AM111" s="305">
        <f>[3]Forecasts!$G153</f>
        <v>3.8592644648053662</v>
      </c>
      <c r="AN111" s="305">
        <f>[3]Forecasts!$G165</f>
        <v>3.2205188574720474</v>
      </c>
      <c r="AO111" s="305">
        <f>[3]Forecasts!$G153</f>
        <v>3.8592644648053662</v>
      </c>
      <c r="AP111" s="305">
        <f>[3]Forecasts!$G165</f>
        <v>3.2205188574720474</v>
      </c>
      <c r="AQ111" s="305">
        <f>[3]Forecasts!$G153</f>
        <v>3.8592644648053662</v>
      </c>
      <c r="AR111" s="305">
        <f>[3]Forecasts!$G153</f>
        <v>3.8592644648053662</v>
      </c>
      <c r="AS111" s="305">
        <f>[3]Forecasts!$G165</f>
        <v>3.2205188574720474</v>
      </c>
      <c r="AT111" s="305">
        <f>[3]Forecasts!$G153</f>
        <v>3.8592644648053662</v>
      </c>
      <c r="AU111" s="305">
        <f>[3]Forecasts!$G165</f>
        <v>3.2205188574720474</v>
      </c>
      <c r="AV111" s="305">
        <f>[3]Forecasts!$G153</f>
        <v>3.8592644648053662</v>
      </c>
      <c r="AW111" s="305">
        <f>[3]Forecasts!$G165</f>
        <v>3.2205188574720474</v>
      </c>
      <c r="AX111" s="305">
        <f>[3]Forecasts!$G153</f>
        <v>3.8592644648053662</v>
      </c>
      <c r="AY111" s="305">
        <f>[3]Forecasts!$G165</f>
        <v>3.2205188574720474</v>
      </c>
      <c r="AZ111" s="290"/>
      <c r="BE111" s="277"/>
      <c r="BF111" s="277"/>
      <c r="BG111" s="277"/>
      <c r="BH111" s="277"/>
      <c r="BI111" s="277"/>
      <c r="BJ111" s="277"/>
      <c r="BK111" s="277"/>
    </row>
    <row r="112" spans="1:63" s="278" customFormat="1">
      <c r="A112" s="278" t="s">
        <v>175</v>
      </c>
      <c r="T112" s="304"/>
      <c r="U112" s="305">
        <f>[3]Forecasts!$G10</f>
        <v>0.54982079988726562</v>
      </c>
      <c r="V112" s="305">
        <f>[3]Forecasts!$G22</f>
        <v>1.8660540980699376</v>
      </c>
      <c r="W112" s="305">
        <f>[3]Forecasts!$G34</f>
        <v>3.3245347878546876</v>
      </c>
      <c r="X112" s="305">
        <f>[3]Forecasts!$G46</f>
        <v>3.232403167131094</v>
      </c>
      <c r="Y112" s="305">
        <f>[3]Forecasts!$G58</f>
        <v>2.1314703314242185</v>
      </c>
      <c r="Z112" s="305">
        <f>[3]Forecasts!$G70</f>
        <v>1.6939522431212002</v>
      </c>
      <c r="AA112" s="305">
        <f>[3]Forecasts!$G82</f>
        <v>2.4884099520769145</v>
      </c>
      <c r="AB112" s="305">
        <f>[3]Forecasts!$G94</f>
        <v>2.7406049542547817</v>
      </c>
      <c r="AC112" s="305">
        <f>[3]Forecasts!$G106</f>
        <v>3.1232280693442296</v>
      </c>
      <c r="AD112" s="305">
        <f>[3]Forecasts!$G118</f>
        <v>4.2210209869916318</v>
      </c>
      <c r="AE112" s="305">
        <f>[3]Forecasts!$G130</f>
        <v>4.3762305436573214</v>
      </c>
      <c r="AF112" s="305">
        <f>[3]Forecasts!$G142</f>
        <v>4.1824624633957077</v>
      </c>
      <c r="AG112" s="305">
        <f>[3]Forecasts!$G154</f>
        <v>3.7361472487367835</v>
      </c>
      <c r="AH112" s="305">
        <f>[3]Forecasts!$G166</f>
        <v>3.1332338215617725</v>
      </c>
      <c r="AI112" s="305">
        <f>[3]Forecasts!$G154</f>
        <v>3.7361472487367835</v>
      </c>
      <c r="AJ112" s="305">
        <f>[3]Forecasts!$G166</f>
        <v>3.1332338215617725</v>
      </c>
      <c r="AK112" s="305">
        <f>[3]Forecasts!$G154</f>
        <v>3.7361472487367835</v>
      </c>
      <c r="AL112" s="305">
        <f>[3]Forecasts!$G166</f>
        <v>3.1332338215617725</v>
      </c>
      <c r="AM112" s="305">
        <f>[3]Forecasts!$G154</f>
        <v>3.7361472487367835</v>
      </c>
      <c r="AN112" s="305">
        <f>[3]Forecasts!$G166</f>
        <v>3.1332338215617725</v>
      </c>
      <c r="AO112" s="305">
        <f>[3]Forecasts!$G154</f>
        <v>3.7361472487367835</v>
      </c>
      <c r="AP112" s="305">
        <f>[3]Forecasts!$G166</f>
        <v>3.1332338215617725</v>
      </c>
      <c r="AQ112" s="305">
        <f>[3]Forecasts!$G154</f>
        <v>3.7361472487367835</v>
      </c>
      <c r="AR112" s="305">
        <f>[3]Forecasts!$G154</f>
        <v>3.7361472487367835</v>
      </c>
      <c r="AS112" s="305">
        <f>[3]Forecasts!$G166</f>
        <v>3.1332338215617725</v>
      </c>
      <c r="AT112" s="305">
        <f>[3]Forecasts!$G154</f>
        <v>3.7361472487367835</v>
      </c>
      <c r="AU112" s="305">
        <f>[3]Forecasts!$G166</f>
        <v>3.1332338215617725</v>
      </c>
      <c r="AV112" s="305">
        <f>[3]Forecasts!$G154</f>
        <v>3.7361472487367835</v>
      </c>
      <c r="AW112" s="305">
        <f>[3]Forecasts!$G166</f>
        <v>3.1332338215617725</v>
      </c>
      <c r="AX112" s="305">
        <f>[3]Forecasts!$G154</f>
        <v>3.7361472487367835</v>
      </c>
      <c r="AY112" s="305">
        <f>[3]Forecasts!$G166</f>
        <v>3.1332338215617725</v>
      </c>
      <c r="AZ112" s="290"/>
      <c r="BE112" s="277"/>
      <c r="BF112" s="277"/>
      <c r="BG112" s="277"/>
      <c r="BH112" s="277"/>
      <c r="BI112" s="277"/>
      <c r="BJ112" s="277"/>
      <c r="BK112" s="277"/>
    </row>
    <row r="113" spans="1:63" s="278" customFormat="1">
      <c r="A113" s="278" t="s">
        <v>176</v>
      </c>
      <c r="T113" s="304"/>
      <c r="U113" s="305">
        <f>[3]Forecasts!$G11</f>
        <v>0.61278013549275001</v>
      </c>
      <c r="V113" s="305">
        <f>[3]Forecasts!$G23</f>
        <v>1.8703441645247505</v>
      </c>
      <c r="W113" s="305">
        <f>[3]Forecasts!$G35</f>
        <v>3.8472365381502498</v>
      </c>
      <c r="X113" s="305">
        <f>[3]Forecasts!$G47</f>
        <v>3.2225846168725001</v>
      </c>
      <c r="Y113" s="305">
        <f>[3]Forecasts!$G59</f>
        <v>2.2325323760174998</v>
      </c>
      <c r="Z113" s="305">
        <f>[3]Forecasts!$G71</f>
        <v>1.6939522431212002</v>
      </c>
      <c r="AA113" s="305">
        <f>[3]Forecasts!$G83</f>
        <v>2.5204900145989586</v>
      </c>
      <c r="AB113" s="305">
        <f>[3]Forecasts!$G95</f>
        <v>2.7083912348556849</v>
      </c>
      <c r="AC113" s="305">
        <f>[3]Forecasts!$G107</f>
        <v>3.6988034669429335</v>
      </c>
      <c r="AD113" s="305">
        <f>[3]Forecasts!$G119</f>
        <v>4.2497846849266381</v>
      </c>
      <c r="AE113" s="305">
        <f>[3]Forecasts!$G131</f>
        <v>4.3325770652414182</v>
      </c>
      <c r="AF113" s="305">
        <f>[3]Forecasts!$G143</f>
        <v>4.4686067550223063</v>
      </c>
      <c r="AG113" s="305">
        <f>[3]Forecasts!$G155</f>
        <v>3.6337409386430828</v>
      </c>
      <c r="AH113" s="305">
        <f>[3]Forecasts!$G167</f>
        <v>3.4351417416680272</v>
      </c>
      <c r="AI113" s="305">
        <f>[3]Forecasts!$G155</f>
        <v>3.6337409386430828</v>
      </c>
      <c r="AJ113" s="305">
        <f>[3]Forecasts!$G167</f>
        <v>3.4351417416680272</v>
      </c>
      <c r="AK113" s="305">
        <f>[3]Forecasts!$G155</f>
        <v>3.6337409386430828</v>
      </c>
      <c r="AL113" s="305">
        <f>[3]Forecasts!$G167</f>
        <v>3.4351417416680272</v>
      </c>
      <c r="AM113" s="305">
        <f>[3]Forecasts!$G155</f>
        <v>3.6337409386430828</v>
      </c>
      <c r="AN113" s="305">
        <f>[3]Forecasts!$G167</f>
        <v>3.4351417416680272</v>
      </c>
      <c r="AO113" s="305">
        <f>[3]Forecasts!$G155</f>
        <v>3.6337409386430828</v>
      </c>
      <c r="AP113" s="305">
        <f>[3]Forecasts!$G167</f>
        <v>3.4351417416680272</v>
      </c>
      <c r="AQ113" s="305">
        <f>[3]Forecasts!$G155</f>
        <v>3.6337409386430828</v>
      </c>
      <c r="AR113" s="305">
        <f>[3]Forecasts!$G155</f>
        <v>3.6337409386430828</v>
      </c>
      <c r="AS113" s="305">
        <f>[3]Forecasts!$G167</f>
        <v>3.4351417416680272</v>
      </c>
      <c r="AT113" s="305">
        <f>[3]Forecasts!$G155</f>
        <v>3.6337409386430828</v>
      </c>
      <c r="AU113" s="305">
        <f>[3]Forecasts!$G167</f>
        <v>3.4351417416680272</v>
      </c>
      <c r="AV113" s="305">
        <f>[3]Forecasts!$G155</f>
        <v>3.6337409386430828</v>
      </c>
      <c r="AW113" s="305">
        <f>[3]Forecasts!$G167</f>
        <v>3.4351417416680272</v>
      </c>
      <c r="AX113" s="305">
        <f>[3]Forecasts!$G155</f>
        <v>3.6337409386430828</v>
      </c>
      <c r="AY113" s="305">
        <f>[3]Forecasts!$G167</f>
        <v>3.4351417416680272</v>
      </c>
      <c r="AZ113" s="290"/>
      <c r="BE113" s="277"/>
      <c r="BF113" s="277"/>
      <c r="BG113" s="277"/>
      <c r="BH113" s="277"/>
      <c r="BI113" s="277"/>
      <c r="BJ113" s="277"/>
      <c r="BK113" s="277"/>
    </row>
    <row r="114" spans="1:63" s="278" customFormat="1">
      <c r="A114" s="278" t="s">
        <v>177</v>
      </c>
      <c r="T114" s="304"/>
      <c r="U114" s="305">
        <f>[3]Forecasts!$G12</f>
        <v>0.59844353171781695</v>
      </c>
      <c r="V114" s="305">
        <f>[3]Forecasts!$G24</f>
        <v>2.508785299785</v>
      </c>
      <c r="W114" s="305">
        <f>[3]Forecasts!$G36</f>
        <v>3.8472365381502498</v>
      </c>
      <c r="X114" s="305">
        <f>[3]Forecasts!$G48</f>
        <v>2.9984840224057501</v>
      </c>
      <c r="Y114" s="305">
        <f>[3]Forecasts!$G60</f>
        <v>2.4390338017789062</v>
      </c>
      <c r="Z114" s="305">
        <f>[3]Forecasts!$G72</f>
        <v>1.6939522431212002</v>
      </c>
      <c r="AA114" s="305">
        <f>[3]Forecasts!$G84</f>
        <v>2.5277104099191363</v>
      </c>
      <c r="AB114" s="305">
        <f>[3]Forecasts!$G96</f>
        <v>2.744428936702012</v>
      </c>
      <c r="AC114" s="305">
        <f>[3]Forecasts!$G108</f>
        <v>3.8466798495901329</v>
      </c>
      <c r="AD114" s="305">
        <f>[3]Forecasts!$G120</f>
        <v>4.2104062966938116</v>
      </c>
      <c r="AE114" s="305">
        <f>[3]Forecasts!$G132</f>
        <v>4.3252781912308471</v>
      </c>
      <c r="AF114" s="305">
        <f>[3]Forecasts!$G144</f>
        <v>4.2658917909325798</v>
      </c>
      <c r="AG114" s="305">
        <f>[3]Forecasts!$G156</f>
        <v>3.6238730283438243</v>
      </c>
      <c r="AH114" s="305">
        <f>[3]Forecasts!$G168</f>
        <v>3.3126020342360727</v>
      </c>
      <c r="AI114" s="305">
        <f>[3]Forecasts!$G156</f>
        <v>3.6238730283438243</v>
      </c>
      <c r="AJ114" s="305">
        <f>[3]Forecasts!$G168</f>
        <v>3.3126020342360727</v>
      </c>
      <c r="AK114" s="305">
        <f>[3]Forecasts!$G156</f>
        <v>3.6238730283438243</v>
      </c>
      <c r="AL114" s="305">
        <f>[3]Forecasts!$G168</f>
        <v>3.3126020342360727</v>
      </c>
      <c r="AM114" s="305">
        <f>[3]Forecasts!$G156</f>
        <v>3.6238730283438243</v>
      </c>
      <c r="AN114" s="305">
        <f>[3]Forecasts!$G168</f>
        <v>3.3126020342360727</v>
      </c>
      <c r="AO114" s="305">
        <f>[3]Forecasts!$G156</f>
        <v>3.6238730283438243</v>
      </c>
      <c r="AP114" s="305">
        <f>[3]Forecasts!$G168</f>
        <v>3.3126020342360727</v>
      </c>
      <c r="AQ114" s="305">
        <f>[3]Forecasts!$G156</f>
        <v>3.6238730283438243</v>
      </c>
      <c r="AR114" s="305">
        <f>[3]Forecasts!$G156</f>
        <v>3.6238730283438243</v>
      </c>
      <c r="AS114" s="305">
        <f>[3]Forecasts!$G168</f>
        <v>3.3126020342360727</v>
      </c>
      <c r="AT114" s="305">
        <f>[3]Forecasts!$G156</f>
        <v>3.6238730283438243</v>
      </c>
      <c r="AU114" s="305">
        <f>[3]Forecasts!$G168</f>
        <v>3.3126020342360727</v>
      </c>
      <c r="AV114" s="305">
        <f>[3]Forecasts!$G156</f>
        <v>3.6238730283438243</v>
      </c>
      <c r="AW114" s="305">
        <f>[3]Forecasts!$G168</f>
        <v>3.3126020342360727</v>
      </c>
      <c r="AX114" s="305">
        <f>[3]Forecasts!$G156</f>
        <v>3.6238730283438243</v>
      </c>
      <c r="AY114" s="305">
        <f>[3]Forecasts!$G168</f>
        <v>3.3126020342360727</v>
      </c>
      <c r="AZ114" s="290"/>
      <c r="BE114" s="277"/>
      <c r="BF114" s="277"/>
      <c r="BG114" s="277"/>
      <c r="BH114" s="277"/>
      <c r="BI114" s="277"/>
      <c r="BJ114" s="277"/>
      <c r="BK114" s="277"/>
    </row>
    <row r="115" spans="1:63" s="278" customFormat="1">
      <c r="A115" s="278" t="s">
        <v>178</v>
      </c>
      <c r="T115" s="304"/>
      <c r="U115" s="305">
        <f>[3]Forecasts!$G13</f>
        <v>0.74391555154515654</v>
      </c>
      <c r="V115" s="305">
        <f>[3]Forecasts!$G25</f>
        <v>2.3890110591559375</v>
      </c>
      <c r="W115" s="305">
        <f>[3]Forecasts!$G37</f>
        <v>3.7106194895280624</v>
      </c>
      <c r="X115" s="305">
        <f>[3]Forecasts!$G49</f>
        <v>2.8554678180845312</v>
      </c>
      <c r="Y115" s="305">
        <f>[3]Forecasts!$G61</f>
        <v>2.5148179093137504</v>
      </c>
      <c r="Z115" s="305">
        <f>[3]Forecasts!$G73</f>
        <v>1.6939522431212002</v>
      </c>
      <c r="AA115" s="305">
        <f>[3]Forecasts!$G85</f>
        <v>2.5076448331555241</v>
      </c>
      <c r="AB115" s="305">
        <f>[3]Forecasts!$G97</f>
        <v>2.7467933874761967</v>
      </c>
      <c r="AC115" s="305">
        <f>[3]Forecasts!$G109</f>
        <v>3.9311619348404849</v>
      </c>
      <c r="AD115" s="305">
        <f>[3]Forecasts!$G121</f>
        <v>4.1599627501049579</v>
      </c>
      <c r="AE115" s="305">
        <f>[3]Forecasts!$G133</f>
        <v>3.9532349249154723</v>
      </c>
      <c r="AF115" s="305">
        <f>[3]Forecasts!$G145</f>
        <v>4.3556872054180777</v>
      </c>
      <c r="AG115" s="305">
        <f>[3]Forecasts!$G157</f>
        <v>3.4966898171040435</v>
      </c>
      <c r="AH115" s="305">
        <f>[3]Forecasts!$G169</f>
        <v>3.0942733136028382</v>
      </c>
      <c r="AI115" s="305">
        <f>[3]Forecasts!$G157</f>
        <v>3.4966898171040435</v>
      </c>
      <c r="AJ115" s="305">
        <f>[3]Forecasts!$G169</f>
        <v>3.0942733136028382</v>
      </c>
      <c r="AK115" s="305">
        <f>[3]Forecasts!$G157</f>
        <v>3.4966898171040435</v>
      </c>
      <c r="AL115" s="305">
        <f>[3]Forecasts!$G169</f>
        <v>3.0942733136028382</v>
      </c>
      <c r="AM115" s="305">
        <f>[3]Forecasts!$G157</f>
        <v>3.4966898171040435</v>
      </c>
      <c r="AN115" s="305">
        <f>[3]Forecasts!$G169</f>
        <v>3.0942733136028382</v>
      </c>
      <c r="AO115" s="305">
        <f>[3]Forecasts!$G157</f>
        <v>3.4966898171040435</v>
      </c>
      <c r="AP115" s="305">
        <f>[3]Forecasts!$G169</f>
        <v>3.0942733136028382</v>
      </c>
      <c r="AQ115" s="305">
        <f>[3]Forecasts!$G157</f>
        <v>3.4966898171040435</v>
      </c>
      <c r="AR115" s="305">
        <f>[3]Forecasts!$G157</f>
        <v>3.4966898171040435</v>
      </c>
      <c r="AS115" s="305">
        <f>[3]Forecasts!$G169</f>
        <v>3.0942733136028382</v>
      </c>
      <c r="AT115" s="305">
        <f>[3]Forecasts!$G157</f>
        <v>3.4966898171040435</v>
      </c>
      <c r="AU115" s="305">
        <f>[3]Forecasts!$G169</f>
        <v>3.0942733136028382</v>
      </c>
      <c r="AV115" s="305">
        <f>[3]Forecasts!$G157</f>
        <v>3.4966898171040435</v>
      </c>
      <c r="AW115" s="305">
        <f>[3]Forecasts!$G169</f>
        <v>3.0942733136028382</v>
      </c>
      <c r="AX115" s="305">
        <f>[3]Forecasts!$G157</f>
        <v>3.4966898171040435</v>
      </c>
      <c r="AY115" s="305">
        <f>[3]Forecasts!$G169</f>
        <v>3.0942733136028382</v>
      </c>
      <c r="AZ115" s="290"/>
      <c r="BE115" s="277"/>
      <c r="BF115" s="277"/>
      <c r="BG115" s="277"/>
      <c r="BH115" s="277"/>
      <c r="BI115" s="277"/>
      <c r="BJ115" s="277"/>
      <c r="BK115" s="277"/>
    </row>
    <row r="116" spans="1:63">
      <c r="A116" s="244" t="s">
        <v>201</v>
      </c>
      <c r="T116" s="234"/>
      <c r="U116" s="293">
        <f t="shared" ref="U116:AY116" si="89">AVERAGE(U104:U115)</f>
        <v>0.47118303717996407</v>
      </c>
      <c r="V116" s="293">
        <f t="shared" si="89"/>
        <v>1.5831531467904429</v>
      </c>
      <c r="W116" s="293">
        <f t="shared" si="89"/>
        <v>3.4434914643978995</v>
      </c>
      <c r="X116" s="293">
        <f t="shared" si="89"/>
        <v>2.8120436873985586</v>
      </c>
      <c r="Y116" s="293">
        <f t="shared" si="89"/>
        <v>2.4824527692743636</v>
      </c>
      <c r="Z116" s="293">
        <f t="shared" si="89"/>
        <v>1.7087521433427624</v>
      </c>
      <c r="AA116" s="293">
        <f t="shared" si="89"/>
        <v>2.4623577625008721</v>
      </c>
      <c r="AB116" s="293">
        <f t="shared" si="89"/>
        <v>2.6926876975301521</v>
      </c>
      <c r="AC116" s="293">
        <f t="shared" si="89"/>
        <v>3.3207023358837975</v>
      </c>
      <c r="AD116" s="293">
        <f t="shared" si="89"/>
        <v>3.9800331198517447</v>
      </c>
      <c r="AE116" s="293">
        <f t="shared" si="89"/>
        <v>4.1961768300005193</v>
      </c>
      <c r="AF116" s="293">
        <f t="shared" si="89"/>
        <v>4.0595251861603501</v>
      </c>
      <c r="AG116" s="293">
        <f t="shared" si="89"/>
        <v>3.7783545703912949</v>
      </c>
      <c r="AH116" s="293">
        <f t="shared" si="89"/>
        <v>3.4015856454378492</v>
      </c>
      <c r="AI116" s="293">
        <f t="shared" si="89"/>
        <v>3.7783545703912949</v>
      </c>
      <c r="AJ116" s="293">
        <f t="shared" si="89"/>
        <v>3.4015856454378492</v>
      </c>
      <c r="AK116" s="293">
        <f t="shared" si="89"/>
        <v>3.7783545703912949</v>
      </c>
      <c r="AL116" s="293">
        <f t="shared" si="89"/>
        <v>3.4015856454378492</v>
      </c>
      <c r="AM116" s="293">
        <f t="shared" si="89"/>
        <v>3.7783545703912949</v>
      </c>
      <c r="AN116" s="293">
        <f t="shared" si="89"/>
        <v>3.4015856454378492</v>
      </c>
      <c r="AO116" s="293">
        <f t="shared" si="89"/>
        <v>3.7783545703912949</v>
      </c>
      <c r="AP116" s="293">
        <f t="shared" si="89"/>
        <v>3.4015856454378492</v>
      </c>
      <c r="AQ116" s="293">
        <f t="shared" si="89"/>
        <v>3.7783545703912949</v>
      </c>
      <c r="AR116" s="293">
        <f t="shared" si="89"/>
        <v>3.7783545703912949</v>
      </c>
      <c r="AS116" s="293">
        <f t="shared" si="89"/>
        <v>3.4015856454378492</v>
      </c>
      <c r="AT116" s="293">
        <f t="shared" si="89"/>
        <v>3.7783545703912949</v>
      </c>
      <c r="AU116" s="293">
        <f t="shared" si="89"/>
        <v>3.4015856454378492</v>
      </c>
      <c r="AV116" s="293">
        <f t="shared" si="89"/>
        <v>3.7783545703912949</v>
      </c>
      <c r="AW116" s="293">
        <f t="shared" si="89"/>
        <v>3.4015856454378492</v>
      </c>
      <c r="AX116" s="293">
        <f t="shared" si="89"/>
        <v>3.7783545703912949</v>
      </c>
      <c r="AY116" s="293">
        <f t="shared" si="89"/>
        <v>3.4015856454378492</v>
      </c>
      <c r="BE116" s="210"/>
      <c r="BF116" s="210"/>
      <c r="BG116" s="210"/>
      <c r="BH116" s="210"/>
      <c r="BI116" s="210"/>
      <c r="BJ116" s="210"/>
      <c r="BK116" s="210"/>
    </row>
    <row r="117" spans="1:63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306"/>
      <c r="Y117" s="255"/>
      <c r="Z117" s="255"/>
      <c r="AA117" s="255"/>
      <c r="AB117" s="255"/>
      <c r="AC117" s="255"/>
      <c r="AD117" s="255"/>
      <c r="AE117" s="255"/>
      <c r="AF117" s="255"/>
      <c r="AG117" s="255"/>
      <c r="AH117" s="255"/>
      <c r="AI117" s="255"/>
      <c r="AJ117" s="255"/>
      <c r="AK117" s="255"/>
      <c r="AL117" s="255"/>
      <c r="AM117" s="255"/>
      <c r="AN117" s="255"/>
      <c r="AO117" s="255"/>
      <c r="AP117" s="255"/>
      <c r="AQ117" s="255"/>
      <c r="AR117" s="255"/>
      <c r="AS117" s="255"/>
      <c r="AT117" s="255"/>
      <c r="AU117" s="255"/>
      <c r="AV117" s="255"/>
      <c r="AW117" s="255"/>
      <c r="AX117" s="255"/>
      <c r="AY117" s="255"/>
      <c r="BE117" s="210"/>
      <c r="BF117" s="210"/>
      <c r="BG117" s="210"/>
      <c r="BH117" s="210"/>
      <c r="BI117" s="210"/>
      <c r="BJ117" s="210"/>
      <c r="BK117" s="210"/>
    </row>
    <row r="118" spans="1:63" ht="12" thickBot="1">
      <c r="A118" s="234" t="s">
        <v>202</v>
      </c>
      <c r="BE118" s="210"/>
      <c r="BF118" s="210"/>
      <c r="BG118" s="210"/>
      <c r="BH118" s="210"/>
      <c r="BI118" s="210"/>
      <c r="BJ118" s="210"/>
      <c r="BK118" s="210"/>
    </row>
    <row r="119" spans="1:63" ht="12" thickBot="1">
      <c r="A119" s="236"/>
      <c r="B119" s="237">
        <f>B2</f>
        <v>2001</v>
      </c>
      <c r="C119" s="237">
        <f t="shared" ref="C119:AY119" si="90">C2</f>
        <v>2002</v>
      </c>
      <c r="D119" s="237">
        <f t="shared" si="90"/>
        <v>2003</v>
      </c>
      <c r="E119" s="237">
        <f t="shared" si="90"/>
        <v>2004</v>
      </c>
      <c r="F119" s="237">
        <f t="shared" si="90"/>
        <v>2005</v>
      </c>
      <c r="G119" s="237">
        <f t="shared" si="90"/>
        <v>2006</v>
      </c>
      <c r="H119" s="237">
        <f t="shared" si="90"/>
        <v>2007</v>
      </c>
      <c r="I119" s="237">
        <f t="shared" si="90"/>
        <v>2008</v>
      </c>
      <c r="J119" s="237">
        <f t="shared" si="90"/>
        <v>2009</v>
      </c>
      <c r="K119" s="237">
        <f t="shared" si="90"/>
        <v>2010</v>
      </c>
      <c r="L119" s="237">
        <f t="shared" si="90"/>
        <v>2011</v>
      </c>
      <c r="M119" s="237">
        <f t="shared" si="90"/>
        <v>2012</v>
      </c>
      <c r="N119" s="237">
        <f t="shared" si="90"/>
        <v>2013</v>
      </c>
      <c r="O119" s="237">
        <f t="shared" si="90"/>
        <v>2014</v>
      </c>
      <c r="P119" s="237">
        <f t="shared" si="90"/>
        <v>2015</v>
      </c>
      <c r="Q119" s="237">
        <f t="shared" si="90"/>
        <v>2016</v>
      </c>
      <c r="R119" s="237">
        <f t="shared" si="90"/>
        <v>2017</v>
      </c>
      <c r="S119" s="237">
        <f t="shared" si="90"/>
        <v>2018</v>
      </c>
      <c r="T119" s="237">
        <f t="shared" si="90"/>
        <v>2019</v>
      </c>
      <c r="U119" s="237">
        <f t="shared" si="90"/>
        <v>2020</v>
      </c>
      <c r="V119" s="237">
        <f t="shared" si="90"/>
        <v>2021</v>
      </c>
      <c r="W119" s="237">
        <f t="shared" si="90"/>
        <v>2022</v>
      </c>
      <c r="X119" s="237">
        <f t="shared" si="90"/>
        <v>2023</v>
      </c>
      <c r="Y119" s="237">
        <f t="shared" si="90"/>
        <v>2024</v>
      </c>
      <c r="Z119" s="237">
        <f t="shared" si="90"/>
        <v>2025</v>
      </c>
      <c r="AA119" s="237">
        <f t="shared" si="90"/>
        <v>2026</v>
      </c>
      <c r="AB119" s="237">
        <f t="shared" si="90"/>
        <v>2027</v>
      </c>
      <c r="AC119" s="237">
        <f t="shared" si="90"/>
        <v>2028</v>
      </c>
      <c r="AD119" s="237">
        <f t="shared" si="90"/>
        <v>2029</v>
      </c>
      <c r="AE119" s="237">
        <f t="shared" si="90"/>
        <v>2030</v>
      </c>
      <c r="AF119" s="237">
        <f t="shared" si="90"/>
        <v>2031</v>
      </c>
      <c r="AG119" s="237">
        <f t="shared" si="90"/>
        <v>2032</v>
      </c>
      <c r="AH119" s="237">
        <f t="shared" si="90"/>
        <v>2033</v>
      </c>
      <c r="AI119" s="237">
        <f t="shared" si="90"/>
        <v>2034</v>
      </c>
      <c r="AJ119" s="237">
        <f t="shared" si="90"/>
        <v>2035</v>
      </c>
      <c r="AK119" s="237">
        <f t="shared" si="90"/>
        <v>2036</v>
      </c>
      <c r="AL119" s="237">
        <f t="shared" si="90"/>
        <v>2037</v>
      </c>
      <c r="AM119" s="237">
        <f t="shared" si="90"/>
        <v>2038</v>
      </c>
      <c r="AN119" s="237">
        <f t="shared" si="90"/>
        <v>2039</v>
      </c>
      <c r="AO119" s="237">
        <f t="shared" si="90"/>
        <v>2040</v>
      </c>
      <c r="AP119" s="237">
        <f t="shared" si="90"/>
        <v>2041</v>
      </c>
      <c r="AQ119" s="237">
        <f t="shared" si="90"/>
        <v>2042</v>
      </c>
      <c r="AR119" s="237">
        <f t="shared" si="90"/>
        <v>2043</v>
      </c>
      <c r="AS119" s="237">
        <f t="shared" si="90"/>
        <v>2044</v>
      </c>
      <c r="AT119" s="237">
        <f t="shared" si="90"/>
        <v>2045</v>
      </c>
      <c r="AU119" s="237">
        <f t="shared" si="90"/>
        <v>2046</v>
      </c>
      <c r="AV119" s="237">
        <f t="shared" si="90"/>
        <v>2047</v>
      </c>
      <c r="AW119" s="237">
        <f t="shared" si="90"/>
        <v>2048</v>
      </c>
      <c r="AX119" s="237">
        <f t="shared" si="90"/>
        <v>2049</v>
      </c>
      <c r="AY119" s="237">
        <f t="shared" si="90"/>
        <v>2050</v>
      </c>
      <c r="BE119" s="210"/>
      <c r="BF119" s="210"/>
      <c r="BG119" s="210"/>
      <c r="BH119" s="210"/>
      <c r="BI119" s="210"/>
      <c r="BJ119" s="210"/>
      <c r="BK119" s="210"/>
    </row>
    <row r="120" spans="1:63">
      <c r="A120" s="68" t="s">
        <v>167</v>
      </c>
      <c r="L120" s="307">
        <f>L25/(L25+RD!L24)</f>
        <v>0.88869617675891721</v>
      </c>
      <c r="M120" s="307">
        <f>M25/(M25+RD!M24)</f>
        <v>0.94577112508519479</v>
      </c>
      <c r="N120" s="307">
        <f>N25/(N25+RD!N24)</f>
        <v>0.98176582125087331</v>
      </c>
      <c r="O120" s="307">
        <f>O25/(O25+RD!O24)</f>
        <v>0.87535749194511825</v>
      </c>
      <c r="P120" s="307">
        <f>P25/(P25+RD!P24)</f>
        <v>0.80561015424592741</v>
      </c>
      <c r="Q120" s="307">
        <f>Q25/(Q25+RD!Q24)</f>
        <v>0.89892894596592576</v>
      </c>
      <c r="R120" s="307">
        <f>R25/(R25+RD!R24)</f>
        <v>0.83326146714817007</v>
      </c>
      <c r="S120" s="307">
        <f>S25/(S25+RD!S24)</f>
        <v>0.90172119017858421</v>
      </c>
      <c r="T120" s="307">
        <f>T25/(T25+RD!T24)</f>
        <v>0.79774838695372607</v>
      </c>
      <c r="U120" s="307">
        <f>U25/(U25+RD!U24)</f>
        <v>0.76229768868192405</v>
      </c>
      <c r="V120" s="307">
        <f>V25/(V25+RD!V24)</f>
        <v>0.70312975993687543</v>
      </c>
      <c r="W120" s="307">
        <f>W25/(W25+RD!W24)</f>
        <v>0.52044034023136088</v>
      </c>
      <c r="X120" s="307">
        <f>X25/(X25+RD!X24)</f>
        <v>0.45054505909174286</v>
      </c>
      <c r="Y120" s="307">
        <f>Y25/(Y25+RD!Y24)</f>
        <v>0.34897542557978728</v>
      </c>
      <c r="Z120" s="307">
        <f>Z25/(Z25+RD!Z24)</f>
        <v>0.23192612900315204</v>
      </c>
      <c r="AA120" s="307">
        <f>AA25/(AA25+RD!AA24)</f>
        <v>0.36125923018021033</v>
      </c>
      <c r="AB120" s="307">
        <f>AB25/(AB25+RD!AB24)</f>
        <v>0.32276436300582545</v>
      </c>
      <c r="AC120" s="307">
        <f>AC25/(AC25+RD!AC24)</f>
        <v>0.27485411373819019</v>
      </c>
      <c r="AD120" s="307">
        <f>AD25/(AD25+RD!AD24)</f>
        <v>0.29550177332797145</v>
      </c>
      <c r="AE120" s="307">
        <f>AE25/(AE25+RD!AE24)</f>
        <v>0.2790962046004164</v>
      </c>
      <c r="AF120" s="307">
        <f>AF25/(AF25+RD!AF24)</f>
        <v>0.2750278770627908</v>
      </c>
      <c r="AG120" s="307">
        <f>AG25/(AG25+RD!AG24)</f>
        <v>0.24972706612587131</v>
      </c>
      <c r="AH120" s="307">
        <f>AH25/(AH25+RD!AH24)</f>
        <v>0.28020685606760698</v>
      </c>
      <c r="AI120" s="307">
        <f>AI25/(AI25+RD!AI24)</f>
        <v>1</v>
      </c>
      <c r="AJ120" s="307">
        <f>AJ25/(AJ25+RD!AJ24)</f>
        <v>1</v>
      </c>
      <c r="AK120" s="307" t="e">
        <f>AK25/(AK25+RD!AK24)</f>
        <v>#VALUE!</v>
      </c>
      <c r="AL120" s="307" t="e">
        <f>AL25/(AL25+RD!AL24)</f>
        <v>#VALUE!</v>
      </c>
      <c r="AM120" s="307" t="e">
        <f>AM25/(AM25+RD!AM24)</f>
        <v>#VALUE!</v>
      </c>
      <c r="AN120" s="307" t="e">
        <f>AN25/(AN25+RD!AN24)</f>
        <v>#VALUE!</v>
      </c>
      <c r="AO120" s="307">
        <f>AO25/(AO25+RD!AO24)</f>
        <v>1</v>
      </c>
      <c r="AP120" s="307">
        <f>AP25/(AP25+RD!AP24)</f>
        <v>1</v>
      </c>
      <c r="AQ120" s="307">
        <f>AQ25/(AQ25+RD!AQ24)</f>
        <v>1</v>
      </c>
      <c r="AR120" s="307">
        <f>AR25/(AR25+RD!AR24)</f>
        <v>1</v>
      </c>
      <c r="AS120" s="307">
        <f>AS25/(AS25+RD!AS24)</f>
        <v>1</v>
      </c>
      <c r="AT120" s="307">
        <f>AT25/(AT25+RD!AT24)</f>
        <v>1</v>
      </c>
      <c r="AU120" s="307">
        <f>AU25/(AU25+RD!AU24)</f>
        <v>1</v>
      </c>
      <c r="AV120" s="307">
        <f>AV25/(AV25+RD!AV24)</f>
        <v>1</v>
      </c>
      <c r="AW120" s="307">
        <f>AW25/(AW25+RD!AW24)</f>
        <v>1</v>
      </c>
      <c r="AX120" s="307">
        <f>AX25/(AX25+RD!AX24)</f>
        <v>1</v>
      </c>
      <c r="AY120" s="307">
        <f>AY25/(AY25+RD!AY24)</f>
        <v>1</v>
      </c>
      <c r="BE120" s="210"/>
      <c r="BF120" s="210"/>
      <c r="BG120" s="210"/>
      <c r="BH120" s="210"/>
      <c r="BI120" s="210"/>
      <c r="BJ120" s="210"/>
      <c r="BK120" s="210"/>
    </row>
    <row r="121" spans="1:63">
      <c r="A121" s="68" t="s">
        <v>168</v>
      </c>
      <c r="L121" s="307">
        <f>L26/(L26+RD!L25)</f>
        <v>0.97670927755181092</v>
      </c>
      <c r="M121" s="307">
        <f>M26/(M26+RD!M25)</f>
        <v>0.96131028207461322</v>
      </c>
      <c r="N121" s="307">
        <f>N26/(N26+RD!N25)</f>
        <v>0.98192291022970335</v>
      </c>
      <c r="O121" s="307">
        <f>O26/(O26+RD!O25)</f>
        <v>0.86020514919941771</v>
      </c>
      <c r="P121" s="307">
        <f>P26/(P26+RD!P25)</f>
        <v>0.85220956619928312</v>
      </c>
      <c r="Q121" s="307">
        <f>Q26/(Q26+RD!Q25)</f>
        <v>0.93462745202606012</v>
      </c>
      <c r="R121" s="307">
        <f>R26/(R26+RD!R25)</f>
        <v>0.81705875193434518</v>
      </c>
      <c r="S121" s="307">
        <f>S26/(S26+RD!S25)</f>
        <v>0.85553326646606487</v>
      </c>
      <c r="T121" s="307">
        <f>T26/(T26+RD!T25)</f>
        <v>0.76465557137250073</v>
      </c>
      <c r="U121" s="307">
        <f>U26/(U26+RD!U25)</f>
        <v>0.77945367468810978</v>
      </c>
      <c r="V121" s="307">
        <f>V26/(V26+RD!V25)</f>
        <v>0.67021158060242902</v>
      </c>
      <c r="W121" s="307">
        <f>W26/(W26+RD!W25)</f>
        <v>0.54067486267329323</v>
      </c>
      <c r="X121" s="307">
        <f>X26/(X26+RD!X25)</f>
        <v>0.43090975415076005</v>
      </c>
      <c r="Y121" s="307">
        <f>Y26/(Y26+RD!Y25)</f>
        <v>0.34699327415622871</v>
      </c>
      <c r="Z121" s="307">
        <f>Z26/(Z26+RD!Z25)</f>
        <v>0.28373707120548919</v>
      </c>
      <c r="AA121" s="307">
        <f>AA26/(AA26+RD!AA25)</f>
        <v>0.35500331295641346</v>
      </c>
      <c r="AB121" s="307">
        <f>AB26/(AB26+RD!AB25)</f>
        <v>0.31783894040910032</v>
      </c>
      <c r="AC121" s="307">
        <f>AC26/(AC26+RD!AC25)</f>
        <v>0.26576589483047885</v>
      </c>
      <c r="AD121" s="307">
        <f>AD26/(AD26+RD!AD25)</f>
        <v>0.29034715788629817</v>
      </c>
      <c r="AE121" s="307">
        <f>AE26/(AE26+RD!AE25)</f>
        <v>0.2752952793000874</v>
      </c>
      <c r="AF121" s="307">
        <f>AF26/(AF26+RD!AF25)</f>
        <v>0.26966359935705964</v>
      </c>
      <c r="AG121" s="307">
        <f>AG26/(AG26+RD!AG25)</f>
        <v>0.24456098463528952</v>
      </c>
      <c r="AH121" s="307">
        <f>AH26/(AH26+RD!AH25)</f>
        <v>0.233331580884862</v>
      </c>
      <c r="AI121" s="307">
        <f>AI26/(AI26+RD!AI25)</f>
        <v>1</v>
      </c>
      <c r="AJ121" s="307" t="e">
        <f>AJ26/(AJ26+RD!AJ25)</f>
        <v>#VALUE!</v>
      </c>
      <c r="AK121" s="307">
        <f>AK26/(AK26+RD!AK25)</f>
        <v>0.29060537082921784</v>
      </c>
      <c r="AL121" s="307">
        <f>AL26/(AL26+RD!AL25)</f>
        <v>0.60288044586531653</v>
      </c>
      <c r="AM121" s="307">
        <f>AM26/(AM26+RD!AM25)</f>
        <v>0.39453307637556512</v>
      </c>
      <c r="AN121" s="307">
        <f>AN26/(AN26+RD!AN25)</f>
        <v>0.89246788211972139</v>
      </c>
      <c r="AO121" s="307">
        <f>AO26/(AO26+RD!AO25)</f>
        <v>1</v>
      </c>
      <c r="AP121" s="307">
        <f>AP26/(AP26+RD!AP25)</f>
        <v>1</v>
      </c>
      <c r="AQ121" s="307">
        <f>AQ26/(AQ26+RD!AQ25)</f>
        <v>1</v>
      </c>
      <c r="AR121" s="307">
        <f>AR26/(AR26+RD!AR25)</f>
        <v>1</v>
      </c>
      <c r="AS121" s="307">
        <f>AS26/(AS26+RD!AS25)</f>
        <v>1</v>
      </c>
      <c r="AT121" s="307">
        <f>AT26/(AT26+RD!AT25)</f>
        <v>1</v>
      </c>
      <c r="AU121" s="307">
        <f>AU26/(AU26+RD!AU25)</f>
        <v>1</v>
      </c>
      <c r="AV121" s="307">
        <f>AV26/(AV26+RD!AV25)</f>
        <v>1</v>
      </c>
      <c r="AW121" s="307">
        <f>AW26/(AW26+RD!AW25)</f>
        <v>1</v>
      </c>
      <c r="AX121" s="307">
        <f>AX26/(AX26+RD!AX25)</f>
        <v>1</v>
      </c>
      <c r="AY121" s="307">
        <f>AY26/(AY26+RD!AY25)</f>
        <v>1</v>
      </c>
      <c r="BE121" s="210"/>
      <c r="BF121" s="210"/>
      <c r="BG121" s="210"/>
      <c r="BH121" s="210"/>
      <c r="BI121" s="210"/>
      <c r="BJ121" s="210"/>
      <c r="BK121" s="210"/>
    </row>
    <row r="122" spans="1:63">
      <c r="A122" s="68" t="s">
        <v>169</v>
      </c>
      <c r="L122" s="307">
        <f>L27/(L27+RD!L26)</f>
        <v>0.94977765735324593</v>
      </c>
      <c r="M122" s="307">
        <f>M27/(M27+RD!M26)</f>
        <v>0.94639460141372478</v>
      </c>
      <c r="N122" s="307">
        <f>N27/(N27+RD!N26)</f>
        <v>0.98183369200643678</v>
      </c>
      <c r="O122" s="307">
        <f>O27/(O27+RD!O26)</f>
        <v>0.86898388693694084</v>
      </c>
      <c r="P122" s="307">
        <f>P27/(P27+RD!P26)</f>
        <v>0.85841470166896638</v>
      </c>
      <c r="Q122" s="307">
        <f>Q27/(Q27+RD!Q26)</f>
        <v>0.87018771182758325</v>
      </c>
      <c r="R122" s="307">
        <f>R27/(R27+RD!R26)</f>
        <v>0.87971630129712519</v>
      </c>
      <c r="S122" s="307">
        <f>S27/(S27+RD!S26)</f>
        <v>0.85609231034185818</v>
      </c>
      <c r="T122" s="307">
        <f>T27/(T27+RD!T26)</f>
        <v>0.79758162716280123</v>
      </c>
      <c r="U122" s="307">
        <f>U27/(U27+RD!U26)</f>
        <v>0.76945231735415853</v>
      </c>
      <c r="V122" s="307">
        <f>V27/(V27+RD!V26)</f>
        <v>0.7255105089188485</v>
      </c>
      <c r="W122" s="307">
        <f>W27/(W27+RD!W26)</f>
        <v>0.54905537082071898</v>
      </c>
      <c r="X122" s="307">
        <f>X27/(X27+RD!X26)</f>
        <v>0.41157921179791057</v>
      </c>
      <c r="Y122" s="307">
        <f>Y27/(Y27+RD!Y26)</f>
        <v>0.35050182434597454</v>
      </c>
      <c r="Z122" s="307">
        <f>Z27/(Z27+RD!Z26)</f>
        <v>0.2946642965513635</v>
      </c>
      <c r="AA122" s="307">
        <f>AA27/(AA27+RD!AA26)</f>
        <v>0.36241819963270488</v>
      </c>
      <c r="AB122" s="307">
        <f>AB27/(AB27+RD!AB26)</f>
        <v>0.33487031850274601</v>
      </c>
      <c r="AC122" s="307">
        <f>AC27/(AC27+RD!AC26)</f>
        <v>0.27758152837067973</v>
      </c>
      <c r="AD122" s="307">
        <f>AD27/(AD27+RD!AD26)</f>
        <v>0.30354222306241063</v>
      </c>
      <c r="AE122" s="307">
        <f>AE27/(AE27+RD!AE26)</f>
        <v>0.29174840590215317</v>
      </c>
      <c r="AF122" s="307">
        <f>AF27/(AF27+RD!AF26)</f>
        <v>0.28189993913932276</v>
      </c>
      <c r="AG122" s="307">
        <f>AG27/(AG27+RD!AG26)</f>
        <v>0.25760402865860033</v>
      </c>
      <c r="AH122" s="307">
        <f>AH27/(AH27+RD!AH26)</f>
        <v>0.24556070058356</v>
      </c>
      <c r="AI122" s="307">
        <f>AI27/(AI27+RD!AI26)</f>
        <v>1</v>
      </c>
      <c r="AJ122" s="307" t="e">
        <f>AJ27/(AJ27+RD!AJ26)</f>
        <v>#VALUE!</v>
      </c>
      <c r="AK122" s="307">
        <f>AK27/(AK27+RD!AK26)</f>
        <v>0.33270258469306752</v>
      </c>
      <c r="AL122" s="307">
        <f>AL27/(AL27+RD!AL26)</f>
        <v>0.62961051118351896</v>
      </c>
      <c r="AM122" s="307">
        <f>AM27/(AM27+RD!AM26)</f>
        <v>0.44634506730212115</v>
      </c>
      <c r="AN122" s="307">
        <f>AN27/(AN27+RD!AN26)</f>
        <v>0.91001925984507936</v>
      </c>
      <c r="AO122" s="307">
        <f>AO27/(AO27+RD!AO26)</f>
        <v>1</v>
      </c>
      <c r="AP122" s="307">
        <f>AP27/(AP27+RD!AP26)</f>
        <v>1</v>
      </c>
      <c r="AQ122" s="307">
        <f>AQ27/(AQ27+RD!AQ26)</f>
        <v>1</v>
      </c>
      <c r="AR122" s="307">
        <f>AR27/(AR27+RD!AR26)</f>
        <v>1</v>
      </c>
      <c r="AS122" s="307">
        <f>AS27/(AS27+RD!AS26)</f>
        <v>1</v>
      </c>
      <c r="AT122" s="307">
        <f>AT27/(AT27+RD!AT26)</f>
        <v>1</v>
      </c>
      <c r="AU122" s="307">
        <f>AU27/(AU27+RD!AU26)</f>
        <v>1</v>
      </c>
      <c r="AV122" s="307">
        <f>AV27/(AV27+RD!AV26)</f>
        <v>1</v>
      </c>
      <c r="AW122" s="307">
        <f>AW27/(AW27+RD!AW26)</f>
        <v>1</v>
      </c>
      <c r="AX122" s="307">
        <f>AX27/(AX27+RD!AX26)</f>
        <v>1</v>
      </c>
      <c r="AY122" s="307">
        <f>AY27/(AY27+RD!AY26)</f>
        <v>1</v>
      </c>
      <c r="BE122" s="210"/>
      <c r="BF122" s="210"/>
      <c r="BG122" s="210"/>
      <c r="BH122" s="210"/>
      <c r="BI122" s="210"/>
      <c r="BJ122" s="210"/>
      <c r="BK122" s="210"/>
    </row>
    <row r="123" spans="1:63">
      <c r="A123" s="68" t="s">
        <v>170</v>
      </c>
      <c r="L123" s="307">
        <f>L28/(L28+RD!L27)</f>
        <v>0.97306180583135893</v>
      </c>
      <c r="M123" s="307">
        <f>M28/(M28+RD!M27)</f>
        <v>0.96356736242884244</v>
      </c>
      <c r="N123" s="307">
        <f>N28/(N28+RD!N27)</f>
        <v>0.98459882421131073</v>
      </c>
      <c r="O123" s="307">
        <f>O28/(O28+RD!O27)</f>
        <v>0.8722203535523414</v>
      </c>
      <c r="P123" s="307">
        <f>P28/(P28+RD!P27)</f>
        <v>0.87269284610342845</v>
      </c>
      <c r="Q123" s="307">
        <f>Q28/(Q28+RD!Q27)</f>
        <v>0.84948726664966989</v>
      </c>
      <c r="R123" s="307">
        <f>R28/(R28+RD!R27)</f>
        <v>0.86141525838178568</v>
      </c>
      <c r="S123" s="307">
        <f>S28/(S28+RD!S27)</f>
        <v>0.84697164182652307</v>
      </c>
      <c r="T123" s="307">
        <f>T28/(T28+RD!T27)</f>
        <v>0.79781968055540986</v>
      </c>
      <c r="U123" s="307">
        <f>U28/(U28+RD!U27)</f>
        <v>0.7881262063519916</v>
      </c>
      <c r="V123" s="307">
        <f>V28/(V28+RD!V27)</f>
        <v>0.7306431977275033</v>
      </c>
      <c r="W123" s="307">
        <f>W28/(W28+RD!W27)</f>
        <v>0.51542719105967139</v>
      </c>
      <c r="X123" s="307">
        <f>X28/(X28+RD!X27)</f>
        <v>0.39874976830952652</v>
      </c>
      <c r="Y123" s="307">
        <f>Y28/(Y28+RD!Y27)</f>
        <v>0.33819406632646598</v>
      </c>
      <c r="Z123" s="307">
        <f>Z28/(Z28+RD!Z27)</f>
        <v>0.39562519146458647</v>
      </c>
      <c r="AA123" s="307">
        <f>AA28/(AA28+RD!AA27)</f>
        <v>0.38742503572349341</v>
      </c>
      <c r="AB123" s="307">
        <f>AB28/(AB28+RD!AB27)</f>
        <v>0.36518319959077539</v>
      </c>
      <c r="AC123" s="307">
        <f>AC28/(AC28+RD!AC27)</f>
        <v>0.30747075442691574</v>
      </c>
      <c r="AD123" s="307">
        <f>AD28/(AD28+RD!AD27)</f>
        <v>0.33825230957628721</v>
      </c>
      <c r="AE123" s="307">
        <f>AE28/(AE28+RD!AE27)</f>
        <v>0.33149041902883214</v>
      </c>
      <c r="AF123" s="307">
        <f>AF28/(AF28+RD!AF27)</f>
        <v>0.31244336984038584</v>
      </c>
      <c r="AG123" s="307">
        <f>AG28/(AG28+RD!AG27)</f>
        <v>0.28813788917209582</v>
      </c>
      <c r="AH123" s="307">
        <f>AH28/(AH28+RD!AH27)</f>
        <v>0.27620611118136229</v>
      </c>
      <c r="AI123" s="307">
        <f>AI28/(AI28+RD!AI27)</f>
        <v>1</v>
      </c>
      <c r="AJ123" s="307" t="e">
        <f>AJ28/(AJ28+RD!AJ27)</f>
        <v>#VALUE!</v>
      </c>
      <c r="AK123" s="307">
        <f>AK28/(AK28+RD!AK27)</f>
        <v>0.30703723258526494</v>
      </c>
      <c r="AL123" s="307">
        <f>AL28/(AL28+RD!AL27)</f>
        <v>0.66686200926717065</v>
      </c>
      <c r="AM123" s="307">
        <f>AM28/(AM28+RD!AM27)</f>
        <v>0.44031144107044506</v>
      </c>
      <c r="AN123" s="307">
        <f>AN28/(AN28+RD!AN27)</f>
        <v>0.90088705773361277</v>
      </c>
      <c r="AO123" s="307">
        <f>AO28/(AO28+RD!AO27)</f>
        <v>1</v>
      </c>
      <c r="AP123" s="307">
        <f>AP28/(AP28+RD!AP27)</f>
        <v>1</v>
      </c>
      <c r="AQ123" s="307">
        <f>AQ28/(AQ28+RD!AQ27)</f>
        <v>1</v>
      </c>
      <c r="AR123" s="307">
        <f>AR28/(AR28+RD!AR27)</f>
        <v>1</v>
      </c>
      <c r="AS123" s="307">
        <f>AS28/(AS28+RD!AS27)</f>
        <v>1</v>
      </c>
      <c r="AT123" s="307">
        <f>AT28/(AT28+RD!AT27)</f>
        <v>1</v>
      </c>
      <c r="AU123" s="307">
        <f>AU28/(AU28+RD!AU27)</f>
        <v>1</v>
      </c>
      <c r="AV123" s="307">
        <f>AV28/(AV28+RD!AV27)</f>
        <v>1</v>
      </c>
      <c r="AW123" s="307">
        <f>AW28/(AW28+RD!AW27)</f>
        <v>1</v>
      </c>
      <c r="AX123" s="307">
        <f>AX28/(AX28+RD!AX27)</f>
        <v>1</v>
      </c>
      <c r="AY123" s="307">
        <f>AY28/(AY28+RD!AY27)</f>
        <v>1</v>
      </c>
      <c r="BE123" s="210"/>
      <c r="BF123" s="210"/>
      <c r="BG123" s="210"/>
      <c r="BH123" s="210"/>
      <c r="BI123" s="210"/>
      <c r="BJ123" s="210"/>
      <c r="BK123" s="210"/>
    </row>
    <row r="124" spans="1:63">
      <c r="A124" s="68" t="s">
        <v>171</v>
      </c>
      <c r="L124" s="307">
        <f>L29/(L29+RD!L28)</f>
        <v>0.91116934008474681</v>
      </c>
      <c r="M124" s="307">
        <f>M29/(M29+RD!M28)</f>
        <v>0.96438299160172503</v>
      </c>
      <c r="N124" s="307">
        <f>N29/(N29+RD!N28)</f>
        <v>0.97548576295294709</v>
      </c>
      <c r="O124" s="307">
        <f>O29/(O29+RD!O28)</f>
        <v>0.86763565733312664</v>
      </c>
      <c r="P124" s="307">
        <f>P29/(P29+RD!P28)</f>
        <v>0.88136206389761917</v>
      </c>
      <c r="Q124" s="307">
        <f>Q29/(Q29+RD!Q28)</f>
        <v>0.86054540714789829</v>
      </c>
      <c r="R124" s="307">
        <f>R29/(R29+RD!R28)</f>
        <v>0.84808873167511556</v>
      </c>
      <c r="S124" s="307">
        <f>S29/(S29+RD!S28)</f>
        <v>0.87554681171160742</v>
      </c>
      <c r="T124" s="307">
        <f>T29/(T29+RD!T28)</f>
        <v>0.79287901401732541</v>
      </c>
      <c r="U124" s="307">
        <f>U29/(U29+RD!U28)</f>
        <v>0.76661253588468636</v>
      </c>
      <c r="V124" s="307">
        <f>V29/(V29+RD!V28)</f>
        <v>0.69208334109841774</v>
      </c>
      <c r="W124" s="307">
        <f>W29/(W29+RD!W28)</f>
        <v>0.51865904761904758</v>
      </c>
      <c r="X124" s="307">
        <f>X29/(X29+RD!X28)</f>
        <v>0.40663827372304001</v>
      </c>
      <c r="Y124" s="307">
        <f>Y29/(Y29+RD!Y28)</f>
        <v>0.39359793183143099</v>
      </c>
      <c r="Z124" s="307">
        <f>Z29/(Z29+RD!Z28)</f>
        <v>0.41016289492750785</v>
      </c>
      <c r="AA124" s="307">
        <f>AA29/(AA29+RD!AA28)</f>
        <v>0.37594086694020185</v>
      </c>
      <c r="AB124" s="307">
        <f>AB29/(AB29+RD!AB28)</f>
        <v>0.35468311843824141</v>
      </c>
      <c r="AC124" s="307">
        <f>AC29/(AC29+RD!AC28)</f>
        <v>0.30269844102992466</v>
      </c>
      <c r="AD124" s="307">
        <f>AD29/(AD29+RD!AD28)</f>
        <v>0.3277763728425146</v>
      </c>
      <c r="AE124" s="307">
        <f>AE29/(AE29+RD!AE28)</f>
        <v>0.32108504742367128</v>
      </c>
      <c r="AF124" s="307">
        <f>AF29/(AF29+RD!AF28)</f>
        <v>0.3033114999660948</v>
      </c>
      <c r="AG124" s="307">
        <f>AG29/(AG29+RD!AG28)</f>
        <v>0.27967489508842952</v>
      </c>
      <c r="AH124" s="307">
        <f>AH29/(AH29+RD!AH28)</f>
        <v>0.26811439078881472</v>
      </c>
      <c r="AI124" s="307">
        <f>AI29/(AI29+RD!AI28)</f>
        <v>1</v>
      </c>
      <c r="AJ124" s="307" t="e">
        <f>AJ29/(AJ29+RD!AJ28)</f>
        <v>#VALUE!</v>
      </c>
      <c r="AK124" s="307">
        <f>AK29/(AK29+RD!AK28)</f>
        <v>0.31947193509297223</v>
      </c>
      <c r="AL124" s="307">
        <f>AL29/(AL29+RD!AL28)</f>
        <v>0.66508947350957281</v>
      </c>
      <c r="AM124" s="307">
        <f>AM29/(AM29+RD!AM28)</f>
        <v>0.45455436337692784</v>
      </c>
      <c r="AN124" s="307">
        <f>AN29/(AN29+RD!AN28)</f>
        <v>0.90587516943326962</v>
      </c>
      <c r="AO124" s="307">
        <f>AO29/(AO29+RD!AO28)</f>
        <v>1</v>
      </c>
      <c r="AP124" s="307">
        <f>AP29/(AP29+RD!AP28)</f>
        <v>1</v>
      </c>
      <c r="AQ124" s="307">
        <f>AQ29/(AQ29+RD!AQ28)</f>
        <v>1</v>
      </c>
      <c r="AR124" s="307">
        <f>AR29/(AR29+RD!AR28)</f>
        <v>1</v>
      </c>
      <c r="AS124" s="307">
        <f>AS29/(AS29+RD!AS28)</f>
        <v>1</v>
      </c>
      <c r="AT124" s="307">
        <f>AT29/(AT29+RD!AT28)</f>
        <v>1</v>
      </c>
      <c r="AU124" s="307">
        <f>AU29/(AU29+RD!AU28)</f>
        <v>1</v>
      </c>
      <c r="AV124" s="307">
        <f>AV29/(AV29+RD!AV28)</f>
        <v>1</v>
      </c>
      <c r="AW124" s="307">
        <f>AW29/(AW29+RD!AW28)</f>
        <v>1</v>
      </c>
      <c r="AX124" s="307">
        <f>AX29/(AX29+RD!AX28)</f>
        <v>1</v>
      </c>
      <c r="AY124" s="307">
        <f>AY29/(AY29+RD!AY28)</f>
        <v>1</v>
      </c>
      <c r="BE124" s="210"/>
      <c r="BF124" s="210"/>
      <c r="BG124" s="210"/>
      <c r="BH124" s="210"/>
      <c r="BI124" s="210"/>
      <c r="BJ124" s="210"/>
      <c r="BK124" s="210"/>
    </row>
    <row r="125" spans="1:63">
      <c r="A125" s="68" t="s">
        <v>172</v>
      </c>
      <c r="L125" s="307">
        <f>L30/(L30+RD!L29)</f>
        <v>0.94690244895584896</v>
      </c>
      <c r="M125" s="307">
        <f>M30/(M30+RD!M29)</f>
        <v>0.96294615693998986</v>
      </c>
      <c r="N125" s="307">
        <f>N30/(N30+RD!N29)</f>
        <v>0.93984663212435238</v>
      </c>
      <c r="O125" s="307">
        <f>O30/(O30+RD!O29)</f>
        <v>0.87639562867400489</v>
      </c>
      <c r="P125" s="307">
        <f>P30/(P30+RD!P29)</f>
        <v>0.89416047679163857</v>
      </c>
      <c r="Q125" s="307">
        <f>Q30/(Q30+RD!Q29)</f>
        <v>0.85642125085088661</v>
      </c>
      <c r="R125" s="307">
        <f>R30/(R30+RD!R29)</f>
        <v>0.88782347066482936</v>
      </c>
      <c r="S125" s="307">
        <f>S30/(S30+RD!S29)</f>
        <v>0.92768509380967124</v>
      </c>
      <c r="T125" s="307">
        <f>T30/(T30+RD!T29)</f>
        <v>0.7807063988439944</v>
      </c>
      <c r="U125" s="307">
        <f>U30/(U30+RD!U29)</f>
        <v>0.73918669856084074</v>
      </c>
      <c r="V125" s="307">
        <f>V30/(V30+RD!V29)</f>
        <v>0.69906030978584033</v>
      </c>
      <c r="W125" s="307">
        <f>W30/(W30+RD!W29)</f>
        <v>0.52554154356681115</v>
      </c>
      <c r="X125" s="307">
        <f>X30/(X30+RD!X29)</f>
        <v>0.39558596139356977</v>
      </c>
      <c r="Y125" s="307">
        <f>Y30/(Y30+RD!Y29)</f>
        <v>0.33368892928590199</v>
      </c>
      <c r="Z125" s="307">
        <f>Z30/(Z30+RD!Z29)</f>
        <v>0.41646720271550408</v>
      </c>
      <c r="AA125" s="307">
        <f>AA30/(AA30+RD!AA29)</f>
        <v>0.3729902772350091</v>
      </c>
      <c r="AB125" s="307">
        <f>AB30/(AB30+RD!AB29)</f>
        <v>0.34989393869703705</v>
      </c>
      <c r="AC125" s="307">
        <f>AC30/(AC30+RD!AC29)</f>
        <v>0.29523735015427027</v>
      </c>
      <c r="AD125" s="307">
        <f>AD30/(AD30+RD!AD29)</f>
        <v>0.32172204764839124</v>
      </c>
      <c r="AE125" s="307">
        <f>AE30/(AE30+RD!AE29)</f>
        <v>0.31766500396953834</v>
      </c>
      <c r="AF125" s="307">
        <f>AF30/(AF30+RD!AF29)</f>
        <v>0.29861958188273974</v>
      </c>
      <c r="AG125" s="307">
        <f>AG30/(AG30+RD!AG29)</f>
        <v>0.27494312798787829</v>
      </c>
      <c r="AH125" s="307">
        <f>AH30/(AH30+RD!AH29)</f>
        <v>0.26338023218337026</v>
      </c>
      <c r="AI125" s="307">
        <f>AI30/(AI30+RD!AI29)</f>
        <v>1</v>
      </c>
      <c r="AJ125" s="307" t="e">
        <f>AJ30/(AJ30+RD!AJ29)</f>
        <v>#VALUE!</v>
      </c>
      <c r="AK125" s="307">
        <f>AK30/(AK30+RD!AK29)</f>
        <v>0.29057357400657313</v>
      </c>
      <c r="AL125" s="307">
        <f>AL30/(AL30+RD!AL29)</f>
        <v>0.65020797492340443</v>
      </c>
      <c r="AM125" s="307">
        <f>AM30/(AM30+RD!AM29)</f>
        <v>0.42171502197228716</v>
      </c>
      <c r="AN125" s="307">
        <f>AN30/(AN30+RD!AN29)</f>
        <v>0.89382410956565284</v>
      </c>
      <c r="AO125" s="307">
        <f>AO30/(AO30+RD!AO29)</f>
        <v>1</v>
      </c>
      <c r="AP125" s="307">
        <f>AP30/(AP30+RD!AP29)</f>
        <v>1</v>
      </c>
      <c r="AQ125" s="307">
        <f>AQ30/(AQ30+RD!AQ29)</f>
        <v>1</v>
      </c>
      <c r="AR125" s="307">
        <f>AR30/(AR30+RD!AR29)</f>
        <v>1</v>
      </c>
      <c r="AS125" s="307">
        <f>AS30/(AS30+RD!AS29)</f>
        <v>1</v>
      </c>
      <c r="AT125" s="307">
        <f>AT30/(AT30+RD!AT29)</f>
        <v>1</v>
      </c>
      <c r="AU125" s="307">
        <f>AU30/(AU30+RD!AU29)</f>
        <v>1</v>
      </c>
      <c r="AV125" s="307">
        <f>AV30/(AV30+RD!AV29)</f>
        <v>1</v>
      </c>
      <c r="AW125" s="307">
        <f>AW30/(AW30+RD!AW29)</f>
        <v>1</v>
      </c>
      <c r="AX125" s="307">
        <f>AX30/(AX30+RD!AX29)</f>
        <v>1</v>
      </c>
      <c r="AY125" s="307">
        <f>AY30/(AY30+RD!AY29)</f>
        <v>1</v>
      </c>
      <c r="BE125" s="210"/>
      <c r="BF125" s="210"/>
      <c r="BG125" s="210"/>
      <c r="BH125" s="210"/>
      <c r="BI125" s="210"/>
      <c r="BJ125" s="210"/>
      <c r="BK125" s="210"/>
    </row>
    <row r="126" spans="1:63">
      <c r="A126" s="68" t="s">
        <v>173</v>
      </c>
      <c r="L126" s="307">
        <f>L31/(L31+RD!L30)</f>
        <v>0.93411855806655397</v>
      </c>
      <c r="M126" s="307">
        <f>M31/(M31+RD!M30)</f>
        <v>0.93431733545336626</v>
      </c>
      <c r="N126" s="307">
        <f>N31/(N31+RD!N30)</f>
        <v>0.8914452320745071</v>
      </c>
      <c r="O126" s="307">
        <f>O31/(O31+RD!O30)</f>
        <v>0.89773897797421198</v>
      </c>
      <c r="P126" s="307">
        <f>P31/(P31+RD!P30)</f>
        <v>0.8863737856614714</v>
      </c>
      <c r="Q126" s="307">
        <f>Q31/(Q31+RD!Q30)</f>
        <v>0.87754615543859427</v>
      </c>
      <c r="R126" s="307">
        <f>R31/(R31+RD!R30)</f>
        <v>0.88382939733396382</v>
      </c>
      <c r="S126" s="307">
        <f>S31/(S31+RD!S30)</f>
        <v>0.94033411538570255</v>
      </c>
      <c r="T126" s="307">
        <f>T31/(T31+RD!T30)</f>
        <v>0.7741151435878415</v>
      </c>
      <c r="U126" s="307">
        <f>U31/(U31+RD!U30)</f>
        <v>0.77593795145738242</v>
      </c>
      <c r="V126" s="307">
        <f>V31/(V31+RD!V30)</f>
        <v>0.65277704843424522</v>
      </c>
      <c r="W126" s="307">
        <f>W31/(W31+RD!W30)</f>
        <v>0.53073505610410499</v>
      </c>
      <c r="X126" s="307">
        <f>X31/(X31+RD!X30)</f>
        <v>0.41601891976869765</v>
      </c>
      <c r="Y126" s="307">
        <f>Y31/(Y31+RD!Y30)</f>
        <v>0.33293870419217786</v>
      </c>
      <c r="Z126" s="307">
        <f>Z31/(Z31+RD!Z30)</f>
        <v>0.41704459114807529</v>
      </c>
      <c r="AA126" s="307">
        <f>AA31/(AA31+RD!AA30)</f>
        <v>0.37420729966437483</v>
      </c>
      <c r="AB126" s="307">
        <f>AB31/(AB31+RD!AB30)</f>
        <v>0.35313467084643507</v>
      </c>
      <c r="AC126" s="307">
        <f>AC31/(AC31+RD!AC30)</f>
        <v>0.29966330811193043</v>
      </c>
      <c r="AD126" s="307">
        <f>AD31/(AD31+RD!AD30)</f>
        <v>0.32879209264156262</v>
      </c>
      <c r="AE126" s="307">
        <f>AE31/(AE31+RD!AE30)</f>
        <v>0.32108479868500045</v>
      </c>
      <c r="AF126" s="307">
        <f>AF31/(AF31+RD!AF30)</f>
        <v>0.30233298919412344</v>
      </c>
      <c r="AG126" s="307">
        <f>AG31/(AG31+RD!AG30)</f>
        <v>0.27892728738014766</v>
      </c>
      <c r="AH126" s="307">
        <f>AH31/(AH31+RD!AH30)</f>
        <v>0.26753748279385392</v>
      </c>
      <c r="AI126" s="307">
        <f>AI31/(AI31+RD!AI30)</f>
        <v>1</v>
      </c>
      <c r="AJ126" s="307" t="e">
        <f>AJ31/(AJ31+RD!AJ30)</f>
        <v>#VALUE!</v>
      </c>
      <c r="AK126" s="307">
        <f>AK31/(AK31+RD!AK30)</f>
        <v>0.28532882695023076</v>
      </c>
      <c r="AL126" s="307">
        <f>AL31/(AL31+RD!AL30)</f>
        <v>0.65243365037482903</v>
      </c>
      <c r="AM126" s="307">
        <f>AM31/(AM31+RD!AM30)</f>
        <v>0.41859442101510658</v>
      </c>
      <c r="AN126" s="307">
        <f>AN31/(AN31+RD!AN30)</f>
        <v>0.89144319568744712</v>
      </c>
      <c r="AO126" s="307">
        <f>AO31/(AO31+RD!AO30)</f>
        <v>1</v>
      </c>
      <c r="AP126" s="307">
        <f>AP31/(AP31+RD!AP30)</f>
        <v>1</v>
      </c>
      <c r="AQ126" s="307">
        <f>AQ31/(AQ31+RD!AQ30)</f>
        <v>1</v>
      </c>
      <c r="AR126" s="307">
        <f>AR31/(AR31+RD!AR30)</f>
        <v>1</v>
      </c>
      <c r="AS126" s="307">
        <f>AS31/(AS31+RD!AS30)</f>
        <v>1</v>
      </c>
      <c r="AT126" s="307">
        <f>AT31/(AT31+RD!AT30)</f>
        <v>1</v>
      </c>
      <c r="AU126" s="307">
        <f>AU31/(AU31+RD!AU30)</f>
        <v>1</v>
      </c>
      <c r="AV126" s="307">
        <f>AV31/(AV31+RD!AV30)</f>
        <v>1</v>
      </c>
      <c r="AW126" s="307">
        <f>AW31/(AW31+RD!AW30)</f>
        <v>1</v>
      </c>
      <c r="AX126" s="307">
        <f>AX31/(AX31+RD!AX30)</f>
        <v>1</v>
      </c>
      <c r="AY126" s="307">
        <f>AY31/(AY31+RD!AY30)</f>
        <v>1</v>
      </c>
    </row>
    <row r="127" spans="1:63">
      <c r="A127" s="68" t="s">
        <v>174</v>
      </c>
      <c r="L127" s="307">
        <f>L32/(L32+RD!L31)</f>
        <v>0.91874338497065322</v>
      </c>
      <c r="M127" s="307">
        <f>M32/(M32+RD!M31)</f>
        <v>0.94342835910245038</v>
      </c>
      <c r="N127" s="307">
        <f>N32/(N32+RD!N31)</f>
        <v>0.89469542709232097</v>
      </c>
      <c r="O127" s="307">
        <f>O32/(O32+RD!O31)</f>
        <v>0.98397395669909005</v>
      </c>
      <c r="P127" s="307">
        <f>P32/(P32+RD!P31)</f>
        <v>0.89079811391709329</v>
      </c>
      <c r="Q127" s="307">
        <f>Q32/(Q32+RD!Q31)</f>
        <v>0.85147655066266603</v>
      </c>
      <c r="R127" s="307">
        <f>R32/(R32+RD!R31)</f>
        <v>0.85833553439979793</v>
      </c>
      <c r="S127" s="307">
        <f>S32/(S32+RD!S31)</f>
        <v>0.91489870157457309</v>
      </c>
      <c r="T127" s="307">
        <f>T32/(T32+RD!T31)</f>
        <v>0.83780995066584973</v>
      </c>
      <c r="U127" s="307">
        <f>U32/(U32+RD!U31)</f>
        <v>0.78721642896563748</v>
      </c>
      <c r="V127" s="307">
        <f>V32/(V32+RD!V31)</f>
        <v>0.6641404493882882</v>
      </c>
      <c r="W127" s="307">
        <f>W32/(W32+RD!W31)</f>
        <v>0.55410081922651511</v>
      </c>
      <c r="X127" s="307">
        <f>X32/(X32+RD!X31)</f>
        <v>0.37297925046221669</v>
      </c>
      <c r="Y127" s="307">
        <f>Y32/(Y32+RD!Y31)</f>
        <v>0.34912320269565</v>
      </c>
      <c r="Z127" s="307">
        <f>Z32/(Z32+RD!Z31)</f>
        <v>0.42214318440389614</v>
      </c>
      <c r="AA127" s="307">
        <f>AA32/(AA32+RD!AA31)</f>
        <v>0.37808247547472745</v>
      </c>
      <c r="AB127" s="307">
        <f>AB32/(AB32+RD!AB31)</f>
        <v>0.35630117265254729</v>
      </c>
      <c r="AC127" s="307">
        <f>AC32/(AC32+RD!AC31)</f>
        <v>0.29991372908466751</v>
      </c>
      <c r="AD127" s="307">
        <f>AD32/(AD32+RD!AD31)</f>
        <v>0.32723543158888901</v>
      </c>
      <c r="AE127" s="307">
        <f>AE32/(AE32+RD!AE31)</f>
        <v>0.322796544550839</v>
      </c>
      <c r="AF127" s="307">
        <f>AF32/(AF32+RD!AF31)</f>
        <v>0.30367694985028348</v>
      </c>
      <c r="AG127" s="307">
        <f>AG32/(AG32+RD!AG31)</f>
        <v>0.27997957369380089</v>
      </c>
      <c r="AH127" s="307">
        <f>AH32/(AH32+RD!AH31)</f>
        <v>0.26811829087838174</v>
      </c>
      <c r="AI127" s="307">
        <f>AI32/(AI32+RD!AI31)</f>
        <v>1</v>
      </c>
      <c r="AJ127" s="307" t="e">
        <f>AJ32/(AJ32+RD!AJ31)</f>
        <v>#VALUE!</v>
      </c>
      <c r="AK127" s="307">
        <f>AK32/(AK32+RD!AK31)</f>
        <v>0.30785652497832022</v>
      </c>
      <c r="AL127" s="307">
        <f>AL32/(AL32+RD!AL31)</f>
        <v>0.62491839238636948</v>
      </c>
      <c r="AM127" s="307">
        <f>AM32/(AM32+RD!AM31)</f>
        <v>0.4232914054650409</v>
      </c>
      <c r="AN127" s="307">
        <f>AN32/(AN32+RD!AN31)</f>
        <v>0.90143829918846274</v>
      </c>
      <c r="AO127" s="307">
        <f>AO32/(AO32+RD!AO31)</f>
        <v>1</v>
      </c>
      <c r="AP127" s="307">
        <f>AP32/(AP32+RD!AP31)</f>
        <v>1</v>
      </c>
      <c r="AQ127" s="307">
        <f>AQ32/(AQ32+RD!AQ31)</f>
        <v>1</v>
      </c>
      <c r="AR127" s="307">
        <f>AR32/(AR32+RD!AR31)</f>
        <v>1</v>
      </c>
      <c r="AS127" s="307">
        <f>AS32/(AS32+RD!AS31)</f>
        <v>1</v>
      </c>
      <c r="AT127" s="307">
        <f>AT32/(AT32+RD!AT31)</f>
        <v>1</v>
      </c>
      <c r="AU127" s="307">
        <f>AU32/(AU32+RD!AU31)</f>
        <v>1</v>
      </c>
      <c r="AV127" s="307">
        <f>AV32/(AV32+RD!AV31)</f>
        <v>1</v>
      </c>
      <c r="AW127" s="307">
        <f>AW32/(AW32+RD!AW31)</f>
        <v>1</v>
      </c>
      <c r="AX127" s="307">
        <f>AX32/(AX32+RD!AX31)</f>
        <v>1</v>
      </c>
      <c r="AY127" s="307">
        <f>AY32/(AY32+RD!AY31)</f>
        <v>1</v>
      </c>
    </row>
    <row r="128" spans="1:63">
      <c r="A128" s="68" t="s">
        <v>175</v>
      </c>
      <c r="L128" s="307">
        <f>L33/(L33+RD!L32)</f>
        <v>0.94207637395547961</v>
      </c>
      <c r="M128" s="307">
        <f>M33/(M33+RD!M32)</f>
        <v>0.95631601084213469</v>
      </c>
      <c r="N128" s="307">
        <f>N33/(N33+RD!N32)</f>
        <v>0.87809074951971589</v>
      </c>
      <c r="O128" s="307">
        <f>O33/(O33+RD!O32)</f>
        <v>0.95108776084060975</v>
      </c>
      <c r="P128" s="307">
        <f>P33/(P33+RD!P32)</f>
        <v>0.88262620268723768</v>
      </c>
      <c r="Q128" s="307">
        <f>Q33/(Q33+RD!Q32)</f>
        <v>0.87513159433851906</v>
      </c>
      <c r="R128" s="307">
        <f>R33/(R33+RD!R32)</f>
        <v>0.87021741699161059</v>
      </c>
      <c r="S128" s="307">
        <f>S33/(S33+RD!S32)</f>
        <v>0.83600821789629998</v>
      </c>
      <c r="T128" s="307">
        <f>T33/(T33+RD!T32)</f>
        <v>0.77707655392301878</v>
      </c>
      <c r="U128" s="307">
        <f>U33/(U33+RD!U32)</f>
        <v>0.76787730250779163</v>
      </c>
      <c r="V128" s="307">
        <f>V33/(V33+RD!V32)</f>
        <v>0.68518727205671426</v>
      </c>
      <c r="W128" s="307">
        <f>W33/(W33+RD!W32)</f>
        <v>0.50458472142034927</v>
      </c>
      <c r="X128" s="307">
        <f>X33/(X33+RD!X32)</f>
        <v>0.36550013289625233</v>
      </c>
      <c r="Y128" s="307">
        <f>Y33/(Y33+RD!Y32)</f>
        <v>0.3428015319000185</v>
      </c>
      <c r="Z128" s="307">
        <f>Z33/(Z33+RD!Z32)</f>
        <v>0.40484584032083748</v>
      </c>
      <c r="AA128" s="307">
        <f>AA33/(AA33+RD!AA32)</f>
        <v>0.35962450860116113</v>
      </c>
      <c r="AB128" s="307">
        <f>AB33/(AB33+RD!AB32)</f>
        <v>0.33972121279964884</v>
      </c>
      <c r="AC128" s="307">
        <f>AC33/(AC33+RD!AC32)</f>
        <v>0.2857070615449594</v>
      </c>
      <c r="AD128" s="307">
        <f>AD33/(AD33+RD!AD32)</f>
        <v>0.31247316541563269</v>
      </c>
      <c r="AE128" s="307">
        <f>AE33/(AE33+RD!AE32)</f>
        <v>0.30739822508484199</v>
      </c>
      <c r="AF128" s="307">
        <f>AF33/(AF33+RD!AF32)</f>
        <v>0.28868169058159965</v>
      </c>
      <c r="AG128" s="307">
        <f>AG33/(AG33+RD!AG32)</f>
        <v>0.26594019514297734</v>
      </c>
      <c r="AH128" s="307">
        <f>AH33/(AH33+RD!AH32)</f>
        <v>0.25457467949424017</v>
      </c>
      <c r="AI128" s="307">
        <f>AI33/(AI33+RD!AI32)</f>
        <v>1</v>
      </c>
      <c r="AJ128" s="307" t="e">
        <f>AJ33/(AJ33+RD!AJ32)</f>
        <v>#VALUE!</v>
      </c>
      <c r="AK128" s="307">
        <f>AK33/(AK33+RD!AK32)</f>
        <v>0.26910714294916666</v>
      </c>
      <c r="AL128" s="307">
        <f>AL33/(AL33+RD!AL32)</f>
        <v>0.70692957338412499</v>
      </c>
      <c r="AM128" s="307">
        <f>AM33/(AM33+RD!AM32)</f>
        <v>0.4109025176442509</v>
      </c>
      <c r="AN128" s="307">
        <f>AN33/(AN33+RD!AN32)</f>
        <v>0.88339922005320193</v>
      </c>
      <c r="AO128" s="307">
        <f>AO33/(AO33+RD!AO32)</f>
        <v>1</v>
      </c>
      <c r="AP128" s="307">
        <f>AP33/(AP33+RD!AP32)</f>
        <v>1</v>
      </c>
      <c r="AQ128" s="307">
        <f>AQ33/(AQ33+RD!AQ32)</f>
        <v>1</v>
      </c>
      <c r="AR128" s="307">
        <f>AR33/(AR33+RD!AR32)</f>
        <v>1</v>
      </c>
      <c r="AS128" s="307">
        <f>AS33/(AS33+RD!AS32)</f>
        <v>1</v>
      </c>
      <c r="AT128" s="307">
        <f>AT33/(AT33+RD!AT32)</f>
        <v>1</v>
      </c>
      <c r="AU128" s="307">
        <f>AU33/(AU33+RD!AU32)</f>
        <v>1</v>
      </c>
      <c r="AV128" s="307">
        <f>AV33/(AV33+RD!AV32)</f>
        <v>1</v>
      </c>
      <c r="AW128" s="307">
        <f>AW33/(AW33+RD!AW32)</f>
        <v>1</v>
      </c>
      <c r="AX128" s="307">
        <f>AX33/(AX33+RD!AX32)</f>
        <v>1</v>
      </c>
      <c r="AY128" s="307">
        <f>AY33/(AY33+RD!AY32)</f>
        <v>1</v>
      </c>
    </row>
    <row r="129" spans="1:51">
      <c r="A129" s="68" t="s">
        <v>176</v>
      </c>
      <c r="L129" s="307">
        <f>L34/(L34+RD!L33)</f>
        <v>0.93837520042757883</v>
      </c>
      <c r="M129" s="307">
        <f>M34/(M34+RD!M33)</f>
        <v>0.95129964491956986</v>
      </c>
      <c r="N129" s="307">
        <f>N34/(N34+RD!N33)</f>
        <v>0.87892508601614172</v>
      </c>
      <c r="O129" s="307">
        <f>O34/(O34+RD!O33)</f>
        <v>0.89309418342894487</v>
      </c>
      <c r="P129" s="307">
        <f>P34/(P34+RD!P33)</f>
        <v>0.88810570482395046</v>
      </c>
      <c r="Q129" s="307">
        <f>Q34/(Q34+RD!Q33)</f>
        <v>0.87478159580663961</v>
      </c>
      <c r="R129" s="307">
        <f>R34/(R34+RD!R33)</f>
        <v>0.85346098478935772</v>
      </c>
      <c r="S129" s="307">
        <f>S34/(S34+RD!S33)</f>
        <v>0.81422386488661969</v>
      </c>
      <c r="T129" s="307">
        <f>T34/(T34+RD!T33)</f>
        <v>0.74819450132982179</v>
      </c>
      <c r="U129" s="307">
        <f>U34/(U34+RD!U33)</f>
        <v>0.86170265248063682</v>
      </c>
      <c r="V129" s="307">
        <f>V34/(V34+RD!V33)</f>
        <v>0.63140671869521747</v>
      </c>
      <c r="W129" s="307">
        <f>W34/(W34+RD!W33)</f>
        <v>0.52937730377227354</v>
      </c>
      <c r="X129" s="307">
        <f>X34/(X34+RD!X33)</f>
        <v>0.41053202766845959</v>
      </c>
      <c r="Y129" s="307">
        <f>Y34/(Y34+RD!Y33)</f>
        <v>0.33838935313837032</v>
      </c>
      <c r="Z129" s="307">
        <f>Z34/(Z34+RD!Z33)</f>
        <v>0.38298426804695496</v>
      </c>
      <c r="AA129" s="307">
        <f>AA34/(AA34+RD!AA33)</f>
        <v>0.34366497558823711</v>
      </c>
      <c r="AB129" s="307">
        <f>AB34/(AB34+RD!AB33)</f>
        <v>0.32523531394767963</v>
      </c>
      <c r="AC129" s="307">
        <f>AC34/(AC34+RD!AC33)</f>
        <v>0.27419464163754892</v>
      </c>
      <c r="AD129" s="307">
        <f>AD34/(AD34+RD!AD33)</f>
        <v>0.3018918096942767</v>
      </c>
      <c r="AE129" s="307">
        <f>AE34/(AE34+RD!AE33)</f>
        <v>0.29322804274208897</v>
      </c>
      <c r="AF129" s="307">
        <f>AF34/(AF34+RD!AF33)</f>
        <v>0.27614188008199381</v>
      </c>
      <c r="AG129" s="307">
        <f>AG34/(AG34+RD!AG33)</f>
        <v>0.2542120723348239</v>
      </c>
      <c r="AH129" s="307">
        <f>AH34/(AH34+RD!AH33)</f>
        <v>0.24341503627859665</v>
      </c>
      <c r="AI129" s="307">
        <f>AI34/(AI34+RD!AI33)</f>
        <v>1</v>
      </c>
      <c r="AJ129" s="307" t="e">
        <f>AJ34/(AJ34+RD!AJ33)</f>
        <v>#VALUE!</v>
      </c>
      <c r="AK129" s="307">
        <f>AK34/(AK34+RD!AK33)</f>
        <v>0.26781620224935043</v>
      </c>
      <c r="AL129" s="307">
        <f>AL34/(AL34+RD!AL33)</f>
        <v>0.6466210121309659</v>
      </c>
      <c r="AM129" s="307">
        <f>AM34/(AM34+RD!AM33)</f>
        <v>0.4039765253283239</v>
      </c>
      <c r="AN129" s="307">
        <f>AN34/(AN34+RD!AN33)</f>
        <v>0.88269260179179909</v>
      </c>
      <c r="AO129" s="307">
        <f>AO34/(AO34+RD!AO33)</f>
        <v>1</v>
      </c>
      <c r="AP129" s="307">
        <f>AP34/(AP34+RD!AP33)</f>
        <v>1</v>
      </c>
      <c r="AQ129" s="307">
        <f>AQ34/(AQ34+RD!AQ33)</f>
        <v>1</v>
      </c>
      <c r="AR129" s="307">
        <f>AR34/(AR34+RD!AR33)</f>
        <v>1</v>
      </c>
      <c r="AS129" s="307">
        <f>AS34/(AS34+RD!AS33)</f>
        <v>1</v>
      </c>
      <c r="AT129" s="307">
        <f>AT34/(AT34+RD!AT33)</f>
        <v>1</v>
      </c>
      <c r="AU129" s="307">
        <f>AU34/(AU34+RD!AU33)</f>
        <v>1</v>
      </c>
      <c r="AV129" s="307">
        <f>AV34/(AV34+RD!AV33)</f>
        <v>1</v>
      </c>
      <c r="AW129" s="307">
        <f>AW34/(AW34+RD!AW33)</f>
        <v>1</v>
      </c>
      <c r="AX129" s="307">
        <f>AX34/(AX34+RD!AX33)</f>
        <v>1</v>
      </c>
      <c r="AY129" s="307">
        <f>AY34/(AY34+RD!AY33)</f>
        <v>1</v>
      </c>
    </row>
    <row r="130" spans="1:51">
      <c r="A130" s="68" t="s">
        <v>177</v>
      </c>
      <c r="L130" s="307">
        <f>L35/(L35+RD!L34)</f>
        <v>0.95240996172066084</v>
      </c>
      <c r="M130" s="307">
        <f>M35/(M35+RD!M34)</f>
        <v>0.91114472217799714</v>
      </c>
      <c r="N130" s="307">
        <f>N35/(N35+RD!N34)</f>
        <v>0.89188387808578129</v>
      </c>
      <c r="O130" s="307">
        <f>O35/(O35+RD!O34)</f>
        <v>0.86944695563908581</v>
      </c>
      <c r="P130" s="307">
        <f>P35/(P35+RD!P34)</f>
        <v>0.89323345059431913</v>
      </c>
      <c r="Q130" s="307">
        <f>Q35/(Q35+RD!Q34)</f>
        <v>0.83953716138945422</v>
      </c>
      <c r="R130" s="307">
        <f>R35/(R35+RD!R34)</f>
        <v>0.86458631548811915</v>
      </c>
      <c r="S130" s="307">
        <f>S35/(S35+RD!S34)</f>
        <v>0.79897606157588807</v>
      </c>
      <c r="T130" s="307">
        <f>T35/(T35+RD!T34)</f>
        <v>0.75037835736957714</v>
      </c>
      <c r="U130" s="307">
        <f>U35/(U35+RD!U34)</f>
        <v>0.75609707588963859</v>
      </c>
      <c r="V130" s="307">
        <f>V35/(V35+RD!V34)</f>
        <v>0.59840542832909249</v>
      </c>
      <c r="W130" s="307">
        <f>W35/(W35+RD!W34)</f>
        <v>0.49404296297841416</v>
      </c>
      <c r="X130" s="307">
        <f>X35/(X35+RD!X34)</f>
        <v>0.37777406556692422</v>
      </c>
      <c r="Y130" s="307">
        <f>Y35/(Y35+RD!Y34)</f>
        <v>0.33799505743115282</v>
      </c>
      <c r="Z130" s="307">
        <f>Z35/(Z35+RD!Z34)</f>
        <v>0.35658972664917493</v>
      </c>
      <c r="AA130" s="307">
        <f>AA35/(AA35+RD!AA34)</f>
        <v>0.29533209980110126</v>
      </c>
      <c r="AB130" s="307">
        <f>AB35/(AB35+RD!AB34)</f>
        <v>0.27614621670033174</v>
      </c>
      <c r="AC130" s="307">
        <f>AC35/(AC35+RD!AC34)</f>
        <v>0.22804706123677698</v>
      </c>
      <c r="AD130" s="307">
        <f>AD35/(AD35+RD!AD34)</f>
        <v>0.25269901064860928</v>
      </c>
      <c r="AE130" s="307">
        <f>AE35/(AE35+RD!AE34)</f>
        <v>0.24729255878771572</v>
      </c>
      <c r="AF130" s="307">
        <f>AF35/(AF35+RD!AF34)</f>
        <v>0.23161374468040741</v>
      </c>
      <c r="AG130" s="307">
        <f>AG35/(AG35+RD!AG34)</f>
        <v>0.21166241899134763</v>
      </c>
      <c r="AH130" s="307">
        <f>AH35/(AH35+RD!AH34)</f>
        <v>0.20202928841365342</v>
      </c>
      <c r="AI130" s="307">
        <f>AI35/(AI35+RD!AI34)</f>
        <v>1</v>
      </c>
      <c r="AJ130" s="307" t="e">
        <f>AJ35/(AJ35+RD!AJ34)</f>
        <v>#VALUE!</v>
      </c>
      <c r="AK130" s="307">
        <f>AK35/(AK35+RD!AK34)</f>
        <v>0.29311117745679127</v>
      </c>
      <c r="AL130" s="307">
        <f>AL35/(AL35+RD!AL34)</f>
        <v>0.7377020635036049</v>
      </c>
      <c r="AM130" s="307">
        <f>AM35/(AM35+RD!AM34)</f>
        <v>0.41101872736993095</v>
      </c>
      <c r="AN130" s="307">
        <f>AN35/(AN35+RD!AN34)</f>
        <v>0.8777127501467461</v>
      </c>
      <c r="AO130" s="307">
        <f>AO35/(AO35+RD!AO34)</f>
        <v>1</v>
      </c>
      <c r="AP130" s="307">
        <f>AP35/(AP35+RD!AP34)</f>
        <v>1</v>
      </c>
      <c r="AQ130" s="307">
        <f>AQ35/(AQ35+RD!AQ34)</f>
        <v>1</v>
      </c>
      <c r="AR130" s="307">
        <f>AR35/(AR35+RD!AR34)</f>
        <v>1</v>
      </c>
      <c r="AS130" s="307">
        <f>AS35/(AS35+RD!AS34)</f>
        <v>1</v>
      </c>
      <c r="AT130" s="307">
        <f>AT35/(AT35+RD!AT34)</f>
        <v>1</v>
      </c>
      <c r="AU130" s="307">
        <f>AU35/(AU35+RD!AU34)</f>
        <v>1</v>
      </c>
      <c r="AV130" s="307">
        <f>AV35/(AV35+RD!AV34)</f>
        <v>1</v>
      </c>
      <c r="AW130" s="307">
        <f>AW35/(AW35+RD!AW34)</f>
        <v>1</v>
      </c>
      <c r="AX130" s="307">
        <f>AX35/(AX35+RD!AX34)</f>
        <v>1</v>
      </c>
      <c r="AY130" s="307">
        <f>AY35/(AY35+RD!AY34)</f>
        <v>1</v>
      </c>
    </row>
    <row r="131" spans="1:51">
      <c r="A131" s="68" t="s">
        <v>178</v>
      </c>
      <c r="L131" s="307">
        <f>L36/(L36+RD!L35)</f>
        <v>0.9440511749166941</v>
      </c>
      <c r="M131" s="307">
        <f>M36/(M36+RD!M35)</f>
        <v>0.93959603355245358</v>
      </c>
      <c r="N131" s="307">
        <f>N36/(N36+RD!N35)</f>
        <v>0.90672966569796709</v>
      </c>
      <c r="O131" s="307">
        <f>O36/(O36+RD!O35)</f>
        <v>0.84477682972430901</v>
      </c>
      <c r="P131" s="307">
        <f>P36/(P36+RD!P35)</f>
        <v>0.89025194021980925</v>
      </c>
      <c r="Q131" s="307">
        <f>Q36/(Q36+RD!Q35)</f>
        <v>0.84119456399700598</v>
      </c>
      <c r="R131" s="307">
        <f>R36/(R36+RD!R35)</f>
        <v>0.85260130628367492</v>
      </c>
      <c r="S131" s="307">
        <f>S36/(S36+RD!S35)</f>
        <v>0.77997815122143965</v>
      </c>
      <c r="T131" s="307">
        <f>T36/(T36+RD!T35)</f>
        <v>0.71560927787294104</v>
      </c>
      <c r="U131" s="307">
        <f>U36/(U36+RD!U35)</f>
        <v>0.73209998980452495</v>
      </c>
      <c r="V131" s="307">
        <f>V36/(V36+RD!V35)</f>
        <v>0.57374467815178409</v>
      </c>
      <c r="W131" s="307">
        <f>W36/(W36+RD!W35)</f>
        <v>0.4664663575447624</v>
      </c>
      <c r="X131" s="307">
        <f>X36/(X36+RD!X35)</f>
        <v>0.33854426017185513</v>
      </c>
      <c r="Y131" s="307">
        <f>Y36/(Y36+RD!Y35)</f>
        <v>0.35768891534906622</v>
      </c>
      <c r="Z131" s="307">
        <f>Z36/(Z36+RD!Z35)</f>
        <v>0.47617435345578696</v>
      </c>
      <c r="AA131" s="307">
        <f>AA36/(AA36+RD!AA35)</f>
        <v>0.29563370236480369</v>
      </c>
      <c r="AB131" s="307">
        <f>AB36/(AB36+RD!AB35)</f>
        <v>0.30298378328052278</v>
      </c>
      <c r="AC131" s="307">
        <f>AC36/(AC36+RD!AC35)</f>
        <v>0.26015126722422521</v>
      </c>
      <c r="AD131" s="307">
        <f>AD36/(AD36+RD!AD35)</f>
        <v>0.29851115590472621</v>
      </c>
      <c r="AE131" s="307">
        <f>AE36/(AE36+RD!AE35)</f>
        <v>0.29616121331008904</v>
      </c>
      <c r="AF131" s="307">
        <f>AF36/(AF36+RD!AF35)</f>
        <v>0.26070121576256594</v>
      </c>
      <c r="AG131" s="307">
        <f>AG36/(AG36+RD!AG35)</f>
        <v>0.24466763964562252</v>
      </c>
      <c r="AH131" s="307">
        <f>AH36/(AH36+RD!AH35)</f>
        <v>0.21189114077986179</v>
      </c>
      <c r="AI131" s="307">
        <f>AI36/(AI36+RD!AI35)</f>
        <v>1</v>
      </c>
      <c r="AJ131" s="307" t="e">
        <f>AJ36/(AJ36+RD!AJ35)</f>
        <v>#VALUE!</v>
      </c>
      <c r="AK131" s="307">
        <f>AK36/(AK36+RD!AK35)</f>
        <v>0.33531163353287452</v>
      </c>
      <c r="AL131" s="307">
        <f>AL36/(AL36+RD!AL35)</f>
        <v>0.68209088332548673</v>
      </c>
      <c r="AM131" s="307">
        <f>AM36/(AM36+RD!AM35)</f>
        <v>0.44170987187344962</v>
      </c>
      <c r="AN131" s="307">
        <f>AN36/(AN36+RD!AN35)</f>
        <v>0.91121348175203432</v>
      </c>
      <c r="AO131" s="307">
        <f>AO36/(AO36+RD!AO35)</f>
        <v>1</v>
      </c>
      <c r="AP131" s="307">
        <f>AP36/(AP36+RD!AP35)</f>
        <v>1</v>
      </c>
      <c r="AQ131" s="307">
        <f>AQ36/(AQ36+RD!AQ35)</f>
        <v>1</v>
      </c>
      <c r="AR131" s="307">
        <f>AR36/(AR36+RD!AR35)</f>
        <v>1</v>
      </c>
      <c r="AS131" s="307">
        <f>AS36/(AS36+RD!AS35)</f>
        <v>1</v>
      </c>
      <c r="AT131" s="307">
        <f>AT36/(AT36+RD!AT35)</f>
        <v>1</v>
      </c>
      <c r="AU131" s="307">
        <f>AU36/(AU36+RD!AU35)</f>
        <v>1</v>
      </c>
      <c r="AV131" s="307">
        <f>AV36/(AV36+RD!AV35)</f>
        <v>1</v>
      </c>
      <c r="AW131" s="307">
        <f>AW36/(AW36+RD!AW35)</f>
        <v>1</v>
      </c>
      <c r="AX131" s="307">
        <f>AX36/(AX36+RD!AX35)</f>
        <v>1</v>
      </c>
      <c r="AY131" s="307">
        <f>AY36/(AY36+RD!AY35)</f>
        <v>1</v>
      </c>
    </row>
    <row r="132" spans="1:51">
      <c r="A132" s="68" t="s">
        <v>201</v>
      </c>
      <c r="L132" s="307">
        <f>L37/(L37+RD!L36)</f>
        <v>0.93973799465965235</v>
      </c>
      <c r="M132" s="307">
        <f>M37/(M37+RD!M36)</f>
        <v>0.94976570109441749</v>
      </c>
      <c r="N132" s="307">
        <f>N37/(N37+RD!N36)</f>
        <v>0.9230788034012769</v>
      </c>
      <c r="O132" s="307">
        <f>O37/(O37+RD!O36)</f>
        <v>0.88934094512279915</v>
      </c>
      <c r="P132" s="307">
        <f>P37/(P37+RD!P36)</f>
        <v>0.87720551730842011</v>
      </c>
      <c r="Q132" s="307">
        <f>Q37/(Q37+RD!Q36)</f>
        <v>0.86652450564222283</v>
      </c>
      <c r="R132" s="307">
        <f>R37/(R37+RD!R36)</f>
        <v>0.8606603266790791</v>
      </c>
      <c r="S132" s="307">
        <f>S37/(S37+RD!S36)</f>
        <v>0.8587554477941115</v>
      </c>
      <c r="T132" s="307">
        <f>T37/(T37+RD!T36)</f>
        <v>0.77802541376891199</v>
      </c>
      <c r="U132" s="307">
        <f>U37/(U37+RD!U36)</f>
        <v>0.77280625025019234</v>
      </c>
      <c r="V132" s="307">
        <f>V37/(V37+RD!V36)</f>
        <v>0.66492668131030042</v>
      </c>
      <c r="W132" s="307">
        <f>W37/(W37+RD!W36)</f>
        <v>0.5197002193470085</v>
      </c>
      <c r="X132" s="307">
        <f>X37/(X37+RD!X36)</f>
        <v>0.39552440764938745</v>
      </c>
      <c r="Y132" s="307">
        <f>Y37/(Y37+RD!Y36)</f>
        <v>0.34717036120835781</v>
      </c>
      <c r="Z132" s="307">
        <f>Z37/(Z37+RD!Z36)</f>
        <v>0.3830132367599865</v>
      </c>
      <c r="AA132" s="307">
        <f>AA37/(AA37+RD!AA36)</f>
        <v>0.35201994603318804</v>
      </c>
      <c r="AB132" s="307">
        <f>AB37/(AB37+RD!AB36)</f>
        <v>0.33140639271047556</v>
      </c>
      <c r="AC132" s="307">
        <f>AC37/(AC37+RD!AC36)</f>
        <v>0.27935535698883934</v>
      </c>
      <c r="AD132" s="307">
        <f>AD37/(AD37+RD!AD36)</f>
        <v>0.307173509437146</v>
      </c>
      <c r="AE132" s="307">
        <f>AE37/(AE37+RD!AE36)</f>
        <v>0.29987825837216331</v>
      </c>
      <c r="AF132" s="307">
        <f>AF37/(AF37+RD!AF36)</f>
        <v>0.28203013641555408</v>
      </c>
      <c r="AG132" s="307">
        <f>AG37/(AG37+RD!AG36)</f>
        <v>0.25952317450930157</v>
      </c>
      <c r="AH132" s="307">
        <f>AH37/(AH37+RD!AH36)</f>
        <v>0.24854765351497721</v>
      </c>
      <c r="AI132" s="307">
        <f>AI37/(AI37+RD!AI36)</f>
        <v>1</v>
      </c>
      <c r="AJ132" s="307" t="e">
        <f>AJ37/(AJ37+RD!AJ36)</f>
        <v>#VALUE!</v>
      </c>
      <c r="AK132" s="307">
        <f>AK37/(AK37+RD!AK36)</f>
        <v>0.79753624149395641</v>
      </c>
      <c r="AL132" s="307">
        <f>AL37/(AL37+RD!AL36)</f>
        <v>0.94226222571062035</v>
      </c>
      <c r="AM132" s="307">
        <f>AM37/(AM37+RD!AM36)</f>
        <v>0.86732592985397983</v>
      </c>
      <c r="AN132" s="307">
        <f>AN37/(AN37+RD!AN36)</f>
        <v>0.98777458429919296</v>
      </c>
      <c r="AO132" s="307">
        <f>AO37/(AO37+RD!AO36)</f>
        <v>1</v>
      </c>
      <c r="AP132" s="307">
        <f>AP37/(AP37+RD!AP36)</f>
        <v>1</v>
      </c>
      <c r="AQ132" s="307">
        <f>AQ37/(AQ37+RD!AQ36)</f>
        <v>1</v>
      </c>
      <c r="AR132" s="307">
        <f>AR37/(AR37+RD!AR36)</f>
        <v>1</v>
      </c>
      <c r="AS132" s="307">
        <f>AS37/(AS37+RD!AS36)</f>
        <v>1</v>
      </c>
      <c r="AT132" s="307">
        <f>AT37/(AT37+RD!AT36)</f>
        <v>1</v>
      </c>
      <c r="AU132" s="307">
        <f>AU37/(AU37+RD!AU36)</f>
        <v>1</v>
      </c>
      <c r="AV132" s="307">
        <f>AV37/(AV37+RD!AV36)</f>
        <v>1</v>
      </c>
      <c r="AW132" s="307">
        <f>AW37/(AW37+RD!AW36)</f>
        <v>1</v>
      </c>
      <c r="AX132" s="307">
        <f>AX37/(AX37+RD!AX36)</f>
        <v>1</v>
      </c>
      <c r="AY132" s="307">
        <f>AY37/(AY37+RD!AY36)</f>
        <v>1</v>
      </c>
    </row>
    <row r="133" spans="1:51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55"/>
      <c r="AF133" s="255"/>
      <c r="AG133" s="255"/>
      <c r="AH133" s="255"/>
      <c r="AI133" s="255"/>
      <c r="AJ133" s="255"/>
      <c r="AK133" s="255"/>
      <c r="AL133" s="255"/>
      <c r="AM133" s="255"/>
      <c r="AN133" s="255"/>
      <c r="AO133" s="255"/>
      <c r="AP133" s="255"/>
      <c r="AQ133" s="255"/>
      <c r="AR133" s="255"/>
      <c r="AS133" s="255"/>
      <c r="AT133" s="255"/>
      <c r="AU133" s="255"/>
      <c r="AV133" s="255"/>
      <c r="AW133" s="255"/>
      <c r="AX133" s="255"/>
      <c r="AY133" s="255"/>
    </row>
    <row r="135" spans="1:51">
      <c r="L135" s="260"/>
    </row>
    <row r="136" spans="1:51">
      <c r="K136" s="253" t="s">
        <v>167</v>
      </c>
      <c r="L136" s="288">
        <v>33.003428</v>
      </c>
      <c r="M136" s="288">
        <v>60.117730000000002</v>
      </c>
      <c r="N136" s="288">
        <v>71.163938000000002</v>
      </c>
      <c r="O136" s="288">
        <v>56.695627000000002</v>
      </c>
      <c r="P136" s="288">
        <v>55.879852999999997</v>
      </c>
      <c r="Q136" s="288">
        <v>85.571710999999993</v>
      </c>
      <c r="R136" s="288">
        <v>65.936175000000006</v>
      </c>
      <c r="S136" s="288">
        <v>110.496056</v>
      </c>
      <c r="T136" s="288">
        <v>107.680155</v>
      </c>
      <c r="U136" s="288">
        <v>118.403817</v>
      </c>
      <c r="V136" s="288">
        <v>107.30258499999999</v>
      </c>
      <c r="W136" s="288">
        <v>90.715014999999994</v>
      </c>
      <c r="X136" s="288">
        <v>119.541387</v>
      </c>
      <c r="Y136" s="289">
        <v>101.08654919706919</v>
      </c>
    </row>
    <row r="137" spans="1:51">
      <c r="K137" s="253" t="s">
        <v>168</v>
      </c>
      <c r="L137" s="288">
        <v>41.762104000000001</v>
      </c>
      <c r="M137" s="288">
        <v>72.928196</v>
      </c>
      <c r="N137" s="288">
        <v>74.517662000000001</v>
      </c>
      <c r="O137" s="288">
        <v>69.859288000000006</v>
      </c>
      <c r="P137" s="288">
        <v>62.84731</v>
      </c>
      <c r="Q137" s="288">
        <v>100.40191799999999</v>
      </c>
      <c r="R137" s="288">
        <v>78.476257000000004</v>
      </c>
      <c r="S137" s="288">
        <v>115.536272</v>
      </c>
      <c r="T137" s="288">
        <v>117.33045199999999</v>
      </c>
      <c r="U137" s="288">
        <v>128.03300300000001</v>
      </c>
      <c r="V137" s="288">
        <v>109.88105</v>
      </c>
      <c r="W137" s="288">
        <v>110.44265</v>
      </c>
      <c r="X137" s="288">
        <v>114.74260700000001</v>
      </c>
      <c r="Y137" s="289">
        <v>107.92901324482381</v>
      </c>
    </row>
    <row r="138" spans="1:51">
      <c r="K138" s="253" t="s">
        <v>169</v>
      </c>
      <c r="L138" s="288">
        <v>63.521034999999998</v>
      </c>
      <c r="M138" s="288">
        <v>95.151425000000003</v>
      </c>
      <c r="N138" s="288">
        <v>101.030322</v>
      </c>
      <c r="O138" s="288">
        <v>90.811260000000004</v>
      </c>
      <c r="P138" s="288">
        <v>92.371028999999993</v>
      </c>
      <c r="Q138" s="288">
        <v>126.756378</v>
      </c>
      <c r="R138" s="288">
        <v>111.494709</v>
      </c>
      <c r="S138" s="288">
        <v>145.19473400000001</v>
      </c>
      <c r="T138" s="288">
        <v>147.65879699999999</v>
      </c>
      <c r="U138" s="288">
        <v>150.09065799999999</v>
      </c>
      <c r="V138" s="288">
        <v>150.33690999999999</v>
      </c>
      <c r="W138" s="288">
        <v>135.865927</v>
      </c>
      <c r="X138" s="288">
        <v>130.88728499999999</v>
      </c>
      <c r="Y138" s="289">
        <v>132.92207813071661</v>
      </c>
    </row>
    <row r="139" spans="1:51">
      <c r="K139" s="253" t="s">
        <v>170</v>
      </c>
      <c r="L139" s="288">
        <v>70.300596999999996</v>
      </c>
      <c r="M139" s="288">
        <v>92.581598999999997</v>
      </c>
      <c r="N139" s="288">
        <v>111.043708</v>
      </c>
      <c r="O139" s="288">
        <v>103.38977300000001</v>
      </c>
      <c r="P139" s="288">
        <v>106.504091</v>
      </c>
      <c r="Q139" s="288">
        <v>126.26678800000001</v>
      </c>
      <c r="R139" s="288">
        <v>124.324164</v>
      </c>
      <c r="S139" s="288">
        <v>144.63767300000001</v>
      </c>
      <c r="T139" s="288">
        <v>160.88855599999999</v>
      </c>
      <c r="U139" s="288">
        <v>149.35612599999999</v>
      </c>
      <c r="V139" s="288">
        <v>144.39649399999999</v>
      </c>
      <c r="W139" s="288">
        <v>144.286382</v>
      </c>
      <c r="X139" s="288">
        <v>133.81490199999999</v>
      </c>
      <c r="Y139" s="289">
        <v>136.25106058979929</v>
      </c>
    </row>
    <row r="140" spans="1:51">
      <c r="K140" s="253" t="s">
        <v>171</v>
      </c>
      <c r="L140" s="288">
        <v>77.877754999999993</v>
      </c>
      <c r="M140" s="288">
        <v>107.55475800000001</v>
      </c>
      <c r="N140" s="288">
        <v>118.98187799999999</v>
      </c>
      <c r="O140" s="288">
        <v>110.374751</v>
      </c>
      <c r="P140" s="288">
        <v>121.530326</v>
      </c>
      <c r="Q140" s="288">
        <v>135.28635399999999</v>
      </c>
      <c r="R140" s="288">
        <v>147.07405800000001</v>
      </c>
      <c r="S140" s="288">
        <v>166.235446</v>
      </c>
      <c r="T140" s="288">
        <v>164.04243600000001</v>
      </c>
      <c r="U140" s="288">
        <v>143.17422300000001</v>
      </c>
      <c r="V140" s="288">
        <v>150.50194999999999</v>
      </c>
      <c r="W140" s="288">
        <v>139.868516</v>
      </c>
      <c r="X140" s="288">
        <v>163.434225</v>
      </c>
      <c r="Y140" s="289">
        <v>141.50942756747148</v>
      </c>
    </row>
    <row r="141" spans="1:51">
      <c r="K141" s="253" t="s">
        <v>172</v>
      </c>
      <c r="L141" s="288">
        <v>78.205275999999998</v>
      </c>
      <c r="M141" s="288">
        <v>106.61364399999999</v>
      </c>
      <c r="N141" s="288">
        <v>117.53991000000001</v>
      </c>
      <c r="O141" s="288">
        <v>113.673723</v>
      </c>
      <c r="P141" s="288">
        <v>130.91955100000001</v>
      </c>
      <c r="Q141" s="288">
        <v>142.59393499999999</v>
      </c>
      <c r="R141" s="288">
        <v>145.011076</v>
      </c>
      <c r="S141" s="288">
        <v>160.54822300000001</v>
      </c>
      <c r="T141" s="288">
        <v>144.10242299999999</v>
      </c>
      <c r="U141" s="288">
        <v>165.51933</v>
      </c>
      <c r="V141" s="288">
        <v>154.45711800000001</v>
      </c>
      <c r="W141" s="288">
        <v>142.84904</v>
      </c>
      <c r="X141" s="288">
        <v>152.677077</v>
      </c>
      <c r="Y141" s="289">
        <v>141.24605969238056</v>
      </c>
    </row>
    <row r="142" spans="1:51">
      <c r="K142" s="253" t="s">
        <v>173</v>
      </c>
      <c r="L142" s="288">
        <v>87.034571</v>
      </c>
      <c r="M142" s="288">
        <v>97.342403000000004</v>
      </c>
      <c r="N142" s="288">
        <v>128.491052</v>
      </c>
      <c r="O142" s="288">
        <v>128.244034</v>
      </c>
      <c r="P142" s="288">
        <v>129.17303899999999</v>
      </c>
      <c r="Q142" s="288">
        <v>137.963278</v>
      </c>
      <c r="R142" s="288">
        <v>150.29036400000001</v>
      </c>
      <c r="S142" s="288">
        <v>169.77986999999999</v>
      </c>
      <c r="T142" s="288">
        <v>169.452631</v>
      </c>
      <c r="U142" s="288">
        <v>162.73826500000001</v>
      </c>
      <c r="V142" s="288">
        <v>146.89033800000001</v>
      </c>
      <c r="W142" s="288">
        <v>137.54586599999999</v>
      </c>
      <c r="X142" s="288">
        <v>140.80938448353399</v>
      </c>
      <c r="Y142" s="289">
        <v>141.17339375772619</v>
      </c>
    </row>
    <row r="143" spans="1:51">
      <c r="K143" s="253" t="s">
        <v>174</v>
      </c>
      <c r="L143" s="288">
        <v>100.953452</v>
      </c>
      <c r="M143" s="288">
        <v>96.353438999999995</v>
      </c>
      <c r="N143" s="288">
        <v>129.887145</v>
      </c>
      <c r="O143" s="288">
        <v>127.450802</v>
      </c>
      <c r="P143" s="288">
        <v>125.61066700000001</v>
      </c>
      <c r="Q143" s="288">
        <v>161.646399</v>
      </c>
      <c r="R143" s="288">
        <v>157.53669600000001</v>
      </c>
      <c r="S143" s="288">
        <v>180.63129699999999</v>
      </c>
      <c r="T143" s="288">
        <v>153.59869699999999</v>
      </c>
      <c r="U143" s="288">
        <v>171.49349900000001</v>
      </c>
      <c r="V143" s="288">
        <v>154.582245</v>
      </c>
      <c r="W143" s="288">
        <v>151.83311800000001</v>
      </c>
      <c r="X143" s="288">
        <v>151.09168700000001</v>
      </c>
      <c r="Y143" s="289">
        <v>145.55100138768299</v>
      </c>
    </row>
    <row r="144" spans="1:51">
      <c r="K144" s="253" t="s">
        <v>175</v>
      </c>
      <c r="L144" s="288">
        <v>114.227507</v>
      </c>
      <c r="M144" s="288">
        <v>81.339106000000001</v>
      </c>
      <c r="N144" s="288">
        <v>127.648582</v>
      </c>
      <c r="O144" s="288">
        <v>124.53519</v>
      </c>
      <c r="P144" s="288">
        <v>117.82915800000001</v>
      </c>
      <c r="Q144" s="288">
        <v>146.66405499999999</v>
      </c>
      <c r="R144" s="288">
        <v>148.333215</v>
      </c>
      <c r="S144" s="288">
        <v>157.00635600000001</v>
      </c>
      <c r="T144" s="288">
        <v>143.65981099999999</v>
      </c>
      <c r="U144" s="288">
        <v>167.865219</v>
      </c>
      <c r="V144" s="288">
        <v>139.934774</v>
      </c>
      <c r="W144" s="288">
        <v>141.83444700000001</v>
      </c>
      <c r="X144" s="288">
        <v>141.47525591348912</v>
      </c>
      <c r="Y144" s="289">
        <v>136.96695138961371</v>
      </c>
    </row>
    <row r="145" spans="11:25">
      <c r="K145" s="253" t="s">
        <v>176</v>
      </c>
      <c r="L145" s="288">
        <v>113.67755</v>
      </c>
      <c r="M145" s="288">
        <v>80.712244999999996</v>
      </c>
      <c r="N145" s="288">
        <v>131.44184799999999</v>
      </c>
      <c r="O145" s="288">
        <v>121.338129</v>
      </c>
      <c r="P145" s="288">
        <v>105.030916</v>
      </c>
      <c r="Q145" s="288">
        <v>143.08536799999999</v>
      </c>
      <c r="R145" s="288">
        <v>149.34791799999999</v>
      </c>
      <c r="S145" s="288">
        <v>171.276906</v>
      </c>
      <c r="T145" s="288">
        <v>146.61836</v>
      </c>
      <c r="U145" s="288">
        <v>149.48975999999999</v>
      </c>
      <c r="V145" s="288">
        <v>139.77887799999999</v>
      </c>
      <c r="W145" s="288">
        <v>138.04023000000001</v>
      </c>
      <c r="X145" s="288">
        <v>145.41551229635411</v>
      </c>
      <c r="Y145" s="289">
        <v>132.63276364864316</v>
      </c>
    </row>
    <row r="146" spans="11:25">
      <c r="K146" s="253" t="s">
        <v>177</v>
      </c>
      <c r="L146" s="288">
        <v>105.78351000000001</v>
      </c>
      <c r="M146" s="288">
        <v>68.025279999999995</v>
      </c>
      <c r="N146" s="288">
        <v>111.90079299999999</v>
      </c>
      <c r="O146" s="288">
        <v>97.343855000000005</v>
      </c>
      <c r="P146" s="288">
        <v>96.476718000000005</v>
      </c>
      <c r="Q146" s="288">
        <v>139.70768699999999</v>
      </c>
      <c r="R146" s="288">
        <v>147.82994500000001</v>
      </c>
      <c r="S146" s="288">
        <v>150.78054</v>
      </c>
      <c r="T146" s="288">
        <v>119.139678</v>
      </c>
      <c r="U146" s="288">
        <v>142.82851700000001</v>
      </c>
      <c r="V146" s="288">
        <v>140.856752</v>
      </c>
      <c r="W146" s="288">
        <v>141.29557600000001</v>
      </c>
      <c r="X146" s="288">
        <v>150.6600409060853</v>
      </c>
      <c r="Y146" s="289">
        <v>127.61385195350388</v>
      </c>
    </row>
    <row r="147" spans="11:25">
      <c r="K147" s="253" t="s">
        <v>178</v>
      </c>
      <c r="L147" s="288">
        <v>150.74354500000001</v>
      </c>
      <c r="M147" s="288">
        <v>58.227854000000001</v>
      </c>
      <c r="N147" s="288">
        <v>160.946844</v>
      </c>
      <c r="O147" s="288">
        <v>163.49668500000001</v>
      </c>
      <c r="P147" s="288">
        <v>110.100066</v>
      </c>
      <c r="Q147" s="288">
        <v>187.16324900000001</v>
      </c>
      <c r="R147" s="288">
        <v>162.59516300000001</v>
      </c>
      <c r="S147" s="288">
        <v>183.32937699999999</v>
      </c>
      <c r="T147" s="288">
        <v>139.60158100000001</v>
      </c>
      <c r="U147" s="288">
        <v>175.88122100000001</v>
      </c>
      <c r="V147" s="288">
        <v>165.70823999999999</v>
      </c>
      <c r="W147" s="288">
        <v>145.406789</v>
      </c>
      <c r="X147" s="288">
        <v>155.74513161834787</v>
      </c>
      <c r="Y147" s="289">
        <v>145.49585001903893</v>
      </c>
    </row>
    <row r="148" spans="11:25">
      <c r="K148" s="253"/>
    </row>
    <row r="149" spans="11:25">
      <c r="K149" s="253" t="s">
        <v>167</v>
      </c>
      <c r="L149" s="249">
        <f>L25-L136</f>
        <v>2.3515719999999973</v>
      </c>
      <c r="M149" s="249">
        <f t="shared" ref="M149:Y160" si="91">M25-M136</f>
        <v>13.428270000000005</v>
      </c>
      <c r="N149" s="249">
        <f t="shared" si="91"/>
        <v>-2.2999379999999974</v>
      </c>
      <c r="O149" s="249">
        <f t="shared" si="91"/>
        <v>15.844373000000004</v>
      </c>
      <c r="P149" s="249">
        <f t="shared" si="91"/>
        <v>16.666147000000009</v>
      </c>
      <c r="Q149" s="249">
        <f t="shared" si="91"/>
        <v>19.004289</v>
      </c>
      <c r="R149" s="249">
        <f t="shared" si="91"/>
        <v>26.820824999999999</v>
      </c>
      <c r="S149" s="249">
        <f t="shared" si="91"/>
        <v>15.02894400000001</v>
      </c>
      <c r="T149" s="249">
        <f t="shared" si="91"/>
        <v>36.236845000000002</v>
      </c>
      <c r="U149" s="249">
        <f t="shared" si="91"/>
        <v>15.829183</v>
      </c>
      <c r="V149" s="249">
        <f t="shared" si="91"/>
        <v>33.491415000000018</v>
      </c>
      <c r="W149" s="249">
        <f t="shared" si="91"/>
        <v>29.271985000000001</v>
      </c>
      <c r="X149" s="249">
        <f t="shared" si="91"/>
        <v>18.004612999999992</v>
      </c>
      <c r="Y149" s="249">
        <f t="shared" si="91"/>
        <v>26.095450802930813</v>
      </c>
    </row>
    <row r="150" spans="11:25">
      <c r="K150" s="253" t="s">
        <v>168</v>
      </c>
      <c r="L150" s="249">
        <f t="shared" ref="L150:X160" si="92">L26-L137</f>
        <v>-1.420104000000002</v>
      </c>
      <c r="M150" s="249">
        <f t="shared" si="92"/>
        <v>6.3078040000000044</v>
      </c>
      <c r="N150" s="249">
        <f t="shared" si="92"/>
        <v>-4.2836620000000067</v>
      </c>
      <c r="O150" s="249">
        <f t="shared" si="92"/>
        <v>5.7837119999999942</v>
      </c>
      <c r="P150" s="249">
        <f t="shared" si="92"/>
        <v>14.888690000000004</v>
      </c>
      <c r="Q150" s="249">
        <f t="shared" si="92"/>
        <v>4.7520820000000015</v>
      </c>
      <c r="R150" s="249">
        <f t="shared" si="92"/>
        <v>15.506743</v>
      </c>
      <c r="S150" s="249">
        <f t="shared" si="92"/>
        <v>12.408727999999996</v>
      </c>
      <c r="T150" s="249">
        <f t="shared" si="92"/>
        <v>13.198548000000002</v>
      </c>
      <c r="U150" s="249">
        <f t="shared" si="92"/>
        <v>3.7959969999999998</v>
      </c>
      <c r="V150" s="249">
        <f t="shared" si="92"/>
        <v>-1.6110500000000059</v>
      </c>
      <c r="W150" s="249">
        <f t="shared" si="92"/>
        <v>3.2423500000000018</v>
      </c>
      <c r="X150" s="249">
        <f t="shared" si="92"/>
        <v>4.5663929999999908</v>
      </c>
      <c r="Y150" s="249">
        <f t="shared" si="91"/>
        <v>17.591986755176194</v>
      </c>
    </row>
    <row r="151" spans="11:25">
      <c r="K151" s="253" t="s">
        <v>169</v>
      </c>
      <c r="L151" s="249">
        <f t="shared" si="92"/>
        <v>-3.9310349999999943</v>
      </c>
      <c r="M151" s="249">
        <f t="shared" si="92"/>
        <v>-0.62742500000000234</v>
      </c>
      <c r="N151" s="249">
        <f t="shared" si="92"/>
        <v>0.25367800000000784</v>
      </c>
      <c r="O151" s="249">
        <f t="shared" si="92"/>
        <v>8.366739999999993</v>
      </c>
      <c r="P151" s="249">
        <f t="shared" si="92"/>
        <v>5.3019710000000089</v>
      </c>
      <c r="Q151" s="249">
        <f t="shared" si="92"/>
        <v>-6.597377999999992</v>
      </c>
      <c r="R151" s="249">
        <f t="shared" si="92"/>
        <v>4.4782909999999987</v>
      </c>
      <c r="S151" s="249">
        <f t="shared" si="92"/>
        <v>3.9322659999999985</v>
      </c>
      <c r="T151" s="249">
        <f t="shared" si="92"/>
        <v>-6.8337970000000041</v>
      </c>
      <c r="U151" s="249">
        <f t="shared" si="92"/>
        <v>0.8543420000000026</v>
      </c>
      <c r="V151" s="249">
        <f t="shared" si="92"/>
        <v>0.23409000000000901</v>
      </c>
      <c r="W151" s="249">
        <f t="shared" si="92"/>
        <v>-3.1109270000000038</v>
      </c>
      <c r="X151" s="249">
        <f t="shared" si="92"/>
        <v>8.3767150000000186</v>
      </c>
      <c r="Y151" s="249">
        <f t="shared" si="91"/>
        <v>2.7179218692833729</v>
      </c>
    </row>
    <row r="152" spans="11:25">
      <c r="K152" s="253" t="s">
        <v>170</v>
      </c>
      <c r="L152" s="249">
        <f t="shared" si="92"/>
        <v>0.75140300000001048</v>
      </c>
      <c r="M152" s="249">
        <f t="shared" si="92"/>
        <v>1.3614010000000007</v>
      </c>
      <c r="N152" s="249">
        <f t="shared" si="92"/>
        <v>-4.0247079999999897</v>
      </c>
      <c r="O152" s="249">
        <f t="shared" si="92"/>
        <v>-10.037773000000001</v>
      </c>
      <c r="P152" s="249">
        <f t="shared" si="92"/>
        <v>1.3459089999999918</v>
      </c>
      <c r="Q152" s="249">
        <f t="shared" si="92"/>
        <v>-6.3157880000000119</v>
      </c>
      <c r="R152" s="249">
        <f t="shared" si="92"/>
        <v>2.4968360000000018</v>
      </c>
      <c r="S152" s="249">
        <f t="shared" si="92"/>
        <v>-2.1126730000000009</v>
      </c>
      <c r="T152" s="249">
        <f t="shared" si="92"/>
        <v>-8.7395559999999932</v>
      </c>
      <c r="U152" s="249">
        <f t="shared" si="92"/>
        <v>-5.6271259999999756</v>
      </c>
      <c r="V152" s="249">
        <f t="shared" si="92"/>
        <v>-0.35749400000000264</v>
      </c>
      <c r="W152" s="249">
        <f t="shared" si="92"/>
        <v>-17.544381999999999</v>
      </c>
      <c r="X152" s="249">
        <f t="shared" si="92"/>
        <v>-0.43390199999998913</v>
      </c>
      <c r="Y152" s="249">
        <f t="shared" si="91"/>
        <v>-2.7100605897992978</v>
      </c>
    </row>
    <row r="153" spans="11:25">
      <c r="K153" s="253" t="s">
        <v>171</v>
      </c>
      <c r="L153" s="249">
        <f t="shared" si="92"/>
        <v>-0.68075499999999067</v>
      </c>
      <c r="M153" s="249">
        <f t="shared" si="92"/>
        <v>-5.5847580000000079</v>
      </c>
      <c r="N153" s="249">
        <f t="shared" si="92"/>
        <v>-7.8808779999999956</v>
      </c>
      <c r="O153" s="249">
        <f t="shared" si="92"/>
        <v>-4.0607510000000104</v>
      </c>
      <c r="P153" s="249">
        <f t="shared" si="92"/>
        <v>-4.5903260000000046</v>
      </c>
      <c r="Q153" s="249">
        <f t="shared" si="92"/>
        <v>5.7646000000005415E-2</v>
      </c>
      <c r="R153" s="249">
        <f t="shared" si="92"/>
        <v>-10.893057999999996</v>
      </c>
      <c r="S153" s="249">
        <f t="shared" si="92"/>
        <v>-14.923445999999984</v>
      </c>
      <c r="T153" s="249">
        <f t="shared" si="92"/>
        <v>-9.4524360000000058</v>
      </c>
      <c r="U153" s="249">
        <f t="shared" si="92"/>
        <v>9.3057769999999778</v>
      </c>
      <c r="V153" s="249">
        <f t="shared" si="92"/>
        <v>-1.9559500000000014</v>
      </c>
      <c r="W153" s="249">
        <f t="shared" si="92"/>
        <v>-3.7205160000000035</v>
      </c>
      <c r="X153" s="249">
        <f t="shared" si="92"/>
        <v>-8.6632250000000113</v>
      </c>
      <c r="Y153" s="249">
        <f t="shared" si="91"/>
        <v>1.5475724325285114</v>
      </c>
    </row>
    <row r="154" spans="11:25">
      <c r="K154" s="253" t="s">
        <v>172</v>
      </c>
      <c r="L154" s="249">
        <f t="shared" si="92"/>
        <v>3.1857240000000075</v>
      </c>
      <c r="M154" s="249">
        <f t="shared" si="92"/>
        <v>-13.239643999999998</v>
      </c>
      <c r="N154" s="249">
        <f t="shared" si="92"/>
        <v>-4.1709100000000063</v>
      </c>
      <c r="O154" s="249">
        <f t="shared" si="92"/>
        <v>-2.6037230000000022</v>
      </c>
      <c r="P154" s="249">
        <f t="shared" si="92"/>
        <v>-9.0955510000000146</v>
      </c>
      <c r="Q154" s="249">
        <f t="shared" si="92"/>
        <v>-7.9739349999999831</v>
      </c>
      <c r="R154" s="249">
        <f t="shared" si="92"/>
        <v>-4.5520759999999996</v>
      </c>
      <c r="S154" s="249">
        <f t="shared" si="92"/>
        <v>-1.681223000000017</v>
      </c>
      <c r="T154" s="249">
        <f t="shared" si="92"/>
        <v>-2.5494229999999902</v>
      </c>
      <c r="U154" s="249">
        <f t="shared" si="92"/>
        <v>-14.719329999999985</v>
      </c>
      <c r="V154" s="249">
        <f t="shared" si="92"/>
        <v>-11.028118000000006</v>
      </c>
      <c r="W154" s="249">
        <f t="shared" si="92"/>
        <v>-5.7000400000000013</v>
      </c>
      <c r="X154" s="249">
        <f t="shared" si="92"/>
        <v>-1.9900769999999852</v>
      </c>
      <c r="Y154" s="249">
        <f t="shared" si="91"/>
        <v>0.27494030761943122</v>
      </c>
    </row>
    <row r="155" spans="11:25">
      <c r="K155" s="253" t="s">
        <v>173</v>
      </c>
      <c r="L155" s="249">
        <f t="shared" si="92"/>
        <v>4.6454290000000071</v>
      </c>
      <c r="M155" s="249">
        <f t="shared" si="92"/>
        <v>-8.0254030000000114</v>
      </c>
      <c r="N155" s="249">
        <f t="shared" si="92"/>
        <v>0.53494800000001419</v>
      </c>
      <c r="O155" s="249">
        <f t="shared" si="92"/>
        <v>-5.3570339999999987</v>
      </c>
      <c r="P155" s="249">
        <f t="shared" si="92"/>
        <v>-8.0970389999999952</v>
      </c>
      <c r="Q155" s="249">
        <f t="shared" si="92"/>
        <v>1.9237219999999979</v>
      </c>
      <c r="R155" s="249">
        <f t="shared" si="92"/>
        <v>-0.77736400000000572</v>
      </c>
      <c r="S155" s="249">
        <f t="shared" si="92"/>
        <v>-3.4488699999999994</v>
      </c>
      <c r="T155" s="249">
        <f t="shared" si="92"/>
        <v>-10.842630999999983</v>
      </c>
      <c r="U155" s="249">
        <f t="shared" si="92"/>
        <v>-1.0692650000000015</v>
      </c>
      <c r="V155" s="249">
        <f t="shared" si="92"/>
        <v>2.2796619999999734</v>
      </c>
      <c r="W155" s="249">
        <f t="shared" si="92"/>
        <v>9.034134000000023</v>
      </c>
      <c r="X155" s="249">
        <f t="shared" si="92"/>
        <v>11.351615516466012</v>
      </c>
      <c r="Y155" s="249">
        <f t="shared" si="91"/>
        <v>4.8836062422737996</v>
      </c>
    </row>
    <row r="156" spans="11:25">
      <c r="K156" s="253" t="s">
        <v>174</v>
      </c>
      <c r="L156" s="249">
        <f t="shared" si="92"/>
        <v>-5.4684519999999992</v>
      </c>
      <c r="M156" s="249">
        <f t="shared" si="92"/>
        <v>-4.9484389999999934</v>
      </c>
      <c r="N156" s="249">
        <f t="shared" si="92"/>
        <v>-0.26814500000000407</v>
      </c>
      <c r="O156" s="249">
        <f t="shared" si="92"/>
        <v>-2.0138019999999983</v>
      </c>
      <c r="P156" s="249">
        <f t="shared" si="92"/>
        <v>-2.4346670000000046</v>
      </c>
      <c r="Q156" s="249">
        <f t="shared" si="92"/>
        <v>-19.46939900000001</v>
      </c>
      <c r="R156" s="249">
        <f t="shared" si="92"/>
        <v>-8.0506960000000163</v>
      </c>
      <c r="S156" s="249">
        <f t="shared" si="92"/>
        <v>-8.3512969999999882</v>
      </c>
      <c r="T156" s="249">
        <f t="shared" si="92"/>
        <v>2.299303000000009</v>
      </c>
      <c r="U156" s="249">
        <f t="shared" si="92"/>
        <v>-8.8844990000000053</v>
      </c>
      <c r="V156" s="249">
        <f t="shared" si="92"/>
        <v>-5.0802449999999908</v>
      </c>
      <c r="W156" s="249">
        <f t="shared" si="92"/>
        <v>-4.046118000000007</v>
      </c>
      <c r="X156" s="249">
        <f t="shared" si="92"/>
        <v>-6.2466870000000085</v>
      </c>
      <c r="Y156" s="249">
        <f t="shared" si="91"/>
        <v>-5.8268113876829943</v>
      </c>
    </row>
    <row r="157" spans="11:25">
      <c r="K157" s="253" t="s">
        <v>175</v>
      </c>
      <c r="L157" s="249">
        <f t="shared" si="92"/>
        <v>-18.28550700000001</v>
      </c>
      <c r="M157" s="249">
        <f t="shared" si="92"/>
        <v>0.51389399999999341</v>
      </c>
      <c r="N157" s="249">
        <f t="shared" si="92"/>
        <v>-0.58358200000000693</v>
      </c>
      <c r="O157" s="249">
        <f t="shared" si="92"/>
        <v>-8.8581899999999933</v>
      </c>
      <c r="P157" s="249">
        <f t="shared" si="92"/>
        <v>-13.710158000000007</v>
      </c>
      <c r="Q157" s="249">
        <f t="shared" si="92"/>
        <v>-11.997054999999989</v>
      </c>
      <c r="R157" s="249">
        <f t="shared" si="92"/>
        <v>-1.0402149999999892</v>
      </c>
      <c r="S157" s="249">
        <f t="shared" si="92"/>
        <v>7.3896439999999757</v>
      </c>
      <c r="T157" s="249">
        <f t="shared" si="92"/>
        <v>-1.813810999999987</v>
      </c>
      <c r="U157" s="249">
        <f t="shared" si="92"/>
        <v>-8.7042189999999948</v>
      </c>
      <c r="V157" s="249">
        <f t="shared" si="92"/>
        <v>-6.1697740000000181</v>
      </c>
      <c r="W157" s="249">
        <f t="shared" si="92"/>
        <v>-1.1254470000000083</v>
      </c>
      <c r="X157" s="249">
        <f t="shared" si="92"/>
        <v>2.9137440865108886</v>
      </c>
      <c r="Y157" s="249">
        <f t="shared" si="91"/>
        <v>-2.4290663896137232</v>
      </c>
    </row>
    <row r="158" spans="11:25">
      <c r="K158" s="253" t="s">
        <v>176</v>
      </c>
      <c r="L158" s="249">
        <f t="shared" si="92"/>
        <v>-8.3355499999999978</v>
      </c>
      <c r="M158" s="249">
        <f t="shared" si="92"/>
        <v>-5.4292449999999945</v>
      </c>
      <c r="N158" s="249">
        <f t="shared" si="92"/>
        <v>5.9921520000000044</v>
      </c>
      <c r="O158" s="249">
        <f t="shared" si="92"/>
        <v>1.6498710000000045</v>
      </c>
      <c r="P158" s="249">
        <f t="shared" si="92"/>
        <v>1.4360839999999939</v>
      </c>
      <c r="Q158" s="249">
        <f t="shared" si="92"/>
        <v>1.1066320000000189</v>
      </c>
      <c r="R158" s="249">
        <f t="shared" si="92"/>
        <v>-1.7239179999999976</v>
      </c>
      <c r="S158" s="249">
        <f t="shared" si="92"/>
        <v>-0.32490599999999858</v>
      </c>
      <c r="T158" s="249">
        <f t="shared" si="92"/>
        <v>-2.3043600000000026</v>
      </c>
      <c r="U158" s="249">
        <f t="shared" si="92"/>
        <v>7.7132400000000132</v>
      </c>
      <c r="V158" s="249">
        <f t="shared" si="92"/>
        <v>6.0931220000000224</v>
      </c>
      <c r="W158" s="249">
        <f t="shared" si="92"/>
        <v>7.4437700000000007</v>
      </c>
      <c r="X158" s="249">
        <f t="shared" si="92"/>
        <v>1.3574877036458872</v>
      </c>
      <c r="Y158" s="249">
        <f t="shared" si="91"/>
        <v>15.465072351356838</v>
      </c>
    </row>
    <row r="159" spans="11:25">
      <c r="K159" s="253" t="s">
        <v>177</v>
      </c>
      <c r="L159" s="249">
        <f t="shared" si="92"/>
        <v>-1.0365100000000069</v>
      </c>
      <c r="M159" s="249">
        <f t="shared" si="92"/>
        <v>-10.796279999999996</v>
      </c>
      <c r="N159" s="249">
        <f t="shared" si="92"/>
        <v>17.440207000000015</v>
      </c>
      <c r="O159" s="249">
        <f t="shared" si="92"/>
        <v>12.295144999999991</v>
      </c>
      <c r="P159" s="249">
        <f t="shared" si="92"/>
        <v>9.4062819999999903</v>
      </c>
      <c r="Q159" s="249">
        <f t="shared" si="92"/>
        <v>3.444312999999994</v>
      </c>
      <c r="R159" s="249">
        <f t="shared" si="92"/>
        <v>0.15005499999998051</v>
      </c>
      <c r="S159" s="249">
        <f t="shared" si="92"/>
        <v>9.4924599999999941</v>
      </c>
      <c r="T159" s="249">
        <f t="shared" si="92"/>
        <v>8.2843220000000031</v>
      </c>
      <c r="U159" s="249">
        <f t="shared" si="92"/>
        <v>9.2384830000000022</v>
      </c>
      <c r="V159" s="249">
        <f t="shared" si="92"/>
        <v>0.24724800000001323</v>
      </c>
      <c r="W159" s="249">
        <f t="shared" si="92"/>
        <v>0.81242399999999293</v>
      </c>
      <c r="X159" s="249">
        <f>X35-X146</f>
        <v>-14.973040906085288</v>
      </c>
      <c r="Y159" s="249">
        <f t="shared" si="91"/>
        <v>5.7397360464961196</v>
      </c>
    </row>
    <row r="160" spans="11:25">
      <c r="K160" s="253" t="s">
        <v>178</v>
      </c>
      <c r="L160" s="249">
        <f t="shared" si="92"/>
        <v>-41.386545000000012</v>
      </c>
      <c r="M160" s="249">
        <f t="shared" si="92"/>
        <v>0.80414599999999581</v>
      </c>
      <c r="N160" s="249">
        <f t="shared" si="92"/>
        <v>-25.846844000000004</v>
      </c>
      <c r="O160" s="249">
        <f t="shared" si="92"/>
        <v>-39.242685000000009</v>
      </c>
      <c r="P160" s="249">
        <f t="shared" si="92"/>
        <v>-2.0430659999999961</v>
      </c>
      <c r="Q160" s="249">
        <f t="shared" si="92"/>
        <v>-43.312249000000008</v>
      </c>
      <c r="R160" s="249">
        <f t="shared" si="92"/>
        <v>-14.956163000000004</v>
      </c>
      <c r="S160" s="249">
        <f t="shared" si="92"/>
        <v>-15.544376999999997</v>
      </c>
      <c r="T160" s="249">
        <f t="shared" si="92"/>
        <v>-6.7515810000000158</v>
      </c>
      <c r="U160" s="249">
        <f t="shared" si="92"/>
        <v>-17.907221000000021</v>
      </c>
      <c r="V160" s="249">
        <f t="shared" si="92"/>
        <v>-11.945239999999984</v>
      </c>
      <c r="W160" s="249">
        <f t="shared" si="92"/>
        <v>-12.513789000000003</v>
      </c>
      <c r="X160" s="249">
        <f t="shared" si="92"/>
        <v>-17.73113161834786</v>
      </c>
      <c r="Y160" s="249">
        <f t="shared" si="91"/>
        <v>29.425984980961061</v>
      </c>
    </row>
    <row r="161" spans="11:25">
      <c r="L161" s="249">
        <f>SUM(L149:L160)</f>
        <v>-69.61032999999999</v>
      </c>
      <c r="M161" s="249">
        <f t="shared" ref="M161:X161" si="93">SUM(M149:M160)</f>
        <v>-26.235679000000005</v>
      </c>
      <c r="N161" s="249">
        <f t="shared" si="93"/>
        <v>-25.13768199999997</v>
      </c>
      <c r="O161" s="249">
        <f t="shared" si="93"/>
        <v>-28.234117000000026</v>
      </c>
      <c r="P161" s="249">
        <f t="shared" si="93"/>
        <v>9.0742759999999762</v>
      </c>
      <c r="Q161" s="249">
        <f t="shared" si="93"/>
        <v>-65.377119999999977</v>
      </c>
      <c r="R161" s="249">
        <f t="shared" si="93"/>
        <v>7.459259999999972</v>
      </c>
      <c r="S161" s="249">
        <f t="shared" si="93"/>
        <v>1.865249999999989</v>
      </c>
      <c r="T161" s="249">
        <f t="shared" si="93"/>
        <v>10.731423000000035</v>
      </c>
      <c r="U161" s="249">
        <f t="shared" si="93"/>
        <v>-10.174637999999987</v>
      </c>
      <c r="V161" s="249">
        <f t="shared" si="93"/>
        <v>4.1976660000000265</v>
      </c>
      <c r="W161" s="249">
        <f t="shared" si="93"/>
        <v>2.0434439999999938</v>
      </c>
      <c r="X161" s="249">
        <f t="shared" si="93"/>
        <v>-3.4674952178103524</v>
      </c>
    </row>
    <row r="163" spans="11:25">
      <c r="K163" s="68" t="s">
        <v>203</v>
      </c>
    </row>
    <row r="164" spans="11:25">
      <c r="K164" s="68" t="s">
        <v>167</v>
      </c>
      <c r="O164" s="249">
        <f t="shared" ref="O164:Y175" si="94">O25+O41</f>
        <v>77.825714285714298</v>
      </c>
      <c r="P164" s="249">
        <f t="shared" si="94"/>
        <v>81.403142857142868</v>
      </c>
      <c r="Q164" s="249">
        <f t="shared" si="94"/>
        <v>110.48076190476189</v>
      </c>
      <c r="R164" s="249">
        <f t="shared" si="94"/>
        <v>98.495095238095246</v>
      </c>
      <c r="S164" s="249">
        <f t="shared" si="94"/>
        <v>131.38214285714287</v>
      </c>
      <c r="T164" s="249">
        <f t="shared" si="94"/>
        <v>151.25033333333334</v>
      </c>
      <c r="U164" s="249">
        <f t="shared" si="94"/>
        <v>142.233</v>
      </c>
      <c r="V164" s="249">
        <f t="shared" si="94"/>
        <v>146.22257142857143</v>
      </c>
      <c r="W164" s="249">
        <f t="shared" si="94"/>
        <v>129.22509523809524</v>
      </c>
      <c r="X164" s="249">
        <f>X25+X41</f>
        <v>159.68885714285713</v>
      </c>
      <c r="Y164" s="299">
        <f>Y25+Y41</f>
        <v>155.25342857142857</v>
      </c>
    </row>
    <row r="165" spans="11:25">
      <c r="K165" s="68" t="s">
        <v>168</v>
      </c>
      <c r="O165" s="249">
        <f>O26+O42</f>
        <v>79.476333333333329</v>
      </c>
      <c r="P165" s="249">
        <f t="shared" si="94"/>
        <v>90.259809523809523</v>
      </c>
      <c r="Q165" s="249">
        <f t="shared" si="94"/>
        <v>111.98733333333332</v>
      </c>
      <c r="R165" s="249">
        <f t="shared" si="94"/>
        <v>107.05442857142857</v>
      </c>
      <c r="S165" s="249">
        <f t="shared" si="94"/>
        <v>131.42119047619047</v>
      </c>
      <c r="T165" s="249">
        <f t="shared" si="94"/>
        <v>136.07661904761903</v>
      </c>
      <c r="U165" s="249">
        <f t="shared" si="94"/>
        <v>139.01947619047621</v>
      </c>
      <c r="V165" s="249">
        <f t="shared" si="94"/>
        <v>114.53190476190476</v>
      </c>
      <c r="W165" s="249">
        <f t="shared" si="94"/>
        <v>116.56595238095238</v>
      </c>
      <c r="X165" s="249">
        <f t="shared" si="94"/>
        <v>141.97566666666665</v>
      </c>
      <c r="Y165" s="299">
        <f t="shared" si="94"/>
        <v>162.94957142857143</v>
      </c>
    </row>
    <row r="166" spans="11:25">
      <c r="K166" s="68" t="s">
        <v>169</v>
      </c>
      <c r="O166" s="249">
        <f t="shared" si="94"/>
        <v>104.89228571428571</v>
      </c>
      <c r="P166" s="249">
        <f t="shared" si="94"/>
        <v>105.7682380952381</v>
      </c>
      <c r="Q166" s="249">
        <f t="shared" si="94"/>
        <v>133.61138095238096</v>
      </c>
      <c r="R166" s="249">
        <f t="shared" si="94"/>
        <v>131.44919047619047</v>
      </c>
      <c r="S166" s="249">
        <f t="shared" si="94"/>
        <v>160.00795238095239</v>
      </c>
      <c r="T166" s="249">
        <f t="shared" si="94"/>
        <v>153.75357142857141</v>
      </c>
      <c r="U166" s="249">
        <f t="shared" si="94"/>
        <v>158.87357142857141</v>
      </c>
      <c r="V166" s="249">
        <f t="shared" si="94"/>
        <v>159.1662380952381</v>
      </c>
      <c r="W166" s="249">
        <f t="shared" si="94"/>
        <v>147.89785714285713</v>
      </c>
      <c r="X166" s="249">
        <f t="shared" si="94"/>
        <v>161.07352380952381</v>
      </c>
      <c r="Y166" s="299">
        <f t="shared" si="94"/>
        <v>151.30666666666664</v>
      </c>
    </row>
    <row r="167" spans="11:25">
      <c r="K167" s="68" t="s">
        <v>170</v>
      </c>
      <c r="O167" s="249">
        <f t="shared" si="94"/>
        <v>96.566285714285712</v>
      </c>
      <c r="P167" s="249">
        <f t="shared" si="94"/>
        <v>115.70714285714286</v>
      </c>
      <c r="Q167" s="249">
        <f t="shared" si="94"/>
        <v>143.02242857142858</v>
      </c>
      <c r="R167" s="249">
        <f t="shared" si="94"/>
        <v>143.03528571428572</v>
      </c>
      <c r="S167" s="249">
        <f t="shared" si="94"/>
        <v>149.85833333333335</v>
      </c>
      <c r="T167" s="249">
        <f t="shared" si="94"/>
        <v>161.91090476190476</v>
      </c>
      <c r="U167" s="249">
        <f t="shared" si="94"/>
        <v>158.27661904761905</v>
      </c>
      <c r="V167" s="249">
        <f t="shared" si="94"/>
        <v>155.94376190476189</v>
      </c>
      <c r="W167" s="249">
        <f t="shared" si="94"/>
        <v>142.74200000000002</v>
      </c>
      <c r="X167" s="249">
        <f t="shared" si="94"/>
        <v>157.19052380952382</v>
      </c>
      <c r="Y167" s="299">
        <f t="shared" si="94"/>
        <v>168.11242857142855</v>
      </c>
    </row>
    <row r="168" spans="11:25">
      <c r="K168" s="68" t="s">
        <v>171</v>
      </c>
      <c r="O168" s="249">
        <f t="shared" si="94"/>
        <v>109.48066666666666</v>
      </c>
      <c r="P168" s="249">
        <f t="shared" si="94"/>
        <v>124.94</v>
      </c>
      <c r="Q168" s="249">
        <f t="shared" si="94"/>
        <v>161.9392380952381</v>
      </c>
      <c r="R168" s="249">
        <f t="shared" si="94"/>
        <v>158.7524285714286</v>
      </c>
      <c r="S168" s="249">
        <f t="shared" si="94"/>
        <v>159.05009523809525</v>
      </c>
      <c r="T168" s="249">
        <f t="shared" si="94"/>
        <v>161.28047619047621</v>
      </c>
      <c r="U168" s="249">
        <f t="shared" si="94"/>
        <v>163.78952380952381</v>
      </c>
      <c r="V168" s="249">
        <f t="shared" si="94"/>
        <v>156.06980952380951</v>
      </c>
      <c r="W168" s="249">
        <f t="shared" si="94"/>
        <v>143.648</v>
      </c>
      <c r="X168" s="249">
        <f t="shared" si="94"/>
        <v>174.58052380952381</v>
      </c>
      <c r="Y168" s="299">
        <f t="shared" si="94"/>
        <v>163.96176190476189</v>
      </c>
    </row>
    <row r="169" spans="11:25">
      <c r="K169" s="68" t="s">
        <v>172</v>
      </c>
      <c r="O169" s="249">
        <f t="shared" si="94"/>
        <v>116.6652380952381</v>
      </c>
      <c r="P169" s="249">
        <f t="shared" si="94"/>
        <v>137.84780952380953</v>
      </c>
      <c r="Q169" s="249">
        <f t="shared" si="94"/>
        <v>173.4295238095238</v>
      </c>
      <c r="R169" s="249">
        <f t="shared" si="94"/>
        <v>181.79233333333335</v>
      </c>
      <c r="S169" s="249">
        <f t="shared" si="94"/>
        <v>165.91461904761903</v>
      </c>
      <c r="T169" s="249">
        <f t="shared" si="94"/>
        <v>148.93395238095238</v>
      </c>
      <c r="U169" s="249">
        <f t="shared" si="94"/>
        <v>161.41904761904763</v>
      </c>
      <c r="V169" s="249">
        <f t="shared" si="94"/>
        <v>154.04804761904762</v>
      </c>
      <c r="W169" s="249">
        <f t="shared" si="94"/>
        <v>145.38709523809524</v>
      </c>
      <c r="X169" s="249">
        <f t="shared" si="94"/>
        <v>174.87747619047622</v>
      </c>
      <c r="Y169" s="299">
        <f t="shared" si="94"/>
        <v>158.68766666666664</v>
      </c>
    </row>
    <row r="170" spans="11:25">
      <c r="K170" s="68" t="s">
        <v>173</v>
      </c>
      <c r="O170" s="249">
        <f t="shared" si="94"/>
        <v>134.62509523809524</v>
      </c>
      <c r="P170" s="249">
        <f t="shared" si="94"/>
        <v>148.62361904761903</v>
      </c>
      <c r="Q170" s="249">
        <f t="shared" si="94"/>
        <v>179.91080952380952</v>
      </c>
      <c r="R170" s="249">
        <f t="shared" si="94"/>
        <v>189.27490476190476</v>
      </c>
      <c r="S170" s="249">
        <f t="shared" si="94"/>
        <v>170.06909523809523</v>
      </c>
      <c r="T170" s="249">
        <f t="shared" si="94"/>
        <v>166.53857142857143</v>
      </c>
      <c r="U170" s="249">
        <f t="shared" si="94"/>
        <v>169.90709523809525</v>
      </c>
      <c r="V170" s="249">
        <f t="shared" si="94"/>
        <v>157.66999999999999</v>
      </c>
      <c r="W170" s="249">
        <f t="shared" si="94"/>
        <v>153.34190476190477</v>
      </c>
      <c r="X170" s="249">
        <f t="shared" si="94"/>
        <v>169.42290476190476</v>
      </c>
      <c r="Y170" s="299">
        <f t="shared" si="94"/>
        <v>160.31890476190475</v>
      </c>
    </row>
    <row r="171" spans="11:25">
      <c r="K171" s="68" t="s">
        <v>174</v>
      </c>
      <c r="O171" s="249">
        <f t="shared" si="94"/>
        <v>139.03223809523809</v>
      </c>
      <c r="P171" s="249">
        <f t="shared" si="94"/>
        <v>146.0569523809524</v>
      </c>
      <c r="Q171" s="249">
        <f t="shared" si="94"/>
        <v>186.77223809523809</v>
      </c>
      <c r="R171" s="249">
        <f t="shared" si="94"/>
        <v>187.15266666666665</v>
      </c>
      <c r="S171" s="249">
        <f t="shared" si="94"/>
        <v>178.97047619047621</v>
      </c>
      <c r="T171" s="249">
        <f t="shared" si="94"/>
        <v>161.04085714285713</v>
      </c>
      <c r="U171" s="249">
        <f t="shared" si="94"/>
        <v>168.18042857142859</v>
      </c>
      <c r="V171" s="249">
        <f t="shared" si="94"/>
        <v>156.33533333333335</v>
      </c>
      <c r="W171" s="249">
        <f t="shared" si="94"/>
        <v>156.62033333333335</v>
      </c>
      <c r="X171" s="249">
        <f t="shared" si="94"/>
        <v>168.4402380952381</v>
      </c>
      <c r="Y171" s="299">
        <f t="shared" si="94"/>
        <v>166.1259379770587</v>
      </c>
    </row>
    <row r="172" spans="11:25">
      <c r="K172" s="68" t="s">
        <v>175</v>
      </c>
      <c r="O172" s="249">
        <f t="shared" si="94"/>
        <v>124.05795238095239</v>
      </c>
      <c r="P172" s="249">
        <f t="shared" si="94"/>
        <v>129.40471428571428</v>
      </c>
      <c r="Q172" s="249">
        <f t="shared" si="94"/>
        <v>178.35747619047618</v>
      </c>
      <c r="R172" s="249">
        <f t="shared" si="94"/>
        <v>152.17395238095239</v>
      </c>
      <c r="S172" s="249">
        <f t="shared" si="94"/>
        <v>170.99123809523809</v>
      </c>
      <c r="T172" s="249">
        <f t="shared" si="94"/>
        <v>148.51266666666666</v>
      </c>
      <c r="U172" s="249">
        <f t="shared" si="94"/>
        <v>167.73242857142858</v>
      </c>
      <c r="V172" s="249">
        <f t="shared" si="94"/>
        <v>143.71738095238095</v>
      </c>
      <c r="W172" s="249">
        <f t="shared" si="94"/>
        <v>150.35185714285714</v>
      </c>
      <c r="X172" s="249">
        <f t="shared" si="94"/>
        <v>174.86519047619049</v>
      </c>
      <c r="Y172" s="299">
        <f t="shared" si="94"/>
        <v>169.04002635353598</v>
      </c>
    </row>
    <row r="173" spans="11:25">
      <c r="K173" s="68" t="s">
        <v>176</v>
      </c>
      <c r="O173" s="249">
        <f t="shared" si="94"/>
        <v>135.05942857142858</v>
      </c>
      <c r="P173" s="249">
        <f t="shared" si="94"/>
        <v>127.01461904761905</v>
      </c>
      <c r="Q173" s="249">
        <f t="shared" si="94"/>
        <v>187.57295238095239</v>
      </c>
      <c r="R173" s="249">
        <f t="shared" si="94"/>
        <v>156.81447619047617</v>
      </c>
      <c r="S173" s="249">
        <f t="shared" si="94"/>
        <v>182.07104761904762</v>
      </c>
      <c r="T173" s="249">
        <f t="shared" si="94"/>
        <v>151.79019047619047</v>
      </c>
      <c r="U173" s="249">
        <f t="shared" si="94"/>
        <v>167.203</v>
      </c>
      <c r="V173" s="249">
        <f t="shared" si="94"/>
        <v>157.13390476190477</v>
      </c>
      <c r="W173" s="249">
        <f t="shared" si="94"/>
        <v>161.15066666666667</v>
      </c>
      <c r="X173" s="249">
        <f t="shared" si="94"/>
        <v>170.98728571428572</v>
      </c>
      <c r="Y173" s="299">
        <f t="shared" si="94"/>
        <v>184.34835418479429</v>
      </c>
    </row>
    <row r="174" spans="11:25">
      <c r="K174" s="68" t="s">
        <v>177</v>
      </c>
      <c r="O174" s="249">
        <f t="shared" si="94"/>
        <v>133.18661904761905</v>
      </c>
      <c r="P174" s="249">
        <f t="shared" si="94"/>
        <v>122.57347619047619</v>
      </c>
      <c r="Q174" s="249">
        <f t="shared" si="94"/>
        <v>195.15199999999999</v>
      </c>
      <c r="R174" s="249">
        <f t="shared" si="94"/>
        <v>153.26571428571427</v>
      </c>
      <c r="S174" s="249">
        <f t="shared" si="94"/>
        <v>171.53490476190476</v>
      </c>
      <c r="T174" s="249">
        <f t="shared" si="94"/>
        <v>137.35257142857142</v>
      </c>
      <c r="U174" s="249">
        <f t="shared" si="94"/>
        <v>162.73366666666666</v>
      </c>
      <c r="V174" s="249">
        <f t="shared" si="94"/>
        <v>156.81828571428574</v>
      </c>
      <c r="W174" s="249">
        <f t="shared" si="94"/>
        <v>163.608</v>
      </c>
      <c r="X174" s="299">
        <f t="shared" si="94"/>
        <v>165.18700000000001</v>
      </c>
      <c r="Y174" s="299">
        <f t="shared" si="94"/>
        <v>179.47803289369904</v>
      </c>
    </row>
    <row r="175" spans="11:25">
      <c r="K175" s="68" t="s">
        <v>178</v>
      </c>
      <c r="O175" s="249">
        <f t="shared" si="94"/>
        <v>137.11114285714285</v>
      </c>
      <c r="P175" s="249">
        <f t="shared" si="94"/>
        <v>133.72366666666667</v>
      </c>
      <c r="Q175" s="249">
        <f t="shared" si="94"/>
        <v>207.37480952380952</v>
      </c>
      <c r="R175" s="249">
        <f t="shared" si="94"/>
        <v>159.63900000000001</v>
      </c>
      <c r="S175" s="249">
        <f t="shared" si="94"/>
        <v>180.54690476190476</v>
      </c>
      <c r="T175" s="249">
        <f t="shared" si="94"/>
        <v>143.15952380952382</v>
      </c>
      <c r="U175" s="249">
        <f t="shared" si="94"/>
        <v>166.85495238095237</v>
      </c>
      <c r="V175" s="249">
        <f t="shared" si="94"/>
        <v>170.33442857142859</v>
      </c>
      <c r="W175" s="249">
        <f t="shared" si="94"/>
        <v>153.15490476190476</v>
      </c>
      <c r="X175" s="299">
        <f>X36+X52</f>
        <v>162.56161904761905</v>
      </c>
      <c r="Y175" s="299">
        <f>Y36+Y52</f>
        <v>261.6228720194834</v>
      </c>
    </row>
    <row r="176" spans="11:25">
      <c r="K176" s="244" t="s">
        <v>179</v>
      </c>
      <c r="O176" s="249">
        <f>SUM(O164:O175)</f>
        <v>1387.979</v>
      </c>
      <c r="P176" s="249">
        <f t="shared" ref="P176:V176" si="95">SUM(P164:P175)</f>
        <v>1463.3231904761908</v>
      </c>
      <c r="Q176" s="249">
        <f t="shared" si="95"/>
        <v>1969.6109523809521</v>
      </c>
      <c r="R176" s="249">
        <f t="shared" si="95"/>
        <v>1818.899476190476</v>
      </c>
      <c r="S176" s="249">
        <f t="shared" si="95"/>
        <v>1951.818</v>
      </c>
      <c r="T176" s="249">
        <f t="shared" si="95"/>
        <v>1821.6002380952382</v>
      </c>
      <c r="U176" s="249">
        <f t="shared" si="95"/>
        <v>1926.2228095238097</v>
      </c>
      <c r="V176" s="249">
        <f t="shared" si="95"/>
        <v>1827.9916666666668</v>
      </c>
      <c r="W176" s="249">
        <f>SUM(W164:W175)</f>
        <v>1763.6936666666666</v>
      </c>
      <c r="X176" s="299">
        <f t="shared" ref="X176:Y176" si="96">SUM(X164:X175)</f>
        <v>1980.8508095238094</v>
      </c>
      <c r="Y176" s="299">
        <f t="shared" si="96"/>
        <v>2081.2056520000001</v>
      </c>
    </row>
  </sheetData>
  <printOptions verticalCentered="1"/>
  <pageMargins left="0.2" right="0.2" top="0.25" bottom="0.25" header="0" footer="0.1"/>
  <pageSetup scale="52" orientation="landscape" r:id="rId1"/>
  <headerFooter>
    <oddFooter>&amp;L&amp;"Arial,Regular"&amp;10&amp;D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3044-669D-4205-840B-05FBEFF511A8}">
  <sheetPr>
    <pageSetUpPr fitToPage="1"/>
  </sheetPr>
  <dimension ref="A1:AN179"/>
  <sheetViews>
    <sheetView showGridLines="0" zoomScaleNormal="100" workbookViewId="0">
      <pane xSplit="1" ySplit="3" topLeftCell="Y4" activePane="bottomRight" state="frozen"/>
      <selection activeCell="B7" sqref="B7"/>
      <selection pane="topRight" activeCell="B7" sqref="B7"/>
      <selection pane="bottomLeft" activeCell="B7" sqref="B7"/>
      <selection pane="bottomRight" activeCell="Z12" sqref="Z12:AH12"/>
    </sheetView>
  </sheetViews>
  <sheetFormatPr defaultColWidth="8.85546875" defaultRowHeight="11.25"/>
  <cols>
    <col min="1" max="1" width="57.85546875" style="68" customWidth="1"/>
    <col min="2" max="11" width="8.85546875" style="68" customWidth="1"/>
    <col min="12" max="22" width="8.85546875" style="235" customWidth="1"/>
    <col min="23" max="23" width="10.42578125" style="235" bestFit="1" customWidth="1"/>
    <col min="24" max="34" width="8.85546875" style="233" customWidth="1"/>
    <col min="35" max="35" width="9.28515625" style="68" bestFit="1" customWidth="1"/>
    <col min="36" max="36" width="12.85546875" style="68" bestFit="1" customWidth="1"/>
    <col min="37" max="37" width="13" style="68" bestFit="1" customWidth="1"/>
    <col min="38" max="38" width="10.7109375" style="68" bestFit="1" customWidth="1"/>
    <col min="39" max="39" width="9.7109375" style="68" bestFit="1" customWidth="1"/>
    <col min="40" max="40" width="9" style="68" bestFit="1" customWidth="1"/>
    <col min="41" max="16384" width="8.85546875" style="68"/>
  </cols>
  <sheetData>
    <row r="1" spans="1:37" ht="16.5" thickBot="1">
      <c r="A1" s="263" t="s">
        <v>705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</row>
    <row r="2" spans="1:37" ht="12" thickTop="1">
      <c r="A2" s="199" t="s">
        <v>204</v>
      </c>
      <c r="B2" s="204">
        <v>2001</v>
      </c>
      <c r="C2" s="204">
        <v>2002</v>
      </c>
      <c r="D2" s="204">
        <v>2003</v>
      </c>
      <c r="E2" s="204">
        <v>2004</v>
      </c>
      <c r="F2" s="204">
        <v>2005</v>
      </c>
      <c r="G2" s="204">
        <v>2006</v>
      </c>
      <c r="H2" s="204">
        <v>2007</v>
      </c>
      <c r="I2" s="204">
        <v>2008</v>
      </c>
      <c r="J2" s="204">
        <v>2009</v>
      </c>
      <c r="K2" s="204">
        <v>2010</v>
      </c>
      <c r="L2" s="205">
        <v>2011</v>
      </c>
      <c r="M2" s="205">
        <v>2012</v>
      </c>
      <c r="N2" s="205">
        <v>2013</v>
      </c>
      <c r="O2" s="205">
        <v>2014</v>
      </c>
      <c r="P2" s="205">
        <v>2015</v>
      </c>
      <c r="Q2" s="205">
        <v>2016</v>
      </c>
      <c r="R2" s="205">
        <v>2017</v>
      </c>
      <c r="S2" s="205">
        <v>2018</v>
      </c>
      <c r="T2" s="205">
        <v>2019</v>
      </c>
      <c r="U2" s="205">
        <v>2020</v>
      </c>
      <c r="V2" s="205">
        <v>2021</v>
      </c>
      <c r="W2" s="205">
        <v>2022</v>
      </c>
      <c r="X2" s="205">
        <v>2023</v>
      </c>
      <c r="Y2" s="205">
        <v>2024</v>
      </c>
      <c r="Z2" s="205">
        <v>2025</v>
      </c>
      <c r="AA2" s="205">
        <v>2026</v>
      </c>
      <c r="AB2" s="205">
        <v>2027</v>
      </c>
      <c r="AC2" s="205">
        <v>2028</v>
      </c>
      <c r="AD2" s="205">
        <v>2029</v>
      </c>
      <c r="AE2" s="205">
        <v>2030</v>
      </c>
      <c r="AF2" s="205">
        <v>2031</v>
      </c>
      <c r="AG2" s="205">
        <v>2032</v>
      </c>
      <c r="AH2" s="205">
        <v>2033</v>
      </c>
    </row>
    <row r="3" spans="1:37" hidden="1">
      <c r="A3" s="200" t="s">
        <v>205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</row>
    <row r="4" spans="1:37">
      <c r="A4" s="209" t="s">
        <v>149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1">
        <v>0</v>
      </c>
      <c r="M4" s="211">
        <f t="shared" ref="M4:AH4" si="0">L11</f>
        <v>0</v>
      </c>
      <c r="N4" s="211">
        <f t="shared" si="0"/>
        <v>3.948</v>
      </c>
      <c r="O4" s="211">
        <f t="shared" si="0"/>
        <v>29.021999999999998</v>
      </c>
      <c r="P4" s="211">
        <f t="shared" si="0"/>
        <v>14.7</v>
      </c>
      <c r="Q4" s="211">
        <f t="shared" si="0"/>
        <v>26.628</v>
      </c>
      <c r="R4" s="211">
        <f t="shared" si="0"/>
        <v>55.23</v>
      </c>
      <c r="S4" s="211">
        <f t="shared" si="0"/>
        <v>31.626000000000001</v>
      </c>
      <c r="T4" s="211">
        <f t="shared" si="0"/>
        <v>72.534000000000006</v>
      </c>
      <c r="U4" s="211">
        <f t="shared" si="0"/>
        <v>62.622</v>
      </c>
      <c r="V4" s="211">
        <f t="shared" si="0"/>
        <v>54.054000000000002</v>
      </c>
      <c r="W4" s="211">
        <f t="shared" si="0"/>
        <v>98.815584000000001</v>
      </c>
      <c r="X4" s="211">
        <f t="shared" si="0"/>
        <v>143.02927800000001</v>
      </c>
      <c r="Y4" s="211">
        <f t="shared" si="0"/>
        <v>230.06634000000003</v>
      </c>
      <c r="Z4" s="212">
        <f t="shared" si="0"/>
        <v>234.10474399999976</v>
      </c>
      <c r="AA4" s="212">
        <f t="shared" si="0"/>
        <v>145.82629142093674</v>
      </c>
      <c r="AB4" s="212">
        <f t="shared" si="0"/>
        <v>133.62387859459659</v>
      </c>
      <c r="AC4" s="212">
        <f t="shared" si="0"/>
        <v>102.53911815912124</v>
      </c>
      <c r="AD4" s="212">
        <f t="shared" si="0"/>
        <v>57.443656218736123</v>
      </c>
      <c r="AE4" s="212">
        <f t="shared" si="0"/>
        <v>-9.6261869896516146</v>
      </c>
      <c r="AF4" s="212">
        <f t="shared" si="0"/>
        <v>-127.05496170059314</v>
      </c>
      <c r="AG4" s="212">
        <f t="shared" si="0"/>
        <v>-225.85388238007863</v>
      </c>
      <c r="AH4" s="212">
        <f t="shared" si="0"/>
        <v>-351.91266875479459</v>
      </c>
    </row>
    <row r="5" spans="1:37">
      <c r="A5" s="209" t="s">
        <v>150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1">
        <f t="shared" ref="L5:V5" si="1">L36</f>
        <v>62.041000000000004</v>
      </c>
      <c r="M5" s="211">
        <f t="shared" si="1"/>
        <v>52.400000000000006</v>
      </c>
      <c r="N5" s="211">
        <f t="shared" si="1"/>
        <v>113.285</v>
      </c>
      <c r="O5" s="211">
        <f t="shared" si="1"/>
        <v>159.14099999999999</v>
      </c>
      <c r="P5" s="211">
        <f t="shared" si="1"/>
        <v>176.84799999999998</v>
      </c>
      <c r="Q5" s="211">
        <f t="shared" si="1"/>
        <v>241.48600000000002</v>
      </c>
      <c r="R5" s="211">
        <f t="shared" si="1"/>
        <v>258.34300000000002</v>
      </c>
      <c r="S5" s="211">
        <f t="shared" si="1"/>
        <v>305.48399999999998</v>
      </c>
      <c r="T5" s="211">
        <f t="shared" si="1"/>
        <v>492.01000000000005</v>
      </c>
      <c r="U5" s="211">
        <f t="shared" si="1"/>
        <v>533.495</v>
      </c>
      <c r="V5" s="211">
        <f t="shared" si="1"/>
        <v>861.12</v>
      </c>
      <c r="W5" s="211">
        <f>W36</f>
        <v>1499.0550000000001</v>
      </c>
      <c r="X5" s="211">
        <f>X36</f>
        <v>2593.2420000000002</v>
      </c>
      <c r="Y5" s="212">
        <f t="shared" ref="Y5:AH5" si="2">Y36</f>
        <v>3165.054275</v>
      </c>
      <c r="Z5" s="212">
        <f t="shared" si="2"/>
        <v>2551.1408161709369</v>
      </c>
      <c r="AA5" s="212">
        <f t="shared" si="2"/>
        <v>2689.0432430486599</v>
      </c>
      <c r="AB5" s="212">
        <f t="shared" si="2"/>
        <v>2966.2187650645246</v>
      </c>
      <c r="AC5" s="212">
        <f t="shared" si="2"/>
        <v>3023.2659331846148</v>
      </c>
      <c r="AD5" s="212">
        <f t="shared" si="2"/>
        <v>3047.3494215416122</v>
      </c>
      <c r="AE5" s="212">
        <f t="shared" si="2"/>
        <v>3193.0483596640584</v>
      </c>
      <c r="AF5" s="212">
        <f t="shared" si="2"/>
        <v>3461.6782126955145</v>
      </c>
      <c r="AG5" s="212">
        <f t="shared" si="2"/>
        <v>4105.476216625284</v>
      </c>
      <c r="AH5" s="212">
        <f t="shared" si="2"/>
        <v>4085.0674949750655</v>
      </c>
    </row>
    <row r="6" spans="1:37">
      <c r="A6" s="213" t="s">
        <v>151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5">
        <v>0</v>
      </c>
      <c r="M6" s="215">
        <f t="shared" ref="M6:X6" si="3">M52</f>
        <v>14.404761904761905</v>
      </c>
      <c r="N6" s="215">
        <f t="shared" si="3"/>
        <v>117.16666666666667</v>
      </c>
      <c r="O6" s="215">
        <f t="shared" si="3"/>
        <v>120.666</v>
      </c>
      <c r="P6" s="215">
        <f t="shared" si="3"/>
        <v>204.70800000000003</v>
      </c>
      <c r="Q6" s="215">
        <f t="shared" si="3"/>
        <v>222.76799999999997</v>
      </c>
      <c r="R6" s="215">
        <f t="shared" si="3"/>
        <v>189.37799999999999</v>
      </c>
      <c r="S6" s="215">
        <f t="shared" si="3"/>
        <v>173.20800000000003</v>
      </c>
      <c r="T6" s="215">
        <f t="shared" si="3"/>
        <v>258.00600000000003</v>
      </c>
      <c r="U6" s="215">
        <f t="shared" si="3"/>
        <v>279.63600000000002</v>
      </c>
      <c r="V6" s="215">
        <f t="shared" si="3"/>
        <v>392.28</v>
      </c>
      <c r="W6" s="215">
        <f t="shared" si="3"/>
        <v>262.66800000000001</v>
      </c>
      <c r="X6" s="215">
        <f t="shared" si="3"/>
        <v>362.12400000000002</v>
      </c>
      <c r="Y6" s="216">
        <f>'[8]Renewable Diesel'!P95/1000000</f>
        <v>313.984129</v>
      </c>
      <c r="Z6" s="216">
        <f>'[8]Renewable Diesel'!Q95/1000000</f>
        <v>210.58073125000001</v>
      </c>
      <c r="AA6" s="216">
        <f>'[8]Renewable Diesel'!R95/1000000</f>
        <v>273.75434412499999</v>
      </c>
      <c r="AB6" s="216">
        <f>'[8]Renewable Diesel'!S95/1000000</f>
        <v>252.69647449999997</v>
      </c>
      <c r="AC6" s="216">
        <f>'[8]Renewable Diesel'!T95/1000000</f>
        <v>231.63860487500003</v>
      </c>
      <c r="AD6" s="216">
        <f>'[8]Renewable Diesel'!U95/1000000</f>
        <v>210.58073525</v>
      </c>
      <c r="AE6" s="216">
        <f>'[8]Renewable Diesel'!V95/1000000</f>
        <v>189.52286562500001</v>
      </c>
      <c r="AF6" s="216">
        <f>'[8]Renewable Diesel'!W95/1000000</f>
        <v>189.52286662500001</v>
      </c>
      <c r="AG6" s="216">
        <f>'[8]Renewable Diesel'!X95/1000000</f>
        <v>168.46499700000004</v>
      </c>
      <c r="AH6" s="216">
        <f>'[8]Renewable Diesel'!Y95/1000000</f>
        <v>160.04184975000001</v>
      </c>
    </row>
    <row r="7" spans="1:37">
      <c r="A7" s="217" t="s">
        <v>152</v>
      </c>
      <c r="B7" s="218"/>
      <c r="C7" s="218"/>
      <c r="D7" s="218"/>
      <c r="E7" s="218"/>
      <c r="F7" s="218"/>
      <c r="G7" s="218"/>
      <c r="H7" s="218"/>
      <c r="I7" s="218"/>
      <c r="J7" s="218"/>
      <c r="K7" s="218"/>
      <c r="L7" s="219">
        <f>L4+L5+L6</f>
        <v>62.041000000000004</v>
      </c>
      <c r="M7" s="219">
        <f t="shared" ref="M7:AH7" si="4">M4+M5+M6</f>
        <v>66.804761904761904</v>
      </c>
      <c r="N7" s="219">
        <f t="shared" si="4"/>
        <v>234.39966666666666</v>
      </c>
      <c r="O7" s="219">
        <f t="shared" si="4"/>
        <v>308.82899999999995</v>
      </c>
      <c r="P7" s="219">
        <f t="shared" si="4"/>
        <v>396.25599999999997</v>
      </c>
      <c r="Q7" s="219">
        <f t="shared" si="4"/>
        <v>490.88200000000001</v>
      </c>
      <c r="R7" s="219">
        <f t="shared" si="4"/>
        <v>502.95100000000002</v>
      </c>
      <c r="S7" s="219">
        <f t="shared" si="4"/>
        <v>510.31799999999998</v>
      </c>
      <c r="T7" s="219">
        <f t="shared" si="4"/>
        <v>822.55000000000018</v>
      </c>
      <c r="U7" s="219">
        <f t="shared" si="4"/>
        <v>875.75299999999993</v>
      </c>
      <c r="V7" s="219">
        <f t="shared" si="4"/>
        <v>1307.454</v>
      </c>
      <c r="W7" s="219">
        <f t="shared" si="4"/>
        <v>1860.5385839999999</v>
      </c>
      <c r="X7" s="219">
        <f t="shared" si="4"/>
        <v>3098.395278</v>
      </c>
      <c r="Y7" s="220">
        <f t="shared" si="4"/>
        <v>3709.1047439999998</v>
      </c>
      <c r="Z7" s="220">
        <f t="shared" si="4"/>
        <v>2995.8262914209367</v>
      </c>
      <c r="AA7" s="220">
        <f t="shared" si="4"/>
        <v>3108.6238785945966</v>
      </c>
      <c r="AB7" s="220">
        <f t="shared" si="4"/>
        <v>3352.5391181591212</v>
      </c>
      <c r="AC7" s="220">
        <f t="shared" si="4"/>
        <v>3357.4436562187361</v>
      </c>
      <c r="AD7" s="220">
        <f t="shared" si="4"/>
        <v>3315.3738130103484</v>
      </c>
      <c r="AE7" s="220">
        <f t="shared" si="4"/>
        <v>3372.9450382994069</v>
      </c>
      <c r="AF7" s="220">
        <f t="shared" si="4"/>
        <v>3524.1461176199214</v>
      </c>
      <c r="AG7" s="220">
        <f t="shared" si="4"/>
        <v>4048.0873312452054</v>
      </c>
      <c r="AH7" s="220">
        <f t="shared" si="4"/>
        <v>3893.1966759702709</v>
      </c>
      <c r="AI7" s="221"/>
      <c r="AJ7" s="221"/>
      <c r="AK7" s="221"/>
    </row>
    <row r="8" spans="1:37">
      <c r="A8" s="210" t="s">
        <v>206</v>
      </c>
      <c r="B8" s="210"/>
      <c r="C8" s="210"/>
      <c r="D8" s="210"/>
      <c r="E8" s="210"/>
      <c r="F8" s="210"/>
      <c r="G8" s="210"/>
      <c r="H8" s="210"/>
      <c r="I8" s="210"/>
      <c r="J8" s="210"/>
      <c r="K8" s="210"/>
      <c r="L8" s="211">
        <f>L10-L9</f>
        <v>62.041000000000004</v>
      </c>
      <c r="M8" s="211">
        <f t="shared" ref="M8:O8" si="5">M10-M9</f>
        <v>61.856761904761903</v>
      </c>
      <c r="N8" s="211">
        <f t="shared" si="5"/>
        <v>203.37766666666667</v>
      </c>
      <c r="O8" s="211">
        <f t="shared" si="5"/>
        <v>291.12899999999996</v>
      </c>
      <c r="P8" s="211">
        <f t="shared" ref="P8:V8" si="6">P68</f>
        <v>369.62799999999999</v>
      </c>
      <c r="Q8" s="211">
        <f t="shared" si="6"/>
        <v>435.65199999999999</v>
      </c>
      <c r="R8" s="211">
        <f t="shared" si="6"/>
        <v>471.32500000000005</v>
      </c>
      <c r="S8" s="211">
        <f t="shared" si="6"/>
        <v>437.78399999999999</v>
      </c>
      <c r="T8" s="211">
        <f t="shared" si="6"/>
        <v>759.928</v>
      </c>
      <c r="U8" s="211">
        <f t="shared" si="6"/>
        <v>821.69899999999996</v>
      </c>
      <c r="V8" s="211">
        <f t="shared" si="6"/>
        <v>1208.638416</v>
      </c>
      <c r="W8" s="211">
        <f>W68</f>
        <v>1717.5093059999997</v>
      </c>
      <c r="X8" s="211">
        <f>X68</f>
        <v>2868.3289379999997</v>
      </c>
      <c r="Y8" s="212">
        <f>MROUND(FORECAST(Y5,Q8:X8,Q5:X5),25)</f>
        <v>3475</v>
      </c>
      <c r="Z8" s="212">
        <f>MROUND(FORECAST(Z5,R8:Y8,R5:Y5),25)</f>
        <v>2850</v>
      </c>
      <c r="AA8" s="212">
        <f t="shared" ref="AA8:AH8" si="7">MROUND(FORECAST(AA5,S8:Z8,S5:Z5),25)</f>
        <v>2975</v>
      </c>
      <c r="AB8" s="212">
        <f t="shared" si="7"/>
        <v>3250</v>
      </c>
      <c r="AC8" s="212">
        <f t="shared" si="7"/>
        <v>3300</v>
      </c>
      <c r="AD8" s="212">
        <f t="shared" si="7"/>
        <v>3325</v>
      </c>
      <c r="AE8" s="212">
        <f t="shared" si="7"/>
        <v>3500</v>
      </c>
      <c r="AF8" s="212">
        <f t="shared" si="7"/>
        <v>3750</v>
      </c>
      <c r="AG8" s="212">
        <f t="shared" si="7"/>
        <v>4400</v>
      </c>
      <c r="AH8" s="212">
        <f t="shared" si="7"/>
        <v>4375</v>
      </c>
      <c r="AI8" s="221"/>
      <c r="AJ8" s="221"/>
      <c r="AK8" s="221"/>
    </row>
    <row r="9" spans="1:37">
      <c r="A9" s="69" t="s">
        <v>155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222">
        <v>0</v>
      </c>
      <c r="M9" s="222">
        <v>1</v>
      </c>
      <c r="N9" s="222">
        <v>2</v>
      </c>
      <c r="O9" s="222">
        <v>3</v>
      </c>
      <c r="P9" s="222">
        <v>0</v>
      </c>
      <c r="Q9" s="222">
        <v>0</v>
      </c>
      <c r="R9" s="222">
        <v>0</v>
      </c>
      <c r="S9" s="222">
        <v>0</v>
      </c>
      <c r="T9" s="222">
        <v>0</v>
      </c>
      <c r="U9" s="222">
        <v>0</v>
      </c>
      <c r="V9" s="222">
        <v>0</v>
      </c>
      <c r="W9" s="222">
        <v>0</v>
      </c>
      <c r="X9" s="222">
        <v>1</v>
      </c>
      <c r="Y9" s="223">
        <v>0</v>
      </c>
      <c r="Z9" s="223">
        <v>0</v>
      </c>
      <c r="AA9" s="223">
        <v>0</v>
      </c>
      <c r="AB9" s="223">
        <v>0</v>
      </c>
      <c r="AC9" s="223">
        <v>0</v>
      </c>
      <c r="AD9" s="223">
        <v>0</v>
      </c>
      <c r="AE9" s="223">
        <v>0</v>
      </c>
      <c r="AF9" s="223">
        <v>0</v>
      </c>
      <c r="AG9" s="223">
        <v>0</v>
      </c>
      <c r="AH9" s="223">
        <v>0</v>
      </c>
      <c r="AI9" s="221"/>
      <c r="AJ9" s="221"/>
      <c r="AK9" s="221"/>
    </row>
    <row r="10" spans="1:37">
      <c r="A10" s="213" t="s">
        <v>156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5">
        <f>L7-L11</f>
        <v>62.041000000000004</v>
      </c>
      <c r="M10" s="215">
        <f t="shared" ref="M10:O10" si="8">M7-M11</f>
        <v>62.856761904761903</v>
      </c>
      <c r="N10" s="215">
        <f t="shared" si="8"/>
        <v>205.37766666666667</v>
      </c>
      <c r="O10" s="215">
        <f t="shared" si="8"/>
        <v>294.12899999999996</v>
      </c>
      <c r="P10" s="215">
        <f t="shared" ref="P10:X10" si="9">P8+P9</f>
        <v>369.62799999999999</v>
      </c>
      <c r="Q10" s="215">
        <f t="shared" si="9"/>
        <v>435.65199999999999</v>
      </c>
      <c r="R10" s="215">
        <f t="shared" si="9"/>
        <v>471.32500000000005</v>
      </c>
      <c r="S10" s="215">
        <f t="shared" si="9"/>
        <v>437.78399999999999</v>
      </c>
      <c r="T10" s="215">
        <f t="shared" si="9"/>
        <v>759.928</v>
      </c>
      <c r="U10" s="215">
        <f t="shared" si="9"/>
        <v>821.69899999999996</v>
      </c>
      <c r="V10" s="215">
        <f t="shared" si="9"/>
        <v>1208.638416</v>
      </c>
      <c r="W10" s="215">
        <f t="shared" si="9"/>
        <v>1717.5093059999997</v>
      </c>
      <c r="X10" s="215">
        <f t="shared" si="9"/>
        <v>2869.3289379999997</v>
      </c>
      <c r="Y10" s="216">
        <f t="shared" ref="Y10:AG10" si="10">SUM(Y8:Y9)</f>
        <v>3475</v>
      </c>
      <c r="Z10" s="216">
        <f t="shared" si="10"/>
        <v>2850</v>
      </c>
      <c r="AA10" s="216">
        <f t="shared" si="10"/>
        <v>2975</v>
      </c>
      <c r="AB10" s="216">
        <f t="shared" si="10"/>
        <v>3250</v>
      </c>
      <c r="AC10" s="216">
        <f t="shared" si="10"/>
        <v>3300</v>
      </c>
      <c r="AD10" s="216">
        <f t="shared" si="10"/>
        <v>3325</v>
      </c>
      <c r="AE10" s="216">
        <f t="shared" si="10"/>
        <v>3500</v>
      </c>
      <c r="AF10" s="216">
        <f t="shared" si="10"/>
        <v>3750</v>
      </c>
      <c r="AG10" s="216">
        <f t="shared" si="10"/>
        <v>4400</v>
      </c>
      <c r="AH10" s="216">
        <f>SUM(AH8:AH9)</f>
        <v>4375</v>
      </c>
      <c r="AI10" s="221"/>
      <c r="AJ10" s="221"/>
      <c r="AK10" s="221"/>
    </row>
    <row r="11" spans="1:37">
      <c r="A11" s="218" t="s">
        <v>207</v>
      </c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>
        <f t="shared" ref="L11:V11" si="11">L84</f>
        <v>0</v>
      </c>
      <c r="M11" s="219">
        <f t="shared" si="11"/>
        <v>3.948</v>
      </c>
      <c r="N11" s="219">
        <f t="shared" si="11"/>
        <v>29.021999999999998</v>
      </c>
      <c r="O11" s="219">
        <f t="shared" si="11"/>
        <v>14.7</v>
      </c>
      <c r="P11" s="219">
        <f t="shared" si="11"/>
        <v>26.628</v>
      </c>
      <c r="Q11" s="219">
        <f t="shared" si="11"/>
        <v>55.23</v>
      </c>
      <c r="R11" s="219">
        <f t="shared" si="11"/>
        <v>31.626000000000001</v>
      </c>
      <c r="S11" s="219">
        <f t="shared" si="11"/>
        <v>72.534000000000006</v>
      </c>
      <c r="T11" s="219">
        <f t="shared" si="11"/>
        <v>62.622</v>
      </c>
      <c r="U11" s="219">
        <f t="shared" si="11"/>
        <v>54.054000000000002</v>
      </c>
      <c r="V11" s="219">
        <f t="shared" si="11"/>
        <v>98.815584000000001</v>
      </c>
      <c r="W11" s="219">
        <f>W84</f>
        <v>143.02927800000001</v>
      </c>
      <c r="X11" s="219">
        <f>X84</f>
        <v>230.06634000000003</v>
      </c>
      <c r="Y11" s="220">
        <f t="shared" ref="Y11:AH11" si="12">Y7-Y10</f>
        <v>234.10474399999976</v>
      </c>
      <c r="Z11" s="220">
        <f t="shared" si="12"/>
        <v>145.82629142093674</v>
      </c>
      <c r="AA11" s="220">
        <f t="shared" si="12"/>
        <v>133.62387859459659</v>
      </c>
      <c r="AB11" s="220">
        <f t="shared" si="12"/>
        <v>102.53911815912124</v>
      </c>
      <c r="AC11" s="220">
        <f t="shared" si="12"/>
        <v>57.443656218736123</v>
      </c>
      <c r="AD11" s="220">
        <f t="shared" si="12"/>
        <v>-9.6261869896516146</v>
      </c>
      <c r="AE11" s="220">
        <f t="shared" si="12"/>
        <v>-127.05496170059314</v>
      </c>
      <c r="AF11" s="220">
        <f t="shared" si="12"/>
        <v>-225.85388238007863</v>
      </c>
      <c r="AG11" s="220">
        <f t="shared" si="12"/>
        <v>-351.91266875479459</v>
      </c>
      <c r="AH11" s="220">
        <f t="shared" si="12"/>
        <v>-481.80332402972908</v>
      </c>
      <c r="AI11" s="221"/>
      <c r="AJ11" s="221"/>
      <c r="AK11" s="221"/>
    </row>
    <row r="12" spans="1:37">
      <c r="A12" s="210" t="s">
        <v>158</v>
      </c>
      <c r="B12" s="210"/>
      <c r="C12" s="224"/>
      <c r="D12" s="224"/>
      <c r="E12" s="224"/>
      <c r="F12" s="224"/>
      <c r="G12" s="224"/>
      <c r="H12" s="224"/>
      <c r="I12" s="224"/>
      <c r="J12" s="224"/>
      <c r="K12" s="224"/>
      <c r="L12" s="224">
        <f>('[6]FOG CY Balance Sheet'!S$74+'[5]VO CY Balance Sheets'!AZ$370)/L5</f>
        <v>0.96710240002578929</v>
      </c>
      <c r="M12" s="224">
        <f>('[6]FOG CY Balance Sheet'!T$74+'[5]VO CY Balance Sheets'!BA$370)/M5</f>
        <v>3.3396946564885495</v>
      </c>
      <c r="N12" s="224">
        <f>('[6]FOG CY Balance Sheet'!U$74+'[5]VO CY Balance Sheets'!BB$370)/N5</f>
        <v>3.9811095908549237</v>
      </c>
      <c r="O12" s="224">
        <f>('[6]FOG CY Balance Sheet'!V$74+'[5]VO CY Balance Sheets'!BC$370)/O5</f>
        <v>2.1176189668281586</v>
      </c>
      <c r="P12" s="224">
        <f>('[6]FOG CY Balance Sheet'!W$74+'[5]VO CY Balance Sheets'!BD$370)/P5</f>
        <v>2.092192165023071</v>
      </c>
      <c r="Q12" s="224">
        <f>('[6]FOG CY Balance Sheet'!X$74+'[5]VO CY Balance Sheets'!BE$370)/Q5</f>
        <v>2.2775647449541587</v>
      </c>
      <c r="R12" s="224">
        <f>('[6]FOG CY Balance Sheet'!Y$74+'[5]VO CY Balance Sheets'!BF$370)/R5</f>
        <v>2.5934513418207574</v>
      </c>
      <c r="S12" s="224">
        <f>('[6]FOG CY Balance Sheet'!Z$74+'[5]VO CY Balance Sheets'!BG$370)/S5</f>
        <v>3.4699034974008462</v>
      </c>
      <c r="T12" s="224">
        <f>('[6]FOG CY Balance Sheet'!AA$74+'[5]VO CY Balance Sheets'!BH$370)/T5</f>
        <v>4.0649580293083467</v>
      </c>
      <c r="U12" s="224">
        <f>('[6]FOG CY Balance Sheet'!AB$74+'[5]VO CY Balance Sheets'!BI$370)/U5</f>
        <v>4.1799829426705033</v>
      </c>
      <c r="V12" s="224">
        <f>('[6]FOG CY Balance Sheet'!AC$74+'[5]VO CY Balance Sheets'!BJ$370)/V5</f>
        <v>3.0483556298773689</v>
      </c>
      <c r="W12" s="224">
        <f>('[6]FOG CY Balance Sheet'!AD$74+'[5]VO CY Balance Sheets'!BK$370)/W5</f>
        <v>8.656603270218266</v>
      </c>
      <c r="X12" s="224">
        <f>('[6]FOG CY Balance Sheet'!AE$74+'[5]VO CY Balance Sheets'!BL$370)/X5</f>
        <v>8.1413408157938889</v>
      </c>
      <c r="Y12" s="224">
        <f>('[6]FOG CY Balance Sheet'!AF$74+'[5]VO CY Balance Sheets'!BM$370)/Y5</f>
        <v>2.4449124786268777</v>
      </c>
      <c r="Z12" s="224">
        <f>('[6]FOG CY Balance Sheet'!AG$74+'[5]VO CY Balance Sheets'!BN$370)/Z5</f>
        <v>1.7793897787052653</v>
      </c>
      <c r="AA12" s="224">
        <f>('[6]FOG CY Balance Sheet'!AH$74+'[5]VO CY Balance Sheets'!BO$370)/AA5</f>
        <v>1.9889696306442781</v>
      </c>
      <c r="AB12" s="224">
        <f>('[6]FOG CY Balance Sheet'!AI$74+'[5]VO CY Balance Sheets'!BP$370)/AB5</f>
        <v>2.3619408366579155</v>
      </c>
      <c r="AC12" s="224">
        <f>('[6]FOG CY Balance Sheet'!AJ$74+'[5]VO CY Balance Sheets'!BQ$370)/AC5</f>
        <v>2.6289188872566056</v>
      </c>
      <c r="AD12" s="224">
        <f>('[6]FOG CY Balance Sheet'!AK$74+'[5]VO CY Balance Sheets'!BR$370)/AD5</f>
        <v>2.2867124488132826</v>
      </c>
      <c r="AE12" s="224">
        <f>('[6]FOG CY Balance Sheet'!AL$74+'[5]VO CY Balance Sheets'!BS$370)/AE5</f>
        <v>2.3126027618475415</v>
      </c>
      <c r="AF12" s="224">
        <f>('[6]FOG CY Balance Sheet'!AM$74+'[5]VO CY Balance Sheets'!BT$370)/AF5</f>
        <v>2.3337859364424589</v>
      </c>
      <c r="AG12" s="224">
        <f>('[6]FOG CY Balance Sheet'!AN$74+'[5]VO CY Balance Sheets'!BU$370)/AG5</f>
        <v>2.3426767349293147</v>
      </c>
      <c r="AH12" s="224">
        <f>('[6]FOG CY Balance Sheet'!AO$74+'[5]VO CY Balance Sheets'!BV$370)/AH5</f>
        <v>2.4787310101145938</v>
      </c>
      <c r="AI12" s="221"/>
      <c r="AJ12" s="221"/>
      <c r="AK12" s="221"/>
    </row>
    <row r="13" spans="1:37">
      <c r="A13" s="213" t="s">
        <v>159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26">
        <f t="shared" ref="L13:AH13" si="13">L11/L8</f>
        <v>0</v>
      </c>
      <c r="M13" s="226">
        <f t="shared" si="13"/>
        <v>6.3824873440329111E-2</v>
      </c>
      <c r="N13" s="226">
        <f t="shared" si="13"/>
        <v>0.14270003425482639</v>
      </c>
      <c r="O13" s="226">
        <f t="shared" si="13"/>
        <v>5.049308038704492E-2</v>
      </c>
      <c r="P13" s="226">
        <f t="shared" si="13"/>
        <v>7.2039996969926523E-2</v>
      </c>
      <c r="Q13" s="226">
        <f t="shared" si="13"/>
        <v>0.12677549971077831</v>
      </c>
      <c r="R13" s="226">
        <f t="shared" si="13"/>
        <v>6.7100196255237887E-2</v>
      </c>
      <c r="S13" s="226">
        <f t="shared" si="13"/>
        <v>0.16568444712460942</v>
      </c>
      <c r="T13" s="226">
        <f t="shared" si="13"/>
        <v>8.2405175227126787E-2</v>
      </c>
      <c r="U13" s="226">
        <f t="shared" si="13"/>
        <v>6.5783212587577702E-2</v>
      </c>
      <c r="V13" s="226">
        <f t="shared" si="13"/>
        <v>8.1757771962131645E-2</v>
      </c>
      <c r="W13" s="226">
        <f t="shared" si="13"/>
        <v>8.3277148776042809E-2</v>
      </c>
      <c r="X13" s="226">
        <f t="shared" si="13"/>
        <v>8.0209189731362693E-2</v>
      </c>
      <c r="Y13" s="227">
        <f t="shared" si="13"/>
        <v>6.7368271654676182E-2</v>
      </c>
      <c r="Z13" s="227">
        <f t="shared" si="13"/>
        <v>5.1167119796819906E-2</v>
      </c>
      <c r="AA13" s="227">
        <f t="shared" si="13"/>
        <v>4.491558944356188E-2</v>
      </c>
      <c r="AB13" s="227">
        <f t="shared" si="13"/>
        <v>3.155049789511423E-2</v>
      </c>
      <c r="AC13" s="227">
        <f t="shared" si="13"/>
        <v>1.7407168551132158E-2</v>
      </c>
      <c r="AD13" s="227">
        <f t="shared" si="13"/>
        <v>-2.89509383147417E-3</v>
      </c>
      <c r="AE13" s="227">
        <f t="shared" si="13"/>
        <v>-3.6301417628740895E-2</v>
      </c>
      <c r="AF13" s="227">
        <f t="shared" si="13"/>
        <v>-6.022770196802097E-2</v>
      </c>
      <c r="AG13" s="227">
        <f t="shared" si="13"/>
        <v>-7.998015198972605E-2</v>
      </c>
      <c r="AH13" s="227">
        <f t="shared" si="13"/>
        <v>-0.11012647406393808</v>
      </c>
    </row>
    <row r="14" spans="1:37" hidden="1">
      <c r="A14" s="209"/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9"/>
      <c r="Y14" s="229"/>
      <c r="Z14" s="229"/>
      <c r="AA14" s="229"/>
      <c r="AB14" s="229"/>
      <c r="AC14" s="229"/>
      <c r="AD14" s="229"/>
      <c r="AE14" s="229"/>
      <c r="AF14" s="229"/>
      <c r="AG14" s="229"/>
      <c r="AH14" s="229"/>
    </row>
    <row r="15" spans="1:37" hidden="1">
      <c r="A15" s="210" t="s">
        <v>161</v>
      </c>
      <c r="B15" s="210"/>
      <c r="C15" s="230" t="e">
        <f t="shared" ref="C15:K15" si="14">(C5/B5)-1</f>
        <v>#DIV/0!</v>
      </c>
      <c r="D15" s="231" t="e">
        <f t="shared" si="14"/>
        <v>#DIV/0!</v>
      </c>
      <c r="E15" s="231" t="e">
        <f t="shared" si="14"/>
        <v>#DIV/0!</v>
      </c>
      <c r="F15" s="231" t="e">
        <f t="shared" si="14"/>
        <v>#DIV/0!</v>
      </c>
      <c r="G15" s="231" t="e">
        <f t="shared" si="14"/>
        <v>#DIV/0!</v>
      </c>
      <c r="H15" s="231" t="e">
        <f t="shared" si="14"/>
        <v>#DIV/0!</v>
      </c>
      <c r="I15" s="231" t="e">
        <f t="shared" si="14"/>
        <v>#DIV/0!</v>
      </c>
      <c r="J15" s="231" t="e">
        <f t="shared" si="14"/>
        <v>#DIV/0!</v>
      </c>
      <c r="K15" s="231" t="e">
        <f t="shared" si="14"/>
        <v>#DIV/0!</v>
      </c>
      <c r="L15" s="231"/>
      <c r="M15" s="231">
        <f t="shared" ref="M15:W15" si="15">(M5/L5)-1</f>
        <v>-0.15539723731081057</v>
      </c>
      <c r="N15" s="231">
        <f t="shared" si="15"/>
        <v>1.16192748091603</v>
      </c>
      <c r="O15" s="231">
        <f t="shared" si="15"/>
        <v>0.40478439334422034</v>
      </c>
      <c r="P15" s="231">
        <f t="shared" si="15"/>
        <v>0.11126610992767416</v>
      </c>
      <c r="Q15" s="231">
        <f t="shared" si="15"/>
        <v>0.36550031665611171</v>
      </c>
      <c r="R15" s="231">
        <f t="shared" si="15"/>
        <v>6.9805288919440489E-2</v>
      </c>
      <c r="S15" s="231">
        <f t="shared" si="15"/>
        <v>0.18247446224592867</v>
      </c>
      <c r="T15" s="231">
        <f t="shared" si="15"/>
        <v>0.610591716751123</v>
      </c>
      <c r="U15" s="231">
        <f t="shared" si="15"/>
        <v>8.4317391922928309E-2</v>
      </c>
      <c r="V15" s="231">
        <f t="shared" si="15"/>
        <v>0.61411072268718536</v>
      </c>
      <c r="W15" s="231">
        <f t="shared" si="15"/>
        <v>0.7408200947603123</v>
      </c>
      <c r="X15" s="232"/>
      <c r="Y15" s="212"/>
      <c r="Z15" s="212"/>
      <c r="AA15" s="212"/>
      <c r="AB15" s="212"/>
      <c r="AC15" s="212"/>
      <c r="AD15" s="212"/>
    </row>
    <row r="16" spans="1:37" hidden="1">
      <c r="A16" s="210" t="s">
        <v>162</v>
      </c>
      <c r="B16" s="210"/>
      <c r="C16" s="230" t="e">
        <f t="shared" ref="C16:K16" si="16">(C8/B8)-1</f>
        <v>#DIV/0!</v>
      </c>
      <c r="D16" s="231" t="e">
        <f t="shared" si="16"/>
        <v>#DIV/0!</v>
      </c>
      <c r="E16" s="231" t="e">
        <f t="shared" si="16"/>
        <v>#DIV/0!</v>
      </c>
      <c r="F16" s="231" t="e">
        <f t="shared" si="16"/>
        <v>#DIV/0!</v>
      </c>
      <c r="G16" s="231" t="e">
        <f t="shared" si="16"/>
        <v>#DIV/0!</v>
      </c>
      <c r="H16" s="231" t="e">
        <f t="shared" si="16"/>
        <v>#DIV/0!</v>
      </c>
      <c r="I16" s="231" t="e">
        <f t="shared" si="16"/>
        <v>#DIV/0!</v>
      </c>
      <c r="J16" s="231" t="e">
        <f t="shared" si="16"/>
        <v>#DIV/0!</v>
      </c>
      <c r="K16" s="231" t="e">
        <f t="shared" si="16"/>
        <v>#DIV/0!</v>
      </c>
      <c r="L16" s="231"/>
      <c r="M16" s="231">
        <f t="shared" ref="M16:W16" si="17">(M8/L8)-1</f>
        <v>-2.9696184013491278E-3</v>
      </c>
      <c r="N16" s="231">
        <f t="shared" si="17"/>
        <v>2.2878809107369409</v>
      </c>
      <c r="O16" s="231">
        <f t="shared" si="17"/>
        <v>0.43146985985022912</v>
      </c>
      <c r="P16" s="231">
        <f t="shared" si="17"/>
        <v>0.26963648417024766</v>
      </c>
      <c r="Q16" s="231">
        <f t="shared" si="17"/>
        <v>0.17862283160366643</v>
      </c>
      <c r="R16" s="231">
        <f t="shared" si="17"/>
        <v>8.1884164424816275E-2</v>
      </c>
      <c r="S16" s="231">
        <f t="shared" si="17"/>
        <v>-7.1163210099188579E-2</v>
      </c>
      <c r="T16" s="231">
        <f t="shared" si="17"/>
        <v>0.73585147013138896</v>
      </c>
      <c r="U16" s="231">
        <f t="shared" si="17"/>
        <v>8.1285332294638302E-2</v>
      </c>
      <c r="V16" s="231">
        <f t="shared" si="17"/>
        <v>0.47090165133461293</v>
      </c>
      <c r="W16" s="231">
        <f t="shared" si="17"/>
        <v>0.42102822751912239</v>
      </c>
      <c r="X16" s="232"/>
      <c r="Y16" s="212"/>
      <c r="Z16" s="212"/>
      <c r="AA16" s="212"/>
      <c r="AB16" s="212"/>
      <c r="AC16" s="212"/>
    </row>
    <row r="17" spans="1:40" hidden="1">
      <c r="A17" s="210" t="s">
        <v>163</v>
      </c>
      <c r="B17" s="210"/>
      <c r="C17" s="230" t="e">
        <f t="shared" ref="C17:K17" si="18">(C11/B11)-1</f>
        <v>#DIV/0!</v>
      </c>
      <c r="D17" s="231" t="e">
        <f t="shared" si="18"/>
        <v>#DIV/0!</v>
      </c>
      <c r="E17" s="231" t="e">
        <f t="shared" si="18"/>
        <v>#DIV/0!</v>
      </c>
      <c r="F17" s="231" t="e">
        <f t="shared" si="18"/>
        <v>#DIV/0!</v>
      </c>
      <c r="G17" s="231" t="e">
        <f t="shared" si="18"/>
        <v>#DIV/0!</v>
      </c>
      <c r="H17" s="231" t="e">
        <f t="shared" si="18"/>
        <v>#DIV/0!</v>
      </c>
      <c r="I17" s="231" t="e">
        <f t="shared" si="18"/>
        <v>#DIV/0!</v>
      </c>
      <c r="J17" s="231" t="e">
        <f t="shared" si="18"/>
        <v>#DIV/0!</v>
      </c>
      <c r="K17" s="231" t="e">
        <f t="shared" si="18"/>
        <v>#DIV/0!</v>
      </c>
      <c r="L17" s="231"/>
      <c r="M17" s="231" t="e">
        <f t="shared" ref="M17:W17" si="19">(M11/L11)-1</f>
        <v>#DIV/0!</v>
      </c>
      <c r="N17" s="231">
        <f t="shared" si="19"/>
        <v>6.3510638297872335</v>
      </c>
      <c r="O17" s="231">
        <f t="shared" si="19"/>
        <v>-0.49348769898697542</v>
      </c>
      <c r="P17" s="231">
        <f t="shared" si="19"/>
        <v>0.81142857142857161</v>
      </c>
      <c r="Q17" s="231">
        <f t="shared" si="19"/>
        <v>1.0741324921135647</v>
      </c>
      <c r="R17" s="231">
        <f t="shared" si="19"/>
        <v>-0.42737642585551328</v>
      </c>
      <c r="S17" s="231">
        <f t="shared" si="19"/>
        <v>1.2934926958831343</v>
      </c>
      <c r="T17" s="231">
        <f t="shared" si="19"/>
        <v>-0.13665315576143611</v>
      </c>
      <c r="U17" s="231">
        <f t="shared" si="19"/>
        <v>-0.13682092555331993</v>
      </c>
      <c r="V17" s="231">
        <f t="shared" si="19"/>
        <v>0.82809013209013194</v>
      </c>
      <c r="W17" s="231">
        <f t="shared" si="19"/>
        <v>0.44743644889049072</v>
      </c>
      <c r="X17" s="212"/>
      <c r="Y17" s="212"/>
      <c r="Z17" s="212"/>
      <c r="AA17" s="212"/>
      <c r="AB17" s="212"/>
      <c r="AC17" s="212"/>
    </row>
    <row r="18" spans="1:40" hidden="1">
      <c r="A18" s="210" t="s">
        <v>164</v>
      </c>
      <c r="B18" s="210"/>
      <c r="C18" s="230" t="e">
        <f t="shared" ref="C18:K18" si="20">(C6/B6)-1</f>
        <v>#DIV/0!</v>
      </c>
      <c r="D18" s="231" t="e">
        <f t="shared" si="20"/>
        <v>#DIV/0!</v>
      </c>
      <c r="E18" s="231" t="e">
        <f t="shared" si="20"/>
        <v>#DIV/0!</v>
      </c>
      <c r="F18" s="231" t="e">
        <f t="shared" si="20"/>
        <v>#DIV/0!</v>
      </c>
      <c r="G18" s="231" t="e">
        <f t="shared" si="20"/>
        <v>#DIV/0!</v>
      </c>
      <c r="H18" s="231" t="e">
        <f t="shared" si="20"/>
        <v>#DIV/0!</v>
      </c>
      <c r="I18" s="231" t="e">
        <f t="shared" si="20"/>
        <v>#DIV/0!</v>
      </c>
      <c r="J18" s="231" t="e">
        <f t="shared" si="20"/>
        <v>#DIV/0!</v>
      </c>
      <c r="K18" s="231" t="e">
        <f t="shared" si="20"/>
        <v>#DIV/0!</v>
      </c>
      <c r="L18" s="231"/>
      <c r="M18" s="231"/>
      <c r="N18" s="231">
        <f t="shared" ref="N18:W18" si="21">(N6/M6)-1</f>
        <v>7.1338842975206607</v>
      </c>
      <c r="O18" s="231">
        <f t="shared" si="21"/>
        <v>2.9866287339971542E-2</v>
      </c>
      <c r="P18" s="231">
        <f t="shared" si="21"/>
        <v>0.69648451096414932</v>
      </c>
      <c r="Q18" s="231">
        <f t="shared" si="21"/>
        <v>8.8223225276979678E-2</v>
      </c>
      <c r="R18" s="231">
        <f t="shared" si="21"/>
        <v>-0.14988687782805421</v>
      </c>
      <c r="S18" s="231">
        <f t="shared" si="21"/>
        <v>-8.5384785983588118E-2</v>
      </c>
      <c r="T18" s="231">
        <f t="shared" si="21"/>
        <v>0.48957322987390883</v>
      </c>
      <c r="U18" s="231">
        <f t="shared" si="21"/>
        <v>8.3835259645124616E-2</v>
      </c>
      <c r="V18" s="231">
        <f t="shared" si="21"/>
        <v>0.40282367077200343</v>
      </c>
      <c r="W18" s="231">
        <f t="shared" si="21"/>
        <v>-0.33040685224839395</v>
      </c>
      <c r="X18" s="212"/>
      <c r="Y18" s="212"/>
      <c r="Z18" s="212"/>
      <c r="AA18" s="212"/>
      <c r="AB18" s="212"/>
      <c r="AC18" s="212"/>
    </row>
    <row r="19" spans="1:40" hidden="1">
      <c r="A19" s="210" t="s">
        <v>165</v>
      </c>
      <c r="B19" s="210"/>
      <c r="C19" s="230" t="e">
        <f t="shared" ref="C19:K19" si="22">(C9/B9)-1</f>
        <v>#DIV/0!</v>
      </c>
      <c r="D19" s="231" t="e">
        <f t="shared" si="22"/>
        <v>#DIV/0!</v>
      </c>
      <c r="E19" s="231" t="e">
        <f t="shared" si="22"/>
        <v>#DIV/0!</v>
      </c>
      <c r="F19" s="231" t="e">
        <f t="shared" si="22"/>
        <v>#DIV/0!</v>
      </c>
      <c r="G19" s="231" t="e">
        <f t="shared" si="22"/>
        <v>#DIV/0!</v>
      </c>
      <c r="H19" s="231" t="e">
        <f t="shared" si="22"/>
        <v>#DIV/0!</v>
      </c>
      <c r="I19" s="231" t="e">
        <f t="shared" si="22"/>
        <v>#DIV/0!</v>
      </c>
      <c r="J19" s="231" t="e">
        <f t="shared" si="22"/>
        <v>#DIV/0!</v>
      </c>
      <c r="K19" s="231" t="e">
        <f t="shared" si="22"/>
        <v>#DIV/0!</v>
      </c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12"/>
      <c r="Y19" s="212"/>
      <c r="Z19" s="212"/>
      <c r="AA19" s="212"/>
      <c r="AB19" s="212"/>
      <c r="AC19" s="212"/>
    </row>
    <row r="20" spans="1:40" hidden="1">
      <c r="A20" s="210" t="s">
        <v>208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1"/>
      <c r="M20" s="211"/>
      <c r="N20" s="211"/>
      <c r="O20" s="211"/>
      <c r="P20" s="211"/>
      <c r="Q20" s="211"/>
      <c r="R20" s="211"/>
      <c r="S20" s="224">
        <v>4.1500000000000004</v>
      </c>
      <c r="T20" s="224">
        <v>4.0999999999999996</v>
      </c>
      <c r="U20" s="224">
        <v>3.79</v>
      </c>
      <c r="V20" s="224">
        <v>3.97</v>
      </c>
      <c r="W20" s="224">
        <v>3.96</v>
      </c>
      <c r="X20" s="225">
        <v>3.95</v>
      </c>
      <c r="Y20" s="225">
        <v>3.93</v>
      </c>
      <c r="Z20" s="212"/>
      <c r="AA20" s="212"/>
      <c r="AB20" s="212"/>
      <c r="AC20" s="212"/>
    </row>
    <row r="21" spans="1:40">
      <c r="A21" s="210"/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2"/>
      <c r="Y21" s="212"/>
      <c r="Z21" s="212"/>
      <c r="AA21" s="212"/>
      <c r="AB21" s="212"/>
      <c r="AC21" s="212"/>
    </row>
    <row r="22" spans="1:40" ht="12" thickBot="1">
      <c r="A22" s="234" t="s">
        <v>209</v>
      </c>
    </row>
    <row r="23" spans="1:40" ht="12" thickBot="1">
      <c r="A23" s="236"/>
      <c r="B23" s="236">
        <v>2001</v>
      </c>
      <c r="C23" s="236">
        <v>2002</v>
      </c>
      <c r="D23" s="236">
        <v>2003</v>
      </c>
      <c r="E23" s="236">
        <v>2004</v>
      </c>
      <c r="F23" s="236">
        <v>2005</v>
      </c>
      <c r="G23" s="236">
        <v>2006</v>
      </c>
      <c r="H23" s="236">
        <v>2007</v>
      </c>
      <c r="I23" s="237">
        <f t="shared" ref="I23:AH23" si="23">I2</f>
        <v>2008</v>
      </c>
      <c r="J23" s="237">
        <f t="shared" si="23"/>
        <v>2009</v>
      </c>
      <c r="K23" s="237">
        <f t="shared" si="23"/>
        <v>2010</v>
      </c>
      <c r="L23" s="238">
        <f t="shared" si="23"/>
        <v>2011</v>
      </c>
      <c r="M23" s="238">
        <f t="shared" si="23"/>
        <v>2012</v>
      </c>
      <c r="N23" s="238">
        <f t="shared" si="23"/>
        <v>2013</v>
      </c>
      <c r="O23" s="238">
        <f t="shared" si="23"/>
        <v>2014</v>
      </c>
      <c r="P23" s="238">
        <f t="shared" si="23"/>
        <v>2015</v>
      </c>
      <c r="Q23" s="238">
        <f t="shared" si="23"/>
        <v>2016</v>
      </c>
      <c r="R23" s="238">
        <f t="shared" si="23"/>
        <v>2017</v>
      </c>
      <c r="S23" s="238">
        <f t="shared" si="23"/>
        <v>2018</v>
      </c>
      <c r="T23" s="238">
        <f t="shared" si="23"/>
        <v>2019</v>
      </c>
      <c r="U23" s="238">
        <f t="shared" si="23"/>
        <v>2020</v>
      </c>
      <c r="V23" s="238">
        <f t="shared" si="23"/>
        <v>2021</v>
      </c>
      <c r="W23" s="238">
        <f t="shared" si="23"/>
        <v>2022</v>
      </c>
      <c r="X23" s="238">
        <f t="shared" si="23"/>
        <v>2023</v>
      </c>
      <c r="Y23" s="238">
        <f t="shared" si="23"/>
        <v>2024</v>
      </c>
      <c r="Z23" s="238">
        <f t="shared" si="23"/>
        <v>2025</v>
      </c>
      <c r="AA23" s="238">
        <f t="shared" si="23"/>
        <v>2026</v>
      </c>
      <c r="AB23" s="238">
        <f t="shared" si="23"/>
        <v>2027</v>
      </c>
      <c r="AC23" s="238">
        <f t="shared" si="23"/>
        <v>2028</v>
      </c>
      <c r="AD23" s="238">
        <f t="shared" si="23"/>
        <v>2029</v>
      </c>
      <c r="AE23" s="238">
        <f t="shared" si="23"/>
        <v>2030</v>
      </c>
      <c r="AF23" s="238">
        <f t="shared" si="23"/>
        <v>2031</v>
      </c>
      <c r="AG23" s="238">
        <f t="shared" si="23"/>
        <v>2032</v>
      </c>
      <c r="AH23" s="238">
        <f t="shared" si="23"/>
        <v>2033</v>
      </c>
    </row>
    <row r="24" spans="1:40">
      <c r="A24" s="68" t="s">
        <v>167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239">
        <f>monthly_data!AD459</f>
        <v>4.4279999999999999</v>
      </c>
      <c r="M24" s="239">
        <f>monthly_data!AD471</f>
        <v>4.2169999999999996</v>
      </c>
      <c r="N24" s="239">
        <f>monthly_data!AD483</f>
        <v>1.2789999999999999</v>
      </c>
      <c r="O24" s="239">
        <f>monthly_data!AD495</f>
        <v>10.329000000000001</v>
      </c>
      <c r="P24" s="239">
        <f>monthly_data!AD507</f>
        <v>17.504999999999999</v>
      </c>
      <c r="Q24" s="239">
        <f>monthly_data!AD519</f>
        <v>11.757999999999999</v>
      </c>
      <c r="R24" s="239">
        <f>monthly_data!AD531</f>
        <v>18.561</v>
      </c>
      <c r="S24" s="239">
        <f>monthly_data!AD543</f>
        <v>13.680999999999999</v>
      </c>
      <c r="T24" s="239">
        <f>monthly_data!AD555</f>
        <v>36.487000000000002</v>
      </c>
      <c r="U24" s="239">
        <f>monthly_data!AD567</f>
        <v>41.856999999999999</v>
      </c>
      <c r="V24" s="239">
        <f>monthly_data!AD579</f>
        <v>59.445</v>
      </c>
      <c r="W24" s="239">
        <f>monthly_data!AD591</f>
        <v>110.562</v>
      </c>
      <c r="X24" s="239">
        <f>monthly_data!AD603</f>
        <v>167.74199999999999</v>
      </c>
      <c r="Y24" s="239">
        <f>monthly_data!AD615</f>
        <v>237.262</v>
      </c>
      <c r="Z24" s="240">
        <f>'[8]Renewable Diesel'!Q49/1000000</f>
        <v>217.36727500000001</v>
      </c>
      <c r="AA24" s="240">
        <f>'[8]Renewable Diesel'!R49/1000000</f>
        <v>173.30103992010649</v>
      </c>
      <c r="AB24" s="240">
        <f>'[8]Renewable Diesel'!S49/1000000</f>
        <v>190.32772721764925</v>
      </c>
      <c r="AC24" s="240">
        <f>'[8]Renewable Diesel'!T49/1000000</f>
        <v>194.3127904450902</v>
      </c>
      <c r="AD24" s="240">
        <f>'[8]Renewable Diesel'!U49/1000000</f>
        <v>196.3153831932172</v>
      </c>
      <c r="AE24" s="240">
        <f>'[8]Renewable Diesel'!V49/1000000</f>
        <v>205.70763169478792</v>
      </c>
      <c r="AF24" s="240">
        <f>'[8]Renewable Diesel'!W49/1000000</f>
        <v>222.78229377920414</v>
      </c>
      <c r="AG24" s="240">
        <f>'[8]Renewable Diesel'!X49/1000000</f>
        <v>264.0590131817014</v>
      </c>
      <c r="AH24" s="240">
        <f>'[8]Renewable Diesel'!Y49/1000000</f>
        <v>262.89022864060161</v>
      </c>
      <c r="AJ24" s="234"/>
      <c r="AK24" s="68" t="s">
        <v>210</v>
      </c>
      <c r="AL24" s="68" t="s">
        <v>211</v>
      </c>
      <c r="AM24" s="68" t="s">
        <v>212</v>
      </c>
      <c r="AN24" s="234" t="s">
        <v>213</v>
      </c>
    </row>
    <row r="25" spans="1:40">
      <c r="A25" s="68" t="s">
        <v>168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239">
        <f>monthly_data!AD460</f>
        <v>0.96199999999999997</v>
      </c>
      <c r="M25" s="239">
        <f>monthly_data!AD472</f>
        <v>3.1890000000000001</v>
      </c>
      <c r="N25" s="239">
        <f>monthly_data!AD484</f>
        <v>1.2929999999999999</v>
      </c>
      <c r="O25" s="239">
        <f>monthly_data!AD496</f>
        <v>12.292999999999999</v>
      </c>
      <c r="P25" s="239">
        <f>monthly_data!AD508</f>
        <v>13.481</v>
      </c>
      <c r="Q25" s="239">
        <f>monthly_data!AD520</f>
        <v>7.3550000000000004</v>
      </c>
      <c r="R25" s="239">
        <f>monthly_data!AD532</f>
        <v>21.042999999999999</v>
      </c>
      <c r="S25" s="239">
        <f>monthly_data!AD544</f>
        <v>21.605</v>
      </c>
      <c r="T25" s="239">
        <f>monthly_data!AD556</f>
        <v>40.173999999999999</v>
      </c>
      <c r="U25" s="239">
        <f>monthly_data!AD568</f>
        <v>37.301000000000002</v>
      </c>
      <c r="V25" s="239">
        <f>monthly_data!AD580</f>
        <v>53.276000000000003</v>
      </c>
      <c r="W25" s="239">
        <f>monthly_data!AD592</f>
        <v>96.58</v>
      </c>
      <c r="X25" s="239">
        <f>monthly_data!AD604</f>
        <v>157.56800000000001</v>
      </c>
      <c r="Y25" s="239">
        <f>monthly_data!AD616</f>
        <v>236.21799999999999</v>
      </c>
      <c r="Z25" s="240">
        <f>'[8]Renewable Diesel'!Q50/1000000</f>
        <v>186.10279199999999</v>
      </c>
      <c r="AA25" s="240">
        <f>'[8]Renewable Diesel'!R50/1000000</f>
        <v>188.92087788275504</v>
      </c>
      <c r="AB25" s="240">
        <f>'[8]Renewable Diesel'!S50/1000000</f>
        <v>208.08745874720728</v>
      </c>
      <c r="AC25" s="240">
        <f>'[8]Renewable Diesel'!T50/1000000</f>
        <v>211.94025730155559</v>
      </c>
      <c r="AD25" s="240">
        <f>'[8]Renewable Diesel'!U50/1000000</f>
        <v>214.0204126848578</v>
      </c>
      <c r="AE25" s="240">
        <f>'[8]Renewable Diesel'!V50/1000000</f>
        <v>224.2489923909564</v>
      </c>
      <c r="AF25" s="240">
        <f>'[8]Renewable Diesel'!W50/1000000</f>
        <v>242.94168809107899</v>
      </c>
      <c r="AG25" s="240">
        <f>'[8]Renewable Diesel'!X50/1000000</f>
        <v>288.18676380865526</v>
      </c>
      <c r="AH25" s="240">
        <f>'[8]Renewable Diesel'!Y50/1000000</f>
        <v>286.74040806441189</v>
      </c>
      <c r="AJ25" s="68" t="s">
        <v>214</v>
      </c>
      <c r="AK25" s="241">
        <f>MAX(T24:X24)</f>
        <v>167.74199999999999</v>
      </c>
      <c r="AL25" s="241">
        <f>MIN(T24:X24)</f>
        <v>36.487000000000002</v>
      </c>
      <c r="AM25" s="241">
        <f>AVERAGE(T24:X24)</f>
        <v>83.218599999999995</v>
      </c>
      <c r="AN25" s="242">
        <f t="shared" ref="AN25:AN33" si="24">X24/31</f>
        <v>5.411032258064516</v>
      </c>
    </row>
    <row r="26" spans="1:40">
      <c r="A26" s="68" t="s">
        <v>169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239">
        <f>monthly_data!AD461</f>
        <v>3.1509999999999998</v>
      </c>
      <c r="M26" s="239">
        <f>monthly_data!AD473</f>
        <v>5.3540000000000001</v>
      </c>
      <c r="N26" s="239">
        <f>monthly_data!AD485</f>
        <v>1.8740000000000001</v>
      </c>
      <c r="O26" s="239">
        <f>monthly_data!AD497</f>
        <v>14.952999999999999</v>
      </c>
      <c r="P26" s="239">
        <f>monthly_data!AD509</f>
        <v>16.11</v>
      </c>
      <c r="Q26" s="239">
        <f>monthly_data!AD521</f>
        <v>17.925000000000001</v>
      </c>
      <c r="R26" s="239">
        <f>monthly_data!AD533</f>
        <v>15.856999999999999</v>
      </c>
      <c r="S26" s="239">
        <f>monthly_data!AD545</f>
        <v>25.068000000000001</v>
      </c>
      <c r="T26" s="239">
        <f>monthly_data!AD557</f>
        <v>35.74</v>
      </c>
      <c r="U26" s="239">
        <f>monthly_data!AD569</f>
        <v>45.226999999999997</v>
      </c>
      <c r="V26" s="239">
        <f>monthly_data!AD581</f>
        <v>56.966999999999999</v>
      </c>
      <c r="W26" s="239">
        <f>monthly_data!AD593</f>
        <v>109.033</v>
      </c>
      <c r="X26" s="239">
        <f>monthly_data!AD605</f>
        <v>199.101</v>
      </c>
      <c r="Y26" s="239">
        <f>monthly_data!AD617</f>
        <v>251.34800000000001</v>
      </c>
      <c r="Z26" s="240">
        <f>'[8]Renewable Diesel'!Q51/1000000</f>
        <v>229.40051700000001</v>
      </c>
      <c r="AA26" s="240">
        <f>'[8]Renewable Diesel'!R51/1000000</f>
        <v>201.08755147234575</v>
      </c>
      <c r="AB26" s="240">
        <f>'[8]Renewable Diesel'!S51/1000000</f>
        <v>222.33147436161846</v>
      </c>
      <c r="AC26" s="240">
        <f>'[8]Renewable Diesel'!T51/1000000</f>
        <v>227.26690774707708</v>
      </c>
      <c r="AD26" s="240">
        <f>'[8]Renewable Diesel'!U51/1000000</f>
        <v>228.58029388394294</v>
      </c>
      <c r="AE26" s="240">
        <f>'[8]Renewable Diesel'!V51/1000000</f>
        <v>239.81946750720792</v>
      </c>
      <c r="AF26" s="240">
        <f>'[8]Renewable Diesel'!W51/1000000</f>
        <v>259.74258844060631</v>
      </c>
      <c r="AG26" s="240">
        <f>'[8]Renewable Diesel'!X51/1000000</f>
        <v>308.03037758673577</v>
      </c>
      <c r="AH26" s="240">
        <f>'[8]Renewable Diesel'!Y51/1000000</f>
        <v>306.62922356984637</v>
      </c>
      <c r="AJ26" s="68" t="s">
        <v>215</v>
      </c>
      <c r="AK26" s="241">
        <f t="shared" ref="AK26:AK36" si="25">MAX(T25:X25)</f>
        <v>157.56800000000001</v>
      </c>
      <c r="AL26" s="241">
        <f t="shared" ref="AL26:AL36" si="26">MIN(T25:X25)</f>
        <v>37.301000000000002</v>
      </c>
      <c r="AM26" s="241">
        <f t="shared" ref="AM26:AM36" si="27">AVERAGE(T25:X25)</f>
        <v>76.979799999999997</v>
      </c>
      <c r="AN26" s="242">
        <f t="shared" si="24"/>
        <v>5.0828387096774197</v>
      </c>
    </row>
    <row r="27" spans="1:40">
      <c r="A27" s="68" t="s">
        <v>170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239">
        <f>monthly_data!AD462</f>
        <v>1.9670000000000001</v>
      </c>
      <c r="M27" s="239">
        <f>monthly_data!AD474</f>
        <v>3.552</v>
      </c>
      <c r="N27" s="239">
        <f>monthly_data!AD486</f>
        <v>1.6739999999999999</v>
      </c>
      <c r="O27" s="239">
        <f>monthly_data!AD498</f>
        <v>13.676</v>
      </c>
      <c r="P27" s="239">
        <f>monthly_data!AD510</f>
        <v>15.733000000000001</v>
      </c>
      <c r="Q27" s="239">
        <f>monthly_data!AD522</f>
        <v>21.253</v>
      </c>
      <c r="R27" s="239">
        <f>monthly_data!AD534</f>
        <v>20.402999999999999</v>
      </c>
      <c r="S27" s="239">
        <f>monthly_data!AD546</f>
        <v>25.751000000000001</v>
      </c>
      <c r="T27" s="239">
        <f>monthly_data!AD558</f>
        <v>38.557000000000002</v>
      </c>
      <c r="U27" s="239">
        <f>monthly_data!AD570</f>
        <v>38.639000000000003</v>
      </c>
      <c r="V27" s="239">
        <f>monthly_data!AD582</f>
        <v>53.100999999999999</v>
      </c>
      <c r="W27" s="239">
        <f>monthly_data!AD594</f>
        <v>119.155</v>
      </c>
      <c r="X27" s="239">
        <f>monthly_data!AD606</f>
        <v>201.11699999999999</v>
      </c>
      <c r="Y27" s="239">
        <f>monthly_data!AD618</f>
        <v>261.32400000000001</v>
      </c>
      <c r="Z27" s="240">
        <f>'[8]Renewable Diesel'!Q52/1000000</f>
        <v>201.33135648154609</v>
      </c>
      <c r="AA27" s="240">
        <f>'[8]Renewable Diesel'!R52/1000000</f>
        <v>193.34420249970381</v>
      </c>
      <c r="AB27" s="240">
        <f>'[8]Renewable Diesel'!S52/1000000</f>
        <v>213.39685974068041</v>
      </c>
      <c r="AC27" s="240">
        <f>'[8]Renewable Diesel'!T52/1000000</f>
        <v>217.37146725445896</v>
      </c>
      <c r="AD27" s="240">
        <f>'[8]Renewable Diesel'!U52/1000000</f>
        <v>218.95534114504278</v>
      </c>
      <c r="AE27" s="240">
        <f>'[8]Renewable Diesel'!V52/1000000</f>
        <v>229.46227814924833</v>
      </c>
      <c r="AF27" s="240">
        <f>'[8]Renewable Diesel'!W52/1000000</f>
        <v>248.8264453684256</v>
      </c>
      <c r="AG27" s="240">
        <f>'[8]Renewable Diesel'!X52/1000000</f>
        <v>295.17532688767369</v>
      </c>
      <c r="AH27" s="240">
        <f>'[8]Renewable Diesel'!Y52/1000000</f>
        <v>293.6431974874647</v>
      </c>
      <c r="AJ27" s="68" t="s">
        <v>216</v>
      </c>
      <c r="AK27" s="241">
        <f t="shared" si="25"/>
        <v>199.101</v>
      </c>
      <c r="AL27" s="241">
        <f t="shared" si="26"/>
        <v>35.74</v>
      </c>
      <c r="AM27" s="241">
        <f t="shared" si="27"/>
        <v>89.2136</v>
      </c>
      <c r="AN27" s="242">
        <f t="shared" si="24"/>
        <v>6.4226129032258061</v>
      </c>
    </row>
    <row r="28" spans="1:40">
      <c r="A28" s="68" t="s">
        <v>171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239">
        <f>monthly_data!AD463</f>
        <v>7.5259999999999998</v>
      </c>
      <c r="M28" s="239">
        <f>monthly_data!AD475</f>
        <v>3.766</v>
      </c>
      <c r="N28" s="239">
        <f>monthly_data!AD487</f>
        <v>2.7919999999999998</v>
      </c>
      <c r="O28" s="239">
        <f>monthly_data!AD499</f>
        <v>16.219000000000001</v>
      </c>
      <c r="P28" s="239">
        <f>monthly_data!AD511</f>
        <v>15.741</v>
      </c>
      <c r="Q28" s="239">
        <f>monthly_data!AD523</f>
        <v>21.933</v>
      </c>
      <c r="R28" s="239">
        <f>monthly_data!AD535</f>
        <v>24.393000000000001</v>
      </c>
      <c r="S28" s="239">
        <f>monthly_data!AD547</f>
        <v>21.507999999999999</v>
      </c>
      <c r="T28" s="239">
        <f>monthly_data!AD559</f>
        <v>40.383000000000003</v>
      </c>
      <c r="U28" s="239">
        <f>monthly_data!AD571</f>
        <v>46.420999999999999</v>
      </c>
      <c r="V28" s="239">
        <f>monthly_data!AD583</f>
        <v>66.09</v>
      </c>
      <c r="W28" s="239">
        <f>monthly_data!AD595</f>
        <v>126.352</v>
      </c>
      <c r="X28" s="239">
        <f>monthly_data!AD607</f>
        <v>225.84</v>
      </c>
      <c r="Y28" s="240">
        <f>'[8]Renewable Diesel'!P53/1000000</f>
        <v>220.40273500000001</v>
      </c>
      <c r="Z28" s="240">
        <f>'[8]Renewable Diesel'!Q53/1000000</f>
        <v>198.33698821685206</v>
      </c>
      <c r="AA28" s="240">
        <f>'[8]Renewable Diesel'!R53/1000000</f>
        <v>216.09968158198112</v>
      </c>
      <c r="AB28" s="240">
        <f>'[8]Renewable Diesel'!S53/1000000</f>
        <v>238.85318510802395</v>
      </c>
      <c r="AC28" s="240">
        <f>'[8]Renewable Diesel'!T53/1000000</f>
        <v>242.70211427576911</v>
      </c>
      <c r="AD28" s="240">
        <f>'[8]Renewable Diesel'!U53/1000000</f>
        <v>244.00003758973341</v>
      </c>
      <c r="AE28" s="240">
        <f>'[8]Renewable Diesel'!V53/1000000</f>
        <v>256.3516941498354</v>
      </c>
      <c r="AF28" s="240">
        <f>'[8]Renewable Diesel'!W53/1000000</f>
        <v>277.9360548082077</v>
      </c>
      <c r="AG28" s="240">
        <f>'[8]Renewable Diesel'!X53/1000000</f>
        <v>329.67493386319137</v>
      </c>
      <c r="AH28" s="240">
        <f>'[8]Renewable Diesel'!Y53/1000000</f>
        <v>327.83804139430305</v>
      </c>
      <c r="AJ28" s="68" t="s">
        <v>217</v>
      </c>
      <c r="AK28" s="241">
        <f t="shared" si="25"/>
        <v>201.11699999999999</v>
      </c>
      <c r="AL28" s="241">
        <f t="shared" si="26"/>
        <v>38.557000000000002</v>
      </c>
      <c r="AM28" s="241">
        <f t="shared" si="27"/>
        <v>90.113799999999998</v>
      </c>
      <c r="AN28" s="242">
        <f t="shared" si="24"/>
        <v>6.4876451612903221</v>
      </c>
    </row>
    <row r="29" spans="1:40">
      <c r="A29" s="68" t="s">
        <v>172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239">
        <f>monthly_data!AD464</f>
        <v>4.5640000000000001</v>
      </c>
      <c r="M29" s="239">
        <f>monthly_data!AD476</f>
        <v>3.593</v>
      </c>
      <c r="N29" s="239">
        <f>monthly_data!AD488</f>
        <v>7.2560000000000002</v>
      </c>
      <c r="O29" s="239">
        <f>monthly_data!AD500</f>
        <v>15.664999999999999</v>
      </c>
      <c r="P29" s="239">
        <f>monthly_data!AD512</f>
        <v>14.42</v>
      </c>
      <c r="Q29" s="239">
        <f>monthly_data!AD524</f>
        <v>22.568999999999999</v>
      </c>
      <c r="R29" s="239">
        <f>monthly_data!AD536</f>
        <v>17.747</v>
      </c>
      <c r="S29" s="239">
        <f>monthly_data!AD548</f>
        <v>12.384</v>
      </c>
      <c r="T29" s="239">
        <f>monthly_data!AD560</f>
        <v>39.761000000000003</v>
      </c>
      <c r="U29" s="239">
        <f>monthly_data!AD572</f>
        <v>53.207999999999998</v>
      </c>
      <c r="V29" s="239">
        <f>monthly_data!AD584</f>
        <v>61.744999999999997</v>
      </c>
      <c r="W29" s="239">
        <f>monthly_data!AD596</f>
        <v>123.818</v>
      </c>
      <c r="X29" s="239">
        <f>monthly_data!AD608</f>
        <v>230.23400000000001</v>
      </c>
      <c r="Y29" s="240">
        <f>'[8]Renewable Diesel'!P54/1000000</f>
        <v>282.589564</v>
      </c>
      <c r="Z29" s="240">
        <f>'[8]Renewable Diesel'!Q54/1000000</f>
        <v>195.59531042807598</v>
      </c>
      <c r="AA29" s="240">
        <f>'[8]Renewable Diesel'!R54/1000000</f>
        <v>215.72292855995022</v>
      </c>
      <c r="AB29" s="240">
        <f>'[8]Renewable Diesel'!S54/1000000</f>
        <v>238.36601068480832</v>
      </c>
      <c r="AC29" s="240">
        <f>'[8]Renewable Diesel'!T54/1000000</f>
        <v>243.60668290877291</v>
      </c>
      <c r="AD29" s="240">
        <f>'[8]Renewable Diesel'!U54/1000000</f>
        <v>244.9705224732177</v>
      </c>
      <c r="AE29" s="240">
        <f>'[8]Renewable Diesel'!V54/1000000</f>
        <v>256.70844304556442</v>
      </c>
      <c r="AF29" s="240">
        <f>'[8]Renewable Diesel'!W54/1000000</f>
        <v>278.34248254892327</v>
      </c>
      <c r="AG29" s="240">
        <f>'[8]Renewable Diesel'!X54/1000000</f>
        <v>330.11554104007666</v>
      </c>
      <c r="AH29" s="240">
        <f>'[8]Renewable Diesel'!Y54/1000000</f>
        <v>328.55680866775873</v>
      </c>
      <c r="AJ29" s="68" t="s">
        <v>171</v>
      </c>
      <c r="AK29" s="241">
        <f t="shared" si="25"/>
        <v>225.84</v>
      </c>
      <c r="AL29" s="241">
        <f t="shared" si="26"/>
        <v>40.383000000000003</v>
      </c>
      <c r="AM29" s="241">
        <f t="shared" si="27"/>
        <v>101.0172</v>
      </c>
      <c r="AN29" s="242">
        <f t="shared" si="24"/>
        <v>7.2851612903225806</v>
      </c>
    </row>
    <row r="30" spans="1:40">
      <c r="A30" s="68" t="s">
        <v>173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239">
        <f>monthly_data!AD465</f>
        <v>6.4660000000000002</v>
      </c>
      <c r="M30" s="239">
        <f>monthly_data!AD477</f>
        <v>6.2789999999999999</v>
      </c>
      <c r="N30" s="239">
        <f>monthly_data!AD489</f>
        <v>15.712</v>
      </c>
      <c r="O30" s="239">
        <f>monthly_data!AD501</f>
        <v>13.997999999999999</v>
      </c>
      <c r="P30" s="239">
        <f>monthly_data!AD513</f>
        <v>15.521000000000001</v>
      </c>
      <c r="Q30" s="239">
        <f>monthly_data!AD525</f>
        <v>19.52</v>
      </c>
      <c r="R30" s="239">
        <f>monthly_data!AD537</f>
        <v>19.652000000000001</v>
      </c>
      <c r="S30" s="239">
        <f>monthly_data!AD549</f>
        <v>10.554</v>
      </c>
      <c r="T30" s="239">
        <f>monthly_data!AD561</f>
        <v>46.281999999999996</v>
      </c>
      <c r="U30" s="239">
        <f>monthly_data!AD573</f>
        <v>46.683999999999997</v>
      </c>
      <c r="V30" s="239">
        <f>monthly_data!AD585</f>
        <v>79.346000000000004</v>
      </c>
      <c r="W30" s="239">
        <f>monthly_data!AD597</f>
        <v>129.60300000000001</v>
      </c>
      <c r="X30" s="239">
        <f>monthly_data!AD609</f>
        <v>213.59399999999999</v>
      </c>
      <c r="Y30" s="240">
        <f>'[8]Renewable Diesel'!P55/1000000</f>
        <v>292.63335999999998</v>
      </c>
      <c r="Z30" s="240">
        <f>'[8]Renewable Diesel'!Q55/1000000</f>
        <v>192.07520021665866</v>
      </c>
      <c r="AA30" s="240">
        <f>'[8]Renewable Diesel'!R55/1000000</f>
        <v>210.51934009415069</v>
      </c>
      <c r="AB30" s="240">
        <f>'[8]Renewable Diesel'!S55/1000000</f>
        <v>232.08209356796181</v>
      </c>
      <c r="AC30" s="240">
        <f>'[8]Renewable Diesel'!T55/1000000</f>
        <v>236.77352209535536</v>
      </c>
      <c r="AD30" s="240">
        <f>'[8]Renewable Diesel'!U55/1000000</f>
        <v>238.95691024844706</v>
      </c>
      <c r="AE30" s="240">
        <f>'[8]Renewable Diesel'!V55/1000000</f>
        <v>250.03321112136015</v>
      </c>
      <c r="AF30" s="240">
        <f>'[8]Renewable Diesel'!W55/1000000</f>
        <v>271.09563563357653</v>
      </c>
      <c r="AG30" s="240">
        <f>'[8]Renewable Diesel'!X55/1000000</f>
        <v>321.53883371866874</v>
      </c>
      <c r="AH30" s="240">
        <f>'[8]Renewable Diesel'!Y55/1000000</f>
        <v>319.99342768153832</v>
      </c>
      <c r="AJ30" s="68" t="s">
        <v>218</v>
      </c>
      <c r="AK30" s="241">
        <f t="shared" si="25"/>
        <v>230.23400000000001</v>
      </c>
      <c r="AL30" s="241">
        <f t="shared" si="26"/>
        <v>39.761000000000003</v>
      </c>
      <c r="AM30" s="241">
        <f t="shared" si="27"/>
        <v>101.75319999999999</v>
      </c>
      <c r="AN30" s="242">
        <f t="shared" si="24"/>
        <v>7.426903225806452</v>
      </c>
    </row>
    <row r="31" spans="1:40">
      <c r="A31" s="68" t="s">
        <v>174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239">
        <f>monthly_data!AD466</f>
        <v>8.4450000000000003</v>
      </c>
      <c r="M31" s="239">
        <f>monthly_data!AD478</f>
        <v>5.4809999999999999</v>
      </c>
      <c r="N31" s="239">
        <f>monthly_data!AD490</f>
        <v>15.256</v>
      </c>
      <c r="O31" s="239">
        <f>monthly_data!AD502</f>
        <v>2.0430000000000001</v>
      </c>
      <c r="P31" s="239">
        <f>monthly_data!AD514</f>
        <v>15.1</v>
      </c>
      <c r="Q31" s="239">
        <f>monthly_data!AD526</f>
        <v>24.8</v>
      </c>
      <c r="R31" s="239">
        <f>monthly_data!AD538</f>
        <v>24.672000000000001</v>
      </c>
      <c r="S31" s="239">
        <f>monthly_data!AD550</f>
        <v>16.024999999999999</v>
      </c>
      <c r="T31" s="239">
        <f>monthly_data!AD562</f>
        <v>30.18</v>
      </c>
      <c r="U31" s="239">
        <f>monthly_data!AD574</f>
        <v>43.953000000000003</v>
      </c>
      <c r="V31" s="239">
        <f>monthly_data!AD586</f>
        <v>75.603999999999999</v>
      </c>
      <c r="W31" s="239">
        <f>monthly_data!AD598</f>
        <v>118.928</v>
      </c>
      <c r="X31" s="239">
        <f>monthly_data!AD610</f>
        <v>243.501</v>
      </c>
      <c r="Y31" s="240">
        <f>'[8]Renewable Diesel'!P56/1000000</f>
        <v>260.49037299999998</v>
      </c>
      <c r="Z31" s="240">
        <f>'[8]Renewable Diesel'!Q56/1000000</f>
        <v>196.75880169768377</v>
      </c>
      <c r="AA31" s="240">
        <f>'[8]Renewable Diesel'!R56/1000000</f>
        <v>216.24145326312794</v>
      </c>
      <c r="AB31" s="240">
        <f>'[8]Renewable Diesel'!S56/1000000</f>
        <v>238.63689718670946</v>
      </c>
      <c r="AC31" s="240">
        <f>'[8]Renewable Diesel'!T56/1000000</f>
        <v>243.62656818724156</v>
      </c>
      <c r="AD31" s="240">
        <f>'[8]Renewable Diesel'!U56/1000000</f>
        <v>245.85113401359109</v>
      </c>
      <c r="AE31" s="240">
        <f>'[8]Renewable Diesel'!V56/1000000</f>
        <v>257.41208430610368</v>
      </c>
      <c r="AF31" s="240">
        <f>'[8]Renewable Diesel'!W56/1000000</f>
        <v>278.9790387578098</v>
      </c>
      <c r="AG31" s="240">
        <f>'[8]Renewable Diesel'!X56/1000000</f>
        <v>330.66768335045754</v>
      </c>
      <c r="AH31" s="240">
        <f>'[8]Renewable Diesel'!Y56/1000000</f>
        <v>329.21131118897267</v>
      </c>
      <c r="AJ31" s="68" t="s">
        <v>219</v>
      </c>
      <c r="AK31" s="241">
        <f t="shared" si="25"/>
        <v>213.59399999999999</v>
      </c>
      <c r="AL31" s="241">
        <f t="shared" si="26"/>
        <v>46.281999999999996</v>
      </c>
      <c r="AM31" s="241">
        <f t="shared" si="27"/>
        <v>103.1018</v>
      </c>
      <c r="AN31" s="243">
        <f t="shared" si="24"/>
        <v>6.8901290322580646</v>
      </c>
    </row>
    <row r="32" spans="1:40">
      <c r="A32" s="68" t="s">
        <v>175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239">
        <f>monthly_data!AD467</f>
        <v>5.899</v>
      </c>
      <c r="M32" s="239">
        <f>monthly_data!AD479</f>
        <v>3.7389999999999999</v>
      </c>
      <c r="N32" s="239">
        <f>monthly_data!AD491</f>
        <v>17.640999999999998</v>
      </c>
      <c r="O32" s="239">
        <f>monthly_data!AD503</f>
        <v>5.9489999999999998</v>
      </c>
      <c r="P32" s="239">
        <f>monthly_data!AD515</f>
        <v>13.846</v>
      </c>
      <c r="Q32" s="239">
        <f>monthly_data!AD527</f>
        <v>19.215</v>
      </c>
      <c r="R32" s="239">
        <f>monthly_data!AD539</f>
        <v>21.966999999999999</v>
      </c>
      <c r="S32" s="239">
        <f>monthly_data!AD551</f>
        <v>32.247999999999998</v>
      </c>
      <c r="T32" s="239">
        <f>monthly_data!AD563</f>
        <v>40.692</v>
      </c>
      <c r="U32" s="239">
        <f>monthly_data!AD575</f>
        <v>48.113</v>
      </c>
      <c r="V32" s="239">
        <f>monthly_data!AD587</f>
        <v>61.459000000000003</v>
      </c>
      <c r="W32" s="239">
        <f>monthly_data!AD599</f>
        <v>138.15199999999999</v>
      </c>
      <c r="X32" s="239">
        <f>monthly_data!AD611</f>
        <v>250.65600000000001</v>
      </c>
      <c r="Y32" s="240">
        <f>'[8]Renewable Diesel'!P57/1000000</f>
        <v>257.92793699999999</v>
      </c>
      <c r="Z32" s="240">
        <f>'[8]Renewable Diesel'!Q57/1000000</f>
        <v>199.56749623015037</v>
      </c>
      <c r="AA32" s="240">
        <f>'[8]Renewable Diesel'!R57/1000000</f>
        <v>219.22870434448103</v>
      </c>
      <c r="AB32" s="240">
        <f>'[8]Renewable Diesel'!S57/1000000</f>
        <v>242.15675552030524</v>
      </c>
      <c r="AC32" s="240">
        <f>'[8]Renewable Diesel'!T57/1000000</f>
        <v>246.63014323247262</v>
      </c>
      <c r="AD32" s="240">
        <f>'[8]Renewable Diesel'!U57/1000000</f>
        <v>248.71833123381199</v>
      </c>
      <c r="AE32" s="240">
        <f>'[8]Renewable Diesel'!V57/1000000</f>
        <v>260.67037302903577</v>
      </c>
      <c r="AF32" s="240">
        <f>'[8]Renewable Diesel'!W57/1000000</f>
        <v>282.55959833993489</v>
      </c>
      <c r="AG32" s="240">
        <f>'[8]Renewable Diesel'!X57/1000000</f>
        <v>334.97753800954769</v>
      </c>
      <c r="AH32" s="240">
        <f>'[8]Renewable Diesel'!Y57/1000000</f>
        <v>333.35698957658457</v>
      </c>
      <c r="AJ32" s="68" t="s">
        <v>220</v>
      </c>
      <c r="AK32" s="241">
        <f t="shared" si="25"/>
        <v>243.501</v>
      </c>
      <c r="AL32" s="241">
        <f t="shared" si="26"/>
        <v>30.18</v>
      </c>
      <c r="AM32" s="241">
        <f t="shared" si="27"/>
        <v>102.43320000000001</v>
      </c>
      <c r="AN32" s="243">
        <f t="shared" si="24"/>
        <v>7.8548709677419355</v>
      </c>
    </row>
    <row r="33" spans="1:40">
      <c r="A33" s="68" t="s">
        <v>176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239">
        <f>monthly_data!AD468</f>
        <v>6.9180000000000001</v>
      </c>
      <c r="M33" s="239">
        <f>monthly_data!AD480</f>
        <v>3.8540000000000001</v>
      </c>
      <c r="N33" s="239">
        <f>monthly_data!AD492</f>
        <v>18.931999999999999</v>
      </c>
      <c r="O33" s="239">
        <f>monthly_data!AD504</f>
        <v>14.722</v>
      </c>
      <c r="P33" s="239">
        <f>monthly_data!AD516</f>
        <v>13.414</v>
      </c>
      <c r="Q33" s="239">
        <f>monthly_data!AD528</f>
        <v>20.64</v>
      </c>
      <c r="R33" s="239">
        <f>monthly_data!AD540</f>
        <v>25.347000000000001</v>
      </c>
      <c r="S33" s="239">
        <f>monthly_data!AD552</f>
        <v>39.005000000000003</v>
      </c>
      <c r="T33" s="239">
        <f>monthly_data!AD564</f>
        <v>48.569000000000003</v>
      </c>
      <c r="U33" s="239">
        <f>monthly_data!AD576</f>
        <v>25.23</v>
      </c>
      <c r="V33" s="239">
        <f>monthly_data!AD588</f>
        <v>85.155000000000001</v>
      </c>
      <c r="W33" s="239">
        <f>monthly_data!AD600</f>
        <v>129.33699999999999</v>
      </c>
      <c r="X33" s="239">
        <f>monthly_data!AD612</f>
        <v>210.74600000000001</v>
      </c>
      <c r="Y33" s="240">
        <f>'[8]Renewable Diesel'!P58/1000000</f>
        <v>289.55729300000002</v>
      </c>
      <c r="Z33" s="240">
        <f>'[8]Renewable Diesel'!Q58/1000000</f>
        <v>216.64754243543953</v>
      </c>
      <c r="AA33" s="240">
        <f>'[8]Renewable Diesel'!R58/1000000</f>
        <v>238.58329733016379</v>
      </c>
      <c r="AB33" s="240">
        <f>'[8]Renewable Diesel'!S58/1000000</f>
        <v>263.13373324879842</v>
      </c>
      <c r="AC33" s="240">
        <f>'[8]Renewable Diesel'!T58/1000000</f>
        <v>268.32381152612464</v>
      </c>
      <c r="AD33" s="240">
        <f>'[8]Renewable Diesel'!U58/1000000</f>
        <v>270.20842665035696</v>
      </c>
      <c r="AE33" s="240">
        <f>'[8]Renewable Diesel'!V58/1000000</f>
        <v>283.20654538055896</v>
      </c>
      <c r="AF33" s="240">
        <f>'[8]Renewable Diesel'!W58/1000000</f>
        <v>307.06117011684262</v>
      </c>
      <c r="AG33" s="240">
        <f>'[8]Renewable Diesel'!X58/1000000</f>
        <v>364.21140358770157</v>
      </c>
      <c r="AH33" s="240">
        <f>'[8]Renewable Diesel'!Y58/1000000</f>
        <v>362.38101827605021</v>
      </c>
      <c r="AJ33" s="68" t="s">
        <v>221</v>
      </c>
      <c r="AK33" s="241">
        <f t="shared" si="25"/>
        <v>250.65600000000001</v>
      </c>
      <c r="AL33" s="241">
        <f t="shared" si="26"/>
        <v>40.692</v>
      </c>
      <c r="AM33" s="241">
        <f t="shared" si="27"/>
        <v>107.81440000000001</v>
      </c>
      <c r="AN33" s="243">
        <f t="shared" si="24"/>
        <v>8.0856774193548393</v>
      </c>
    </row>
    <row r="34" spans="1:40">
      <c r="A34" s="68" t="s">
        <v>177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239">
        <f>monthly_data!AD469</f>
        <v>5.234</v>
      </c>
      <c r="M34" s="239">
        <f>monthly_data!AD481</f>
        <v>5.5810000000000004</v>
      </c>
      <c r="N34" s="239">
        <f>monthly_data!AD493</f>
        <v>15.679</v>
      </c>
      <c r="O34" s="239">
        <f>monthly_data!AD505</f>
        <v>16.463000000000001</v>
      </c>
      <c r="P34" s="239">
        <f>monthly_data!AD517</f>
        <v>12.656000000000001</v>
      </c>
      <c r="Q34" s="239">
        <f>monthly_data!AD529</f>
        <v>27.361000000000001</v>
      </c>
      <c r="R34" s="239">
        <f>monthly_data!AD541</f>
        <v>23.177</v>
      </c>
      <c r="S34" s="239">
        <f>monthly_data!AD553</f>
        <v>40.325000000000003</v>
      </c>
      <c r="T34" s="239">
        <f>monthly_data!AD565</f>
        <v>42.389000000000003</v>
      </c>
      <c r="U34" s="239">
        <f>monthly_data!AD577</f>
        <v>49.054000000000002</v>
      </c>
      <c r="V34" s="239">
        <f>monthly_data!AD589</f>
        <v>94.695999999999998</v>
      </c>
      <c r="W34" s="239">
        <f>monthly_data!AD601</f>
        <v>145.535</v>
      </c>
      <c r="X34" s="239">
        <f>monthly_data!AD613</f>
        <v>223.488</v>
      </c>
      <c r="Y34" s="240">
        <f>'[8]Renewable Diesel'!P59/1000000</f>
        <v>261.18942399999997</v>
      </c>
      <c r="Z34" s="240">
        <f>'[8]Renewable Diesel'!Q59/1000000</f>
        <v>233.98093373434196</v>
      </c>
      <c r="AA34" s="240">
        <f>'[8]Renewable Diesel'!R59/1000000</f>
        <v>288.00590449351927</v>
      </c>
      <c r="AB34" s="240">
        <f>'[8]Renewable Diesel'!S59/1000000</f>
        <v>318.43776519553728</v>
      </c>
      <c r="AC34" s="240">
        <f>'[8]Renewable Diesel'!T59/1000000</f>
        <v>324.10578434622977</v>
      </c>
      <c r="AD34" s="240">
        <f>'[8]Renewable Diesel'!U59/1000000</f>
        <v>326.91595751048095</v>
      </c>
      <c r="AE34" s="240">
        <f>'[8]Renewable Diesel'!V59/1000000</f>
        <v>342.12788418371906</v>
      </c>
      <c r="AF34" s="240">
        <f>'[8]Renewable Diesel'!W59/1000000</f>
        <v>371.06226734164443</v>
      </c>
      <c r="AG34" s="240">
        <f>'[8]Renewable Diesel'!X59/1000000</f>
        <v>440.36338172453424</v>
      </c>
      <c r="AH34" s="240">
        <f>'[8]Renewable Diesel'!Y59/1000000</f>
        <v>438.02223240879124</v>
      </c>
      <c r="AJ34" s="68" t="s">
        <v>222</v>
      </c>
      <c r="AK34" s="241">
        <f t="shared" si="25"/>
        <v>210.74600000000001</v>
      </c>
      <c r="AL34" s="241">
        <f t="shared" si="26"/>
        <v>25.23</v>
      </c>
      <c r="AM34" s="241">
        <f t="shared" si="27"/>
        <v>99.807400000000001</v>
      </c>
      <c r="AN34" s="243">
        <f>X32/31</f>
        <v>8.0856774193548393</v>
      </c>
    </row>
    <row r="35" spans="1:40">
      <c r="A35" s="68" t="s">
        <v>178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239">
        <f>monthly_data!AD470</f>
        <v>6.4809999999999999</v>
      </c>
      <c r="M35" s="239">
        <f>monthly_data!AD482</f>
        <v>3.7949999999999999</v>
      </c>
      <c r="N35" s="239">
        <f>monthly_data!AD494</f>
        <v>13.897</v>
      </c>
      <c r="O35" s="239">
        <f>monthly_data!AD506</f>
        <v>22.831</v>
      </c>
      <c r="P35" s="239">
        <f>monthly_data!AD518</f>
        <v>13.321</v>
      </c>
      <c r="Q35" s="239">
        <f>monthly_data!AD530</f>
        <v>27.157</v>
      </c>
      <c r="R35" s="239">
        <f>monthly_data!AD542</f>
        <v>25.524000000000001</v>
      </c>
      <c r="S35" s="239">
        <f>monthly_data!AD554</f>
        <v>47.33</v>
      </c>
      <c r="T35" s="239">
        <f>monthly_data!AD566</f>
        <v>52.795999999999999</v>
      </c>
      <c r="U35" s="239">
        <f>monthly_data!AD578</f>
        <v>57.808</v>
      </c>
      <c r="V35" s="239">
        <f>monthly_data!AD590</f>
        <v>114.236</v>
      </c>
      <c r="W35" s="239">
        <f>monthly_data!AD602</f>
        <v>152</v>
      </c>
      <c r="X35" s="239">
        <f>monthly_data!AD614</f>
        <v>269.65499999999997</v>
      </c>
      <c r="Y35" s="240">
        <f>'[8]Renewable Diesel'!P60/1000000</f>
        <v>314.11158899999998</v>
      </c>
      <c r="Z35" s="240">
        <f>'[8]Renewable Diesel'!Q60/1000000</f>
        <v>283.9766027301884</v>
      </c>
      <c r="AA35" s="240">
        <f>'[8]Renewable Diesel'!R60/1000000</f>
        <v>327.98826160637503</v>
      </c>
      <c r="AB35" s="240">
        <f>'[8]Renewable Diesel'!S60/1000000</f>
        <v>360.40880448522427</v>
      </c>
      <c r="AC35" s="240">
        <f>'[8]Renewable Diesel'!T60/1000000</f>
        <v>366.60588386446722</v>
      </c>
      <c r="AD35" s="240">
        <f>'[8]Renewable Diesel'!U60/1000000</f>
        <v>369.85667091491246</v>
      </c>
      <c r="AE35" s="240">
        <f>'[8]Renewable Diesel'!V60/1000000</f>
        <v>387.29975470567996</v>
      </c>
      <c r="AF35" s="240">
        <f>'[8]Renewable Diesel'!W60/1000000</f>
        <v>420.34894946926062</v>
      </c>
      <c r="AG35" s="240">
        <f>'[8]Renewable Diesel'!X60/1000000</f>
        <v>498.47541986634047</v>
      </c>
      <c r="AH35" s="240">
        <f>'[8]Renewable Diesel'!Y60/1000000</f>
        <v>495.80460801874244</v>
      </c>
      <c r="AJ35" s="68" t="s">
        <v>223</v>
      </c>
      <c r="AK35" s="241">
        <f t="shared" si="25"/>
        <v>223.488</v>
      </c>
      <c r="AL35" s="241">
        <f t="shared" si="26"/>
        <v>42.389000000000003</v>
      </c>
      <c r="AM35" s="241">
        <f t="shared" si="27"/>
        <v>111.03240000000001</v>
      </c>
      <c r="AN35" s="243">
        <f>X34/31</f>
        <v>7.2092903225806451</v>
      </c>
    </row>
    <row r="36" spans="1:40">
      <c r="A36" s="244" t="s">
        <v>179</v>
      </c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6">
        <f>SUM(L24:L35)</f>
        <v>62.041000000000004</v>
      </c>
      <c r="M36" s="246">
        <f t="shared" ref="M36:AH36" si="28">SUM(M24:M35)</f>
        <v>52.400000000000006</v>
      </c>
      <c r="N36" s="246">
        <f t="shared" si="28"/>
        <v>113.285</v>
      </c>
      <c r="O36" s="246">
        <f t="shared" si="28"/>
        <v>159.14099999999999</v>
      </c>
      <c r="P36" s="246">
        <f t="shared" si="28"/>
        <v>176.84799999999998</v>
      </c>
      <c r="Q36" s="246">
        <f t="shared" si="28"/>
        <v>241.48600000000002</v>
      </c>
      <c r="R36" s="246">
        <f t="shared" si="28"/>
        <v>258.34300000000002</v>
      </c>
      <c r="S36" s="246">
        <f t="shared" si="28"/>
        <v>305.48399999999998</v>
      </c>
      <c r="T36" s="246">
        <f t="shared" si="28"/>
        <v>492.01000000000005</v>
      </c>
      <c r="U36" s="246">
        <f t="shared" si="28"/>
        <v>533.495</v>
      </c>
      <c r="V36" s="246">
        <f t="shared" si="28"/>
        <v>861.12</v>
      </c>
      <c r="W36" s="246">
        <f t="shared" si="28"/>
        <v>1499.0550000000001</v>
      </c>
      <c r="X36" s="246">
        <f t="shared" si="28"/>
        <v>2593.2420000000002</v>
      </c>
      <c r="Y36" s="247">
        <f t="shared" si="28"/>
        <v>3165.054275</v>
      </c>
      <c r="Z36" s="247">
        <f t="shared" si="28"/>
        <v>2551.1408161709369</v>
      </c>
      <c r="AA36" s="247">
        <f t="shared" si="28"/>
        <v>2689.0432430486599</v>
      </c>
      <c r="AB36" s="247">
        <f t="shared" si="28"/>
        <v>2966.2187650645246</v>
      </c>
      <c r="AC36" s="247">
        <f t="shared" si="28"/>
        <v>3023.2659331846148</v>
      </c>
      <c r="AD36" s="247">
        <f t="shared" si="28"/>
        <v>3047.3494215416122</v>
      </c>
      <c r="AE36" s="247">
        <f t="shared" si="28"/>
        <v>3193.0483596640584</v>
      </c>
      <c r="AF36" s="247">
        <f t="shared" si="28"/>
        <v>3461.6782126955145</v>
      </c>
      <c r="AG36" s="247">
        <f t="shared" si="28"/>
        <v>4105.476216625284</v>
      </c>
      <c r="AH36" s="247">
        <f t="shared" si="28"/>
        <v>4085.0674949750655</v>
      </c>
      <c r="AJ36" s="68" t="s">
        <v>224</v>
      </c>
      <c r="AK36" s="241">
        <f t="shared" si="25"/>
        <v>269.65499999999997</v>
      </c>
      <c r="AL36" s="241">
        <f t="shared" si="26"/>
        <v>52.795999999999999</v>
      </c>
      <c r="AM36" s="241">
        <f t="shared" si="27"/>
        <v>129.29900000000001</v>
      </c>
      <c r="AN36" s="243">
        <f>X35/31</f>
        <v>8.698548387096773</v>
      </c>
    </row>
    <row r="37" spans="1:40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3"/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K37" s="241"/>
      <c r="AL37" s="241"/>
      <c r="AM37" s="241"/>
      <c r="AN37" s="242"/>
    </row>
    <row r="38" spans="1:40" ht="12" thickBot="1">
      <c r="A38" s="234" t="s">
        <v>225</v>
      </c>
    </row>
    <row r="39" spans="1:40" ht="12" thickBot="1">
      <c r="A39" s="236"/>
      <c r="B39" s="236">
        <v>2001</v>
      </c>
      <c r="C39" s="236">
        <v>2002</v>
      </c>
      <c r="D39" s="236">
        <v>2003</v>
      </c>
      <c r="E39" s="236">
        <v>2004</v>
      </c>
      <c r="F39" s="236">
        <v>2005</v>
      </c>
      <c r="G39" s="236">
        <v>2006</v>
      </c>
      <c r="H39" s="236">
        <v>2007</v>
      </c>
      <c r="I39" s="236">
        <v>2008</v>
      </c>
      <c r="J39" s="236">
        <v>2009</v>
      </c>
      <c r="K39" s="236">
        <v>2010</v>
      </c>
      <c r="L39" s="237">
        <v>2011</v>
      </c>
      <c r="M39" s="238">
        <f t="shared" ref="M39:AH39" si="29">M2</f>
        <v>2012</v>
      </c>
      <c r="N39" s="238">
        <f t="shared" si="29"/>
        <v>2013</v>
      </c>
      <c r="O39" s="238">
        <f t="shared" si="29"/>
        <v>2014</v>
      </c>
      <c r="P39" s="238">
        <f t="shared" si="29"/>
        <v>2015</v>
      </c>
      <c r="Q39" s="238">
        <f t="shared" si="29"/>
        <v>2016</v>
      </c>
      <c r="R39" s="238">
        <f t="shared" si="29"/>
        <v>2017</v>
      </c>
      <c r="S39" s="238">
        <f t="shared" si="29"/>
        <v>2018</v>
      </c>
      <c r="T39" s="238">
        <f t="shared" si="29"/>
        <v>2019</v>
      </c>
      <c r="U39" s="238">
        <f t="shared" si="29"/>
        <v>2020</v>
      </c>
      <c r="V39" s="238">
        <f t="shared" si="29"/>
        <v>2021</v>
      </c>
      <c r="W39" s="238">
        <f t="shared" si="29"/>
        <v>2022</v>
      </c>
      <c r="X39" s="238">
        <f t="shared" si="29"/>
        <v>2023</v>
      </c>
      <c r="Y39" s="238">
        <f t="shared" si="29"/>
        <v>2024</v>
      </c>
      <c r="Z39" s="238">
        <f t="shared" si="29"/>
        <v>2025</v>
      </c>
      <c r="AA39" s="238">
        <f t="shared" si="29"/>
        <v>2026</v>
      </c>
      <c r="AB39" s="238">
        <f t="shared" si="29"/>
        <v>2027</v>
      </c>
      <c r="AC39" s="238">
        <f t="shared" si="29"/>
        <v>2028</v>
      </c>
      <c r="AD39" s="238">
        <f t="shared" si="29"/>
        <v>2029</v>
      </c>
      <c r="AE39" s="238">
        <f t="shared" si="29"/>
        <v>2030</v>
      </c>
      <c r="AF39" s="238">
        <f t="shared" si="29"/>
        <v>2031</v>
      </c>
      <c r="AG39" s="238">
        <f t="shared" si="29"/>
        <v>2032</v>
      </c>
      <c r="AH39" s="238">
        <f t="shared" si="29"/>
        <v>2033</v>
      </c>
      <c r="AJ39" s="234"/>
      <c r="AK39" s="68" t="s">
        <v>210</v>
      </c>
      <c r="AL39" s="68" t="s">
        <v>211</v>
      </c>
      <c r="AM39" s="68" t="s">
        <v>212</v>
      </c>
      <c r="AN39" s="234" t="s">
        <v>213</v>
      </c>
    </row>
    <row r="40" spans="1:40">
      <c r="A40" s="68" t="s">
        <v>167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222"/>
      <c r="M40" s="239"/>
      <c r="N40" s="239"/>
      <c r="O40" s="239">
        <f>(monthly_data!AF495)*42/1000</f>
        <v>11.214</v>
      </c>
      <c r="P40" s="239">
        <f>(monthly_data!AF507)*42/1000</f>
        <v>5.6280000000000001</v>
      </c>
      <c r="Q40" s="239">
        <f>(monthly_data!AF519)*42/1000</f>
        <v>10.836</v>
      </c>
      <c r="R40" s="239">
        <f>(monthly_data!AF531)*42/1000</f>
        <v>11.465999999999999</v>
      </c>
      <c r="S40" s="239">
        <f>(monthly_data!AF543)*42/1000</f>
        <v>21.251999999999999</v>
      </c>
      <c r="T40" s="239">
        <f>(monthly_data!AF555)*42/1000</f>
        <v>22.806000000000001</v>
      </c>
      <c r="U40" s="239">
        <f>(monthly_data!AF567)*42/1000</f>
        <v>25.41</v>
      </c>
      <c r="V40" s="239">
        <f>(monthly_data!AF579)*42/1000</f>
        <v>32.381999999999998</v>
      </c>
      <c r="W40" s="239">
        <f>(monthly_data!AF591)*42/1000</f>
        <v>26.544</v>
      </c>
      <c r="X40" s="239">
        <f>(monthly_data!AF603)*42/1000</f>
        <v>26.585999999999999</v>
      </c>
      <c r="Y40" s="239">
        <f>(monthly_data!AF615)*42/1000</f>
        <v>35.909999999999997</v>
      </c>
      <c r="Z40" s="240">
        <f t="shared" ref="Z40:Z50" si="30">Z$52*(SUM(U40:Y40)/SUM(U$52:Y$52))</f>
        <v>19.196710143543516</v>
      </c>
      <c r="AA40" s="240">
        <f t="shared" ref="AA40:AA50" si="31">AA$52*(SUM(V40:Z40)/SUM(V$52:Z$52))</f>
        <v>24.970201322772397</v>
      </c>
      <c r="AB40" s="240">
        <f t="shared" ref="AB40:AH50" si="32">AB$52*(SUM(W40:AA40)/SUM(W$52:AA$52))</f>
        <v>23.65304749417302</v>
      </c>
      <c r="AC40" s="240">
        <f t="shared" si="32"/>
        <v>21.361092167892878</v>
      </c>
      <c r="AD40" s="240">
        <f t="shared" si="32"/>
        <v>20.536917744348493</v>
      </c>
      <c r="AE40" s="240">
        <f t="shared" si="32"/>
        <v>17.633282321554489</v>
      </c>
      <c r="AF40" s="240">
        <f t="shared" si="32"/>
        <v>17.69805052099067</v>
      </c>
      <c r="AG40" s="240">
        <f t="shared" si="32"/>
        <v>15.82473005676608</v>
      </c>
      <c r="AH40" s="240">
        <f t="shared" si="32"/>
        <v>15.047078390713628</v>
      </c>
      <c r="AJ40" s="68" t="s">
        <v>214</v>
      </c>
      <c r="AK40" s="241">
        <f>MAX(T40:X40)</f>
        <v>32.381999999999998</v>
      </c>
      <c r="AL40" s="241">
        <f>MIN(T40:X40)</f>
        <v>22.806000000000001</v>
      </c>
      <c r="AM40" s="241">
        <f>AVERAGE(T40:X40)</f>
        <v>26.745600000000003</v>
      </c>
      <c r="AN40" s="242">
        <f>X40/31</f>
        <v>0.85761290322580641</v>
      </c>
    </row>
    <row r="41" spans="1:40">
      <c r="A41" s="68" t="s">
        <v>168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222"/>
      <c r="M41" s="239"/>
      <c r="N41" s="239">
        <f>(monthly_data!AF484)/42</f>
        <v>5.1904761904761907</v>
      </c>
      <c r="O41" s="239">
        <f>(monthly_data!AF496)*42/1000</f>
        <v>5.5860000000000003</v>
      </c>
      <c r="P41" s="239">
        <f>(monthly_data!AF508)*42/1000</f>
        <v>8.3580000000000005</v>
      </c>
      <c r="Q41" s="239">
        <f>(monthly_data!AF520)*42/1000</f>
        <v>14.49</v>
      </c>
      <c r="R41" s="239">
        <f>(monthly_data!AF532)*42/1000</f>
        <v>10.374000000000001</v>
      </c>
      <c r="S41" s="239">
        <f>(monthly_data!AF544)*42/1000</f>
        <v>14.154</v>
      </c>
      <c r="T41" s="239">
        <f>(monthly_data!AF556)*42/1000</f>
        <v>12.768000000000001</v>
      </c>
      <c r="U41" s="239">
        <f>(monthly_data!AF568)*42/1000</f>
        <v>17.262</v>
      </c>
      <c r="V41" s="239">
        <f>(monthly_data!AF580)*42/1000</f>
        <v>31.122</v>
      </c>
      <c r="W41" s="239">
        <f>(monthly_data!AF592)*42/1000</f>
        <v>15.077999999999999</v>
      </c>
      <c r="X41" s="239">
        <f>(monthly_data!AF604)*42/1000</f>
        <v>22.931999999999999</v>
      </c>
      <c r="Y41" s="239">
        <f>(monthly_data!AF616)*42/1000</f>
        <v>41.957999999999998</v>
      </c>
      <c r="Z41" s="240">
        <f t="shared" si="30"/>
        <v>16.780648226163898</v>
      </c>
      <c r="AA41" s="240">
        <f t="shared" si="31"/>
        <v>22.706479288718789</v>
      </c>
      <c r="AB41" s="240">
        <f t="shared" si="32"/>
        <v>21.21119522575594</v>
      </c>
      <c r="AC41" s="240">
        <f t="shared" si="32"/>
        <v>20.586148915861024</v>
      </c>
      <c r="AD41" s="240">
        <f t="shared" si="32"/>
        <v>20.23342581414661</v>
      </c>
      <c r="AE41" s="240">
        <f t="shared" si="32"/>
        <v>16.315410913840243</v>
      </c>
      <c r="AF41" s="240">
        <f t="shared" si="32"/>
        <v>16.535922277396011</v>
      </c>
      <c r="AG41" s="240">
        <f t="shared" si="32"/>
        <v>14.883506088764518</v>
      </c>
      <c r="AH41" s="240">
        <f t="shared" si="32"/>
        <v>14.319472207850298</v>
      </c>
      <c r="AJ41" s="68" t="s">
        <v>215</v>
      </c>
      <c r="AK41" s="241">
        <f t="shared" ref="AK41:AK51" si="33">MAX(T41:X41)</f>
        <v>31.122</v>
      </c>
      <c r="AL41" s="241">
        <f t="shared" ref="AL41:AL51" si="34">MIN(T41:X41)</f>
        <v>12.768000000000001</v>
      </c>
      <c r="AM41" s="241">
        <f t="shared" ref="AM41:AM51" si="35">AVERAGE(T41:X41)</f>
        <v>19.8324</v>
      </c>
      <c r="AN41" s="242">
        <f t="shared" ref="AN41:AN51" si="36">X41/31</f>
        <v>0.7397419354838709</v>
      </c>
    </row>
    <row r="42" spans="1:40">
      <c r="A42" s="68" t="s">
        <v>169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222"/>
      <c r="M42" s="239"/>
      <c r="N42" s="239">
        <f>(monthly_data!AF485)/42</f>
        <v>4.666666666666667</v>
      </c>
      <c r="O42" s="239">
        <f>(monthly_data!AF497)*42/1000</f>
        <v>11.214</v>
      </c>
      <c r="P42" s="239">
        <f>(monthly_data!AF509)*42/1000</f>
        <v>18.018000000000001</v>
      </c>
      <c r="Q42" s="239">
        <f>(monthly_data!AF521)*42/1000</f>
        <v>17.346</v>
      </c>
      <c r="R42" s="239">
        <f>(monthly_data!AF533)*42/1000</f>
        <v>19.152000000000001</v>
      </c>
      <c r="S42" s="239">
        <f>(monthly_data!AF545)*42/1000</f>
        <v>11.55</v>
      </c>
      <c r="T42" s="239">
        <f>(monthly_data!AF557)*42/1000</f>
        <v>19.277999999999999</v>
      </c>
      <c r="U42" s="239">
        <f>(monthly_data!AF569)*42/1000</f>
        <v>18.984000000000002</v>
      </c>
      <c r="V42" s="239">
        <f>(monthly_data!AF581)*42/1000</f>
        <v>37.506</v>
      </c>
      <c r="W42" s="239">
        <f>(monthly_data!AF593)*42/1000</f>
        <v>23.31</v>
      </c>
      <c r="X42" s="239">
        <f>(monthly_data!AF605)*42/1000</f>
        <v>33.012</v>
      </c>
      <c r="Y42" s="239">
        <f>(monthly_data!AF617)*42/1000</f>
        <v>44.015999999999998</v>
      </c>
      <c r="Z42" s="240">
        <f t="shared" si="30"/>
        <v>20.5035799988534</v>
      </c>
      <c r="AA42" s="240">
        <f t="shared" si="31"/>
        <v>28.118384441934971</v>
      </c>
      <c r="AB42" s="240">
        <f t="shared" si="32"/>
        <v>26.450257534416632</v>
      </c>
      <c r="AC42" s="240">
        <f t="shared" si="32"/>
        <v>24.931918441043788</v>
      </c>
      <c r="AD42" s="240">
        <f t="shared" si="32"/>
        <v>23.644615266862559</v>
      </c>
      <c r="AE42" s="240">
        <f t="shared" si="32"/>
        <v>19.872163512235105</v>
      </c>
      <c r="AF42" s="240">
        <f t="shared" si="32"/>
        <v>20.130149533304849</v>
      </c>
      <c r="AG42" s="240">
        <f t="shared" si="32"/>
        <v>18.043828259172301</v>
      </c>
      <c r="AH42" s="240">
        <f t="shared" si="32"/>
        <v>17.24115560628395</v>
      </c>
      <c r="AJ42" s="68" t="s">
        <v>216</v>
      </c>
      <c r="AK42" s="241">
        <f t="shared" si="33"/>
        <v>37.506</v>
      </c>
      <c r="AL42" s="241">
        <f t="shared" si="34"/>
        <v>18.984000000000002</v>
      </c>
      <c r="AM42" s="241">
        <f t="shared" si="35"/>
        <v>26.417999999999999</v>
      </c>
      <c r="AN42" s="242">
        <f t="shared" si="36"/>
        <v>1.0649032258064517</v>
      </c>
    </row>
    <row r="43" spans="1:40">
      <c r="A43" s="68" t="s">
        <v>170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222"/>
      <c r="M43" s="239">
        <f>(monthly_data!AF474)/42</f>
        <v>1.1904761904761905</v>
      </c>
      <c r="N43" s="239">
        <f>(monthly_data!AF486)/42</f>
        <v>3.5238095238095237</v>
      </c>
      <c r="O43" s="239">
        <f>(monthly_data!AF498)*42/1000</f>
        <v>10.374000000000001</v>
      </c>
      <c r="P43" s="239">
        <f>(monthly_data!AF510)*42/1000</f>
        <v>11.172000000000001</v>
      </c>
      <c r="Q43" s="239">
        <f>(monthly_data!AF522)*42/1000</f>
        <v>17.64</v>
      </c>
      <c r="R43" s="239">
        <f>(monthly_data!AF534)*42/1000</f>
        <v>16.001999999999999</v>
      </c>
      <c r="S43" s="239">
        <f>(monthly_data!AF546)*42/1000</f>
        <v>18.731999999999999</v>
      </c>
      <c r="T43" s="239">
        <f>(monthly_data!AF558)*42/1000</f>
        <v>17.094000000000001</v>
      </c>
      <c r="U43" s="239">
        <f>(monthly_data!AF570)*42/1000</f>
        <v>27.888000000000002</v>
      </c>
      <c r="V43" s="239">
        <f>(monthly_data!AF582)*42/1000</f>
        <v>42.545999999999999</v>
      </c>
      <c r="W43" s="239">
        <f>(monthly_data!AF594)*42/1000</f>
        <v>16.463999999999999</v>
      </c>
      <c r="X43" s="239">
        <f>(monthly_data!AF606)*42/1000</f>
        <v>17.64</v>
      </c>
      <c r="Y43" s="239">
        <f>(monthly_data!AF618)*42/1000</f>
        <v>43.05</v>
      </c>
      <c r="Z43" s="240">
        <f t="shared" si="30"/>
        <v>19.295549040163593</v>
      </c>
      <c r="AA43" s="240">
        <f t="shared" si="31"/>
        <v>24.681970407488677</v>
      </c>
      <c r="AB43" s="240">
        <f t="shared" si="32"/>
        <v>21.508865801315185</v>
      </c>
      <c r="AC43" s="240">
        <f t="shared" si="32"/>
        <v>20.682542769239355</v>
      </c>
      <c r="AD43" s="240">
        <f t="shared" si="32"/>
        <v>21.214615048675476</v>
      </c>
      <c r="AE43" s="240">
        <f t="shared" si="32"/>
        <v>17.258105951483429</v>
      </c>
      <c r="AF43" s="240">
        <f t="shared" si="32"/>
        <v>17.238486535011528</v>
      </c>
      <c r="AG43" s="240">
        <f t="shared" si="32"/>
        <v>15.357313282337453</v>
      </c>
      <c r="AH43" s="240">
        <f t="shared" si="32"/>
        <v>14.836378510986975</v>
      </c>
      <c r="AJ43" s="68" t="s">
        <v>217</v>
      </c>
      <c r="AK43" s="241">
        <f t="shared" si="33"/>
        <v>42.545999999999999</v>
      </c>
      <c r="AL43" s="241">
        <f t="shared" si="34"/>
        <v>16.463999999999999</v>
      </c>
      <c r="AM43" s="241">
        <f t="shared" si="35"/>
        <v>24.3264</v>
      </c>
      <c r="AN43" s="242">
        <f t="shared" si="36"/>
        <v>0.56903225806451618</v>
      </c>
    </row>
    <row r="44" spans="1:40">
      <c r="A44" s="68" t="s">
        <v>171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222"/>
      <c r="M44" s="239">
        <f>(monthly_data!AF475)/42</f>
        <v>1.3095238095238095</v>
      </c>
      <c r="N44" s="239">
        <f>(monthly_data!AF487)/42</f>
        <v>3.2380952380952381</v>
      </c>
      <c r="O44" s="239">
        <f>(monthly_data!AF499)*42/1000</f>
        <v>17.178000000000001</v>
      </c>
      <c r="P44" s="239">
        <f>(monthly_data!AF511)*42/1000</f>
        <v>22.638000000000002</v>
      </c>
      <c r="Q44" s="239">
        <f>(monthly_data!AF523)*42/1000</f>
        <v>11.55</v>
      </c>
      <c r="R44" s="239">
        <f>(monthly_data!AF535)*42/1000</f>
        <v>20.076000000000001</v>
      </c>
      <c r="S44" s="239">
        <f>(monthly_data!AF547)*42/1000</f>
        <v>14.28</v>
      </c>
      <c r="T44" s="239">
        <f>(monthly_data!AF559)*42/1000</f>
        <v>27.132000000000001</v>
      </c>
      <c r="U44" s="239">
        <f>(monthly_data!AF571)*42/1000</f>
        <v>21.21</v>
      </c>
      <c r="V44" s="239">
        <f>(monthly_data!AF583)*42/1000</f>
        <v>36.54</v>
      </c>
      <c r="W44" s="239">
        <f>(monthly_data!AF595)*42/1000</f>
        <v>27.257999999999999</v>
      </c>
      <c r="X44" s="239">
        <f>(monthly_data!AF607)*42/1000</f>
        <v>48.258000000000003</v>
      </c>
      <c r="Y44" s="240">
        <f>Y$52*(SUM(T44:X44)/SUM(T$52:X$52))-6</f>
        <v>26.393370306913035</v>
      </c>
      <c r="Z44" s="240">
        <f t="shared" si="30"/>
        <v>20.873751317713356</v>
      </c>
      <c r="AA44" s="240">
        <f t="shared" si="31"/>
        <v>28.291615093598821</v>
      </c>
      <c r="AB44" s="240">
        <f t="shared" si="32"/>
        <v>26.825769649868864</v>
      </c>
      <c r="AC44" s="240">
        <f t="shared" si="32"/>
        <v>24.692973052570583</v>
      </c>
      <c r="AD44" s="240">
        <f t="shared" si="32"/>
        <v>20.863041108695246</v>
      </c>
      <c r="AE44" s="240">
        <f t="shared" si="32"/>
        <v>19.534404776841413</v>
      </c>
      <c r="AF44" s="240">
        <f t="shared" si="32"/>
        <v>19.670406456403335</v>
      </c>
      <c r="AG44" s="240">
        <f t="shared" si="32"/>
        <v>17.503825396813376</v>
      </c>
      <c r="AH44" s="240">
        <f t="shared" si="32"/>
        <v>16.536452092454425</v>
      </c>
      <c r="AJ44" s="68" t="s">
        <v>171</v>
      </c>
      <c r="AK44" s="241">
        <f t="shared" si="33"/>
        <v>48.258000000000003</v>
      </c>
      <c r="AL44" s="241">
        <f t="shared" si="34"/>
        <v>21.21</v>
      </c>
      <c r="AM44" s="241">
        <f t="shared" si="35"/>
        <v>32.079599999999999</v>
      </c>
      <c r="AN44" s="242">
        <f t="shared" si="36"/>
        <v>1.556709677419355</v>
      </c>
    </row>
    <row r="45" spans="1:40">
      <c r="A45" s="68" t="s">
        <v>172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222"/>
      <c r="M45" s="239">
        <f>(monthly_data!AF476)/42</f>
        <v>1.3809523809523809</v>
      </c>
      <c r="N45" s="239">
        <f>(monthly_data!AF488)/42</f>
        <v>12.452380952380953</v>
      </c>
      <c r="O45" s="239">
        <f>(monthly_data!AF500)*42/1000</f>
        <v>0</v>
      </c>
      <c r="P45" s="239">
        <f>(monthly_data!AF512)*42/1000</f>
        <v>14.532</v>
      </c>
      <c r="Q45" s="239">
        <f>(monthly_data!AF524)*42/1000</f>
        <v>24.611999999999998</v>
      </c>
      <c r="R45" s="239">
        <f>(monthly_data!AF536)*42/1000</f>
        <v>19.404</v>
      </c>
      <c r="S45" s="239">
        <f>(monthly_data!AF548)*42/1000</f>
        <v>16.925999999999998</v>
      </c>
      <c r="T45" s="239">
        <f>(monthly_data!AF560)*42/1000</f>
        <v>25.2</v>
      </c>
      <c r="U45" s="239">
        <f>(monthly_data!AF572)*42/1000</f>
        <v>25.83</v>
      </c>
      <c r="V45" s="239">
        <f>(monthly_data!AF584)*42/1000</f>
        <v>45.863999999999997</v>
      </c>
      <c r="W45" s="239">
        <f>(monthly_data!AF596)*42/1000</f>
        <v>22.512</v>
      </c>
      <c r="X45" s="239">
        <f>(monthly_data!AF608)*42/1000</f>
        <v>28.602</v>
      </c>
      <c r="Y45" s="240">
        <f>Y$52*(SUM(T45:X45)/SUM(T$52:X$52))-5</f>
        <v>24.891133009049895</v>
      </c>
      <c r="Z45" s="240">
        <f t="shared" si="30"/>
        <v>19.3100784898892</v>
      </c>
      <c r="AA45" s="240">
        <f t="shared" si="31"/>
        <v>25.069731688764431</v>
      </c>
      <c r="AB45" s="240">
        <f t="shared" si="32"/>
        <v>21.376299078311071</v>
      </c>
      <c r="AC45" s="240">
        <f t="shared" si="32"/>
        <v>19.547061429122817</v>
      </c>
      <c r="AD45" s="240">
        <f t="shared" si="32"/>
        <v>18.091232989642151</v>
      </c>
      <c r="AE45" s="240">
        <f t="shared" si="32"/>
        <v>16.616992906583533</v>
      </c>
      <c r="AF45" s="240">
        <f t="shared" si="32"/>
        <v>16.478429826575059</v>
      </c>
      <c r="AG45" s="240">
        <f t="shared" si="32"/>
        <v>14.448667788012076</v>
      </c>
      <c r="AH45" s="240">
        <f t="shared" si="32"/>
        <v>13.774206598080548</v>
      </c>
      <c r="AJ45" s="68" t="s">
        <v>218</v>
      </c>
      <c r="AK45" s="241">
        <f t="shared" si="33"/>
        <v>45.863999999999997</v>
      </c>
      <c r="AL45" s="241">
        <f t="shared" si="34"/>
        <v>22.512</v>
      </c>
      <c r="AM45" s="241">
        <f t="shared" si="35"/>
        <v>29.601600000000001</v>
      </c>
      <c r="AN45" s="242">
        <f t="shared" si="36"/>
        <v>0.92264516129032259</v>
      </c>
    </row>
    <row r="46" spans="1:40">
      <c r="A46" s="68" t="s">
        <v>173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222"/>
      <c r="M46" s="239"/>
      <c r="N46" s="239">
        <f>(monthly_data!AF489)/42</f>
        <v>8.6904761904761898</v>
      </c>
      <c r="O46" s="239">
        <f>(monthly_data!AF501)*42/1000</f>
        <v>25.326000000000001</v>
      </c>
      <c r="P46" s="239">
        <f>(monthly_data!AF513)*42/1000</f>
        <v>22.47</v>
      </c>
      <c r="Q46" s="239">
        <f>(monthly_data!AF525)*42/1000</f>
        <v>17.597999999999999</v>
      </c>
      <c r="R46" s="239">
        <f>(monthly_data!AF537)*42/1000</f>
        <v>16.632000000000001</v>
      </c>
      <c r="S46" s="239">
        <f>(monthly_data!AF549)*42/1000</f>
        <v>11.676</v>
      </c>
      <c r="T46" s="239">
        <f>(monthly_data!AF561)*42/1000</f>
        <v>22.931999999999999</v>
      </c>
      <c r="U46" s="239">
        <f>(monthly_data!AF573)*42/1000</f>
        <v>13.356</v>
      </c>
      <c r="V46" s="239">
        <f>(monthly_data!AF585)*42/1000</f>
        <v>23.058</v>
      </c>
      <c r="W46" s="239">
        <f>(monthly_data!AF597)*42/1000</f>
        <v>24.905999999999999</v>
      </c>
      <c r="X46" s="239">
        <f>(monthly_data!AF609)*42/1000</f>
        <v>32.886000000000003</v>
      </c>
      <c r="Y46" s="240">
        <f>Y$52*(SUM(T46:X46)/SUM(T$52:X$52))-2</f>
        <v>21.65674516522138</v>
      </c>
      <c r="Z46" s="240">
        <f t="shared" si="30"/>
        <v>15.14781202579821</v>
      </c>
      <c r="AA46" s="240">
        <f t="shared" si="31"/>
        <v>20.892368992735278</v>
      </c>
      <c r="AB46" s="240">
        <f t="shared" si="32"/>
        <v>20.506931855154932</v>
      </c>
      <c r="AC46" s="240">
        <f t="shared" si="32"/>
        <v>18.209593939348352</v>
      </c>
      <c r="AD46" s="240">
        <f t="shared" si="32"/>
        <v>15.828751256507209</v>
      </c>
      <c r="AE46" s="240">
        <f t="shared" si="32"/>
        <v>14.558408005350969</v>
      </c>
      <c r="AF46" s="240">
        <f t="shared" si="32"/>
        <v>14.726655910855113</v>
      </c>
      <c r="AG46" s="240">
        <f t="shared" si="32"/>
        <v>13.149891800730234</v>
      </c>
      <c r="AH46" s="240">
        <f t="shared" si="32"/>
        <v>12.365925733973386</v>
      </c>
      <c r="AJ46" s="68" t="s">
        <v>219</v>
      </c>
      <c r="AK46" s="241">
        <f t="shared" si="33"/>
        <v>32.886000000000003</v>
      </c>
      <c r="AL46" s="241">
        <f t="shared" si="34"/>
        <v>13.356</v>
      </c>
      <c r="AM46" s="241">
        <f t="shared" si="35"/>
        <v>23.427600000000002</v>
      </c>
      <c r="AN46" s="243">
        <f t="shared" si="36"/>
        <v>1.0608387096774194</v>
      </c>
    </row>
    <row r="47" spans="1:40">
      <c r="A47" s="68" t="s">
        <v>174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222"/>
      <c r="M47" s="239"/>
      <c r="N47" s="239">
        <f>(monthly_data!AF490)/42</f>
        <v>20.61904761904762</v>
      </c>
      <c r="O47" s="239">
        <f>(monthly_data!AF502)*42/1000</f>
        <v>7.476</v>
      </c>
      <c r="P47" s="239">
        <f>(monthly_data!AF514)*42/1000</f>
        <v>23.52</v>
      </c>
      <c r="Q47" s="239">
        <f>(monthly_data!AF526)*42/1000</f>
        <v>23.31</v>
      </c>
      <c r="R47" s="239">
        <f>(monthly_data!AF538)*42/1000</f>
        <v>15.582000000000001</v>
      </c>
      <c r="S47" s="239">
        <f>(monthly_data!AF550)*42/1000</f>
        <v>17.808</v>
      </c>
      <c r="T47" s="239">
        <f>(monthly_data!AF562)*42/1000</f>
        <v>18.186</v>
      </c>
      <c r="U47" s="239">
        <f>(monthly_data!AF574)*42/1000</f>
        <v>18.27</v>
      </c>
      <c r="V47" s="239">
        <f>(monthly_data!AF586)*42/1000</f>
        <v>25.074000000000002</v>
      </c>
      <c r="W47" s="239">
        <f>(monthly_data!AF598)*42/1000</f>
        <v>17.681999999999999</v>
      </c>
      <c r="X47" s="239">
        <f>(monthly_data!AF610)*42/1000</f>
        <v>42.125999999999998</v>
      </c>
      <c r="Y47" s="240">
        <f>Y$52*(SUM(T47:X47)/SUM(T$52:X$52))-3</f>
        <v>21.504961198395325</v>
      </c>
      <c r="Z47" s="240">
        <f t="shared" si="30"/>
        <v>16.297561509075308</v>
      </c>
      <c r="AA47" s="240">
        <f t="shared" si="31"/>
        <v>21.785559176773898</v>
      </c>
      <c r="AB47" s="240">
        <f t="shared" si="32"/>
        <v>21.200710716428055</v>
      </c>
      <c r="AC47" s="240">
        <f t="shared" si="32"/>
        <v>20.147910006451859</v>
      </c>
      <c r="AD47" s="240">
        <f t="shared" si="32"/>
        <v>16.571359342890325</v>
      </c>
      <c r="AE47" s="240">
        <f t="shared" si="32"/>
        <v>15.4291024222441</v>
      </c>
      <c r="AF47" s="240">
        <f t="shared" si="32"/>
        <v>15.567517351766583</v>
      </c>
      <c r="AG47" s="240">
        <f t="shared" si="32"/>
        <v>13.947738416562105</v>
      </c>
      <c r="AH47" s="240">
        <f t="shared" si="32"/>
        <v>13.205214647096952</v>
      </c>
      <c r="AJ47" s="68" t="s">
        <v>220</v>
      </c>
      <c r="AK47" s="241">
        <f t="shared" si="33"/>
        <v>42.125999999999998</v>
      </c>
      <c r="AL47" s="241">
        <f t="shared" si="34"/>
        <v>17.681999999999999</v>
      </c>
      <c r="AM47" s="241">
        <f t="shared" si="35"/>
        <v>24.267599999999998</v>
      </c>
      <c r="AN47" s="243">
        <f t="shared" si="36"/>
        <v>1.3589032258064515</v>
      </c>
    </row>
    <row r="48" spans="1:40">
      <c r="A48" s="68" t="s">
        <v>175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222"/>
      <c r="M48" s="239">
        <f>(monthly_data!AF479)/42</f>
        <v>1.3333333333333333</v>
      </c>
      <c r="N48" s="239">
        <f>(monthly_data!AF491)/42</f>
        <v>14.595238095238095</v>
      </c>
      <c r="O48" s="239">
        <f>(monthly_data!AF503)*42/1000</f>
        <v>11.214</v>
      </c>
      <c r="P48" s="239">
        <f>(monthly_data!AF515)*42/1000</f>
        <v>13.103999999999999</v>
      </c>
      <c r="Q48" s="239">
        <f>(monthly_data!AF527)*42/1000</f>
        <v>17.262</v>
      </c>
      <c r="R48" s="239">
        <f>(monthly_data!AF539)*42/1000</f>
        <v>17.388000000000002</v>
      </c>
      <c r="S48" s="239">
        <f>(monthly_data!AF551)*42/1000</f>
        <v>13.608000000000001</v>
      </c>
      <c r="T48" s="239">
        <f>(monthly_data!AF563)*42/1000</f>
        <v>13.65</v>
      </c>
      <c r="U48" s="239">
        <f>(monthly_data!AF575)*42/1000</f>
        <v>21.713999999999999</v>
      </c>
      <c r="V48" s="239">
        <f>(monthly_data!AF587)*42/1000</f>
        <v>26.712</v>
      </c>
      <c r="W48" s="239">
        <f>(monthly_data!AF599)*42/1000</f>
        <v>12.768000000000001</v>
      </c>
      <c r="X48" s="239">
        <f>(monthly_data!AF611)*42/1000</f>
        <v>17.010000000000002</v>
      </c>
      <c r="Y48" s="240">
        <f>Y$52*(SUM(T48:X48)/SUM(T$52:X$52))+4</f>
        <v>22.550484645514221</v>
      </c>
      <c r="Z48" s="240">
        <f t="shared" si="30"/>
        <v>13.172568904612362</v>
      </c>
      <c r="AA48" s="240">
        <f t="shared" si="31"/>
        <v>16.374624041023996</v>
      </c>
      <c r="AB48" s="240">
        <f t="shared" si="32"/>
        <v>14.538354424430851</v>
      </c>
      <c r="AC48" s="240">
        <f t="shared" si="32"/>
        <v>13.711065119085623</v>
      </c>
      <c r="AD48" s="240">
        <f t="shared" si="32"/>
        <v>13.191045322325618</v>
      </c>
      <c r="AE48" s="240">
        <f t="shared" si="32"/>
        <v>11.408754868472741</v>
      </c>
      <c r="AF48" s="240">
        <f t="shared" si="32"/>
        <v>11.327560290032919</v>
      </c>
      <c r="AG48" s="240">
        <f t="shared" si="32"/>
        <v>10.066972216771351</v>
      </c>
      <c r="AH48" s="240">
        <f t="shared" si="32"/>
        <v>9.6545134904070053</v>
      </c>
      <c r="AJ48" s="68" t="s">
        <v>221</v>
      </c>
      <c r="AK48" s="241">
        <f t="shared" si="33"/>
        <v>26.712</v>
      </c>
      <c r="AL48" s="241">
        <f t="shared" si="34"/>
        <v>12.768000000000001</v>
      </c>
      <c r="AM48" s="241">
        <f t="shared" si="35"/>
        <v>18.370799999999999</v>
      </c>
      <c r="AN48" s="243">
        <f t="shared" si="36"/>
        <v>0.54870967741935484</v>
      </c>
    </row>
    <row r="49" spans="1:40">
      <c r="A49" s="68" t="s">
        <v>176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222"/>
      <c r="M49" s="239">
        <f>(monthly_data!AF480)/42</f>
        <v>2.7142857142857144</v>
      </c>
      <c r="N49" s="239">
        <f>(monthly_data!AF492)/42</f>
        <v>11.119047619047619</v>
      </c>
      <c r="O49" s="239">
        <f>(monthly_data!AF504)*42/1000</f>
        <v>9.8699999999999992</v>
      </c>
      <c r="P49" s="239">
        <f>(monthly_data!AF516)*42/1000</f>
        <v>25.158000000000001</v>
      </c>
      <c r="Q49" s="239">
        <f>(monthly_data!AF528)*42/1000</f>
        <v>23.268000000000001</v>
      </c>
      <c r="R49" s="239">
        <f>(monthly_data!AF540)*42/1000</f>
        <v>16.254000000000001</v>
      </c>
      <c r="S49" s="239">
        <f>(monthly_data!AF552)*42/1000</f>
        <v>14.321999999999999</v>
      </c>
      <c r="T49" s="239">
        <f>(monthly_data!AF564)*42/1000</f>
        <v>29.231999999999999</v>
      </c>
      <c r="U49" s="239">
        <f>(monthly_data!AF576)*42/1000</f>
        <v>25.914000000000001</v>
      </c>
      <c r="V49" s="239">
        <f>(monthly_data!AF588)*42/1000</f>
        <v>33.39</v>
      </c>
      <c r="W49" s="239">
        <f>(monthly_data!AF600)*42/1000</f>
        <v>18.942</v>
      </c>
      <c r="X49" s="239">
        <f>(monthly_data!AF612)*42/1000</f>
        <v>14.742000000000001</v>
      </c>
      <c r="Y49" s="240">
        <f>Y$52*(SUM(T49:X49)/SUM(T$52:X$52))-4</f>
        <v>20.683086565361858</v>
      </c>
      <c r="Z49" s="240">
        <f t="shared" si="30"/>
        <v>14.861276155721475</v>
      </c>
      <c r="AA49" s="240">
        <f t="shared" si="31"/>
        <v>18.222334523926687</v>
      </c>
      <c r="AB49" s="240">
        <f t="shared" si="32"/>
        <v>15.528289580213142</v>
      </c>
      <c r="AC49" s="240">
        <f t="shared" si="32"/>
        <v>13.775149531991415</v>
      </c>
      <c r="AD49" s="240">
        <f t="shared" si="32"/>
        <v>13.638102342181494</v>
      </c>
      <c r="AE49" s="240">
        <f t="shared" si="32"/>
        <v>12.218353883980321</v>
      </c>
      <c r="AF49" s="240">
        <f t="shared" si="32"/>
        <v>12.008024802550919</v>
      </c>
      <c r="AG49" s="240">
        <f t="shared" si="32"/>
        <v>10.536171893641267</v>
      </c>
      <c r="AH49" s="240">
        <f t="shared" si="32"/>
        <v>10.05398415425306</v>
      </c>
      <c r="AJ49" s="68" t="s">
        <v>222</v>
      </c>
      <c r="AK49" s="241">
        <f t="shared" si="33"/>
        <v>33.39</v>
      </c>
      <c r="AL49" s="241">
        <f t="shared" si="34"/>
        <v>14.742000000000001</v>
      </c>
      <c r="AM49" s="241">
        <f t="shared" si="35"/>
        <v>24.444000000000003</v>
      </c>
      <c r="AN49" s="243">
        <f t="shared" si="36"/>
        <v>0.47554838709677422</v>
      </c>
    </row>
    <row r="50" spans="1:40">
      <c r="A50" s="68" t="s">
        <v>177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222"/>
      <c r="M50" s="239">
        <f>(monthly_data!AF481)/42</f>
        <v>1.3571428571428572</v>
      </c>
      <c r="N50" s="239">
        <f>(monthly_data!AF493)/42</f>
        <v>17.333333333333332</v>
      </c>
      <c r="O50" s="239">
        <f>(monthly_data!AF505)*42/1000</f>
        <v>0</v>
      </c>
      <c r="P50" s="239">
        <f>(monthly_data!AF517)*42/1000</f>
        <v>19.824000000000002</v>
      </c>
      <c r="Q50" s="239">
        <f>(monthly_data!AF529)*42/1000</f>
        <v>21.462</v>
      </c>
      <c r="R50" s="239">
        <f>(monthly_data!AF541)*42/1000</f>
        <v>14.49</v>
      </c>
      <c r="S50" s="239">
        <f>(monthly_data!AF553)*42/1000</f>
        <v>14.448</v>
      </c>
      <c r="T50" s="239">
        <f>(monthly_data!AF565)*42/1000</f>
        <v>20.957999999999998</v>
      </c>
      <c r="U50" s="239">
        <f>(monthly_data!AF577)*42/1000</f>
        <v>27.09</v>
      </c>
      <c r="V50" s="239">
        <f>(monthly_data!AF589)*42/1000</f>
        <v>37.380000000000003</v>
      </c>
      <c r="W50" s="239">
        <f>(monthly_data!AF601)*42/1000</f>
        <v>29.064</v>
      </c>
      <c r="X50" s="239">
        <f>(monthly_data!AF613)*42/1000</f>
        <v>34.146000000000001</v>
      </c>
      <c r="Y50" s="240">
        <f>Y$52*(SUM(T50:X50)/SUM(T$52:X$52))-11</f>
        <v>19.018365414025979</v>
      </c>
      <c r="Z50" s="240">
        <f t="shared" si="30"/>
        <v>19.179238853824003</v>
      </c>
      <c r="AA50" s="240">
        <f t="shared" si="31"/>
        <v>24.645044860216988</v>
      </c>
      <c r="AB50" s="240">
        <f t="shared" si="32"/>
        <v>22.382692187457828</v>
      </c>
      <c r="AC50" s="240">
        <f t="shared" si="32"/>
        <v>19.567075624398701</v>
      </c>
      <c r="AD50" s="240">
        <f t="shared" si="32"/>
        <v>17.204374153974864</v>
      </c>
      <c r="AE50" s="240">
        <f t="shared" si="32"/>
        <v>16.550139158597968</v>
      </c>
      <c r="AF50" s="240">
        <f t="shared" si="32"/>
        <v>16.420831005056172</v>
      </c>
      <c r="AG50" s="240">
        <f t="shared" si="32"/>
        <v>14.451035778401881</v>
      </c>
      <c r="AH50" s="240">
        <f t="shared" si="32"/>
        <v>13.614294247775261</v>
      </c>
      <c r="AJ50" s="68" t="s">
        <v>223</v>
      </c>
      <c r="AK50" s="241">
        <f t="shared" si="33"/>
        <v>37.380000000000003</v>
      </c>
      <c r="AL50" s="241">
        <f t="shared" si="34"/>
        <v>20.957999999999998</v>
      </c>
      <c r="AM50" s="241">
        <f t="shared" si="35"/>
        <v>29.727599999999995</v>
      </c>
      <c r="AN50" s="243">
        <f t="shared" si="36"/>
        <v>1.1014838709677419</v>
      </c>
    </row>
    <row r="51" spans="1:40">
      <c r="A51" s="68" t="s">
        <v>178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222"/>
      <c r="M51" s="239">
        <f>(monthly_data!AF482)/42</f>
        <v>5.1190476190476186</v>
      </c>
      <c r="N51" s="239">
        <f>(monthly_data!AF494)/42</f>
        <v>15.738095238095237</v>
      </c>
      <c r="O51" s="239">
        <f>(monthly_data!AF506)*42/1000</f>
        <v>11.214</v>
      </c>
      <c r="P51" s="239">
        <f>(monthly_data!AF518)*42/1000</f>
        <v>20.286000000000001</v>
      </c>
      <c r="Q51" s="239">
        <f>(monthly_data!AF530)*42/1000</f>
        <v>23.393999999999998</v>
      </c>
      <c r="R51" s="239">
        <f>(monthly_data!AF542)*42/1000</f>
        <v>12.558</v>
      </c>
      <c r="S51" s="239">
        <f>(monthly_data!AF554)*42/1000</f>
        <v>4.452</v>
      </c>
      <c r="T51" s="239">
        <f>(monthly_data!AF566)*42/1000</f>
        <v>28.77</v>
      </c>
      <c r="U51" s="239">
        <f>(monthly_data!AF578)*42/1000</f>
        <v>36.707999999999998</v>
      </c>
      <c r="V51" s="239">
        <f>(monthly_data!AF590)*42/1000</f>
        <v>20.706</v>
      </c>
      <c r="W51" s="239">
        <f>(monthly_data!AF602)*42/1000</f>
        <v>28.14</v>
      </c>
      <c r="X51" s="239">
        <f>(monthly_data!AF614)*42/1000</f>
        <v>44.183999999999997</v>
      </c>
      <c r="Y51" s="240">
        <f>Y52-SUM(Y40:Y50)</f>
        <v>-7.6480173044816979</v>
      </c>
      <c r="Z51" s="240">
        <f t="shared" ref="Z51:AC51" si="37">Z52-SUM(Z40:Z50)</f>
        <v>15.96195658464174</v>
      </c>
      <c r="AA51" s="240">
        <f t="shared" si="37"/>
        <v>17.996030287045073</v>
      </c>
      <c r="AB51" s="240">
        <f t="shared" si="37"/>
        <v>17.514060952474466</v>
      </c>
      <c r="AC51" s="240">
        <f t="shared" si="37"/>
        <v>14.426073877993645</v>
      </c>
      <c r="AD51" s="240">
        <f t="shared" ref="AD51:AH51" si="38">AD52-SUM(AD40:AD50)</f>
        <v>9.5632548597499749</v>
      </c>
      <c r="AE51" s="240">
        <f t="shared" si="38"/>
        <v>12.127746903815734</v>
      </c>
      <c r="AF51" s="240">
        <f t="shared" si="38"/>
        <v>11.720832115056851</v>
      </c>
      <c r="AG51" s="240">
        <f t="shared" si="38"/>
        <v>10.251316022027396</v>
      </c>
      <c r="AH51" s="240">
        <f t="shared" si="38"/>
        <v>9.3931740701245019</v>
      </c>
      <c r="AJ51" s="68" t="s">
        <v>224</v>
      </c>
      <c r="AK51" s="241">
        <f t="shared" si="33"/>
        <v>44.183999999999997</v>
      </c>
      <c r="AL51" s="241">
        <f t="shared" si="34"/>
        <v>20.706</v>
      </c>
      <c r="AM51" s="241">
        <f t="shared" si="35"/>
        <v>31.701599999999996</v>
      </c>
      <c r="AN51" s="243">
        <f t="shared" si="36"/>
        <v>1.425290322580645</v>
      </c>
    </row>
    <row r="52" spans="1:40">
      <c r="A52" s="244" t="s">
        <v>179</v>
      </c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8"/>
      <c r="M52" s="246">
        <f t="shared" ref="M52:X52" si="39">SUM(M40:M51)</f>
        <v>14.404761904761905</v>
      </c>
      <c r="N52" s="246">
        <f t="shared" si="39"/>
        <v>117.16666666666667</v>
      </c>
      <c r="O52" s="246">
        <f t="shared" si="39"/>
        <v>120.666</v>
      </c>
      <c r="P52" s="246">
        <f t="shared" si="39"/>
        <v>204.70800000000003</v>
      </c>
      <c r="Q52" s="246">
        <f t="shared" si="39"/>
        <v>222.76799999999997</v>
      </c>
      <c r="R52" s="246">
        <f t="shared" si="39"/>
        <v>189.37799999999999</v>
      </c>
      <c r="S52" s="246">
        <f t="shared" si="39"/>
        <v>173.20800000000003</v>
      </c>
      <c r="T52" s="246">
        <f t="shared" si="39"/>
        <v>258.00600000000003</v>
      </c>
      <c r="U52" s="246">
        <f t="shared" si="39"/>
        <v>279.63600000000002</v>
      </c>
      <c r="V52" s="246">
        <f t="shared" si="39"/>
        <v>392.28</v>
      </c>
      <c r="W52" s="246">
        <f t="shared" si="39"/>
        <v>262.66800000000001</v>
      </c>
      <c r="X52" s="246">
        <f t="shared" si="39"/>
        <v>362.12400000000002</v>
      </c>
      <c r="Y52" s="247">
        <f t="shared" ref="Y52:AH52" si="40">Y6</f>
        <v>313.984129</v>
      </c>
      <c r="Z52" s="247">
        <f t="shared" si="40"/>
        <v>210.58073125000001</v>
      </c>
      <c r="AA52" s="247">
        <f t="shared" si="40"/>
        <v>273.75434412499999</v>
      </c>
      <c r="AB52" s="247">
        <f t="shared" si="40"/>
        <v>252.69647449999997</v>
      </c>
      <c r="AC52" s="247">
        <f t="shared" si="40"/>
        <v>231.63860487500003</v>
      </c>
      <c r="AD52" s="247">
        <f t="shared" si="40"/>
        <v>210.58073525</v>
      </c>
      <c r="AE52" s="247">
        <f t="shared" si="40"/>
        <v>189.52286562500001</v>
      </c>
      <c r="AF52" s="247">
        <f t="shared" si="40"/>
        <v>189.52286662500001</v>
      </c>
      <c r="AG52" s="247">
        <f t="shared" si="40"/>
        <v>168.46499700000004</v>
      </c>
      <c r="AH52" s="247">
        <f t="shared" si="40"/>
        <v>160.04184975000001</v>
      </c>
      <c r="AJ52" s="68" t="s">
        <v>201</v>
      </c>
      <c r="AK52" s="241">
        <f>AVERAGE(AK40:AK51)</f>
        <v>37.863</v>
      </c>
      <c r="AL52" s="241">
        <f t="shared" ref="AL52:AN52" si="41">AVERAGE(AL40:AL51)</f>
        <v>17.912999999999997</v>
      </c>
      <c r="AM52" s="241">
        <f t="shared" si="41"/>
        <v>25.911899999999999</v>
      </c>
      <c r="AN52" s="242">
        <f t="shared" si="41"/>
        <v>0.97345161290322579</v>
      </c>
    </row>
    <row r="53" spans="1:40">
      <c r="X53" s="223"/>
    </row>
    <row r="54" spans="1:40" ht="12" thickBot="1">
      <c r="A54" s="234" t="s">
        <v>226</v>
      </c>
    </row>
    <row r="55" spans="1:40" ht="12" thickBot="1">
      <c r="A55" s="236"/>
      <c r="B55" s="236">
        <f t="shared" ref="B55:AH55" si="42">B2</f>
        <v>2001</v>
      </c>
      <c r="C55" s="236">
        <f t="shared" si="42"/>
        <v>2002</v>
      </c>
      <c r="D55" s="236">
        <f t="shared" si="42"/>
        <v>2003</v>
      </c>
      <c r="E55" s="236">
        <f t="shared" si="42"/>
        <v>2004</v>
      </c>
      <c r="F55" s="236">
        <f t="shared" si="42"/>
        <v>2005</v>
      </c>
      <c r="G55" s="236">
        <f t="shared" si="42"/>
        <v>2006</v>
      </c>
      <c r="H55" s="236">
        <f t="shared" si="42"/>
        <v>2007</v>
      </c>
      <c r="I55" s="236">
        <f t="shared" si="42"/>
        <v>2008</v>
      </c>
      <c r="J55" s="236">
        <f t="shared" si="42"/>
        <v>2009</v>
      </c>
      <c r="K55" s="236">
        <f t="shared" si="42"/>
        <v>2010</v>
      </c>
      <c r="L55" s="238">
        <f t="shared" si="42"/>
        <v>2011</v>
      </c>
      <c r="M55" s="238">
        <f t="shared" si="42"/>
        <v>2012</v>
      </c>
      <c r="N55" s="238">
        <f t="shared" si="42"/>
        <v>2013</v>
      </c>
      <c r="O55" s="238">
        <f t="shared" si="42"/>
        <v>2014</v>
      </c>
      <c r="P55" s="238">
        <f t="shared" si="42"/>
        <v>2015</v>
      </c>
      <c r="Q55" s="238">
        <f t="shared" si="42"/>
        <v>2016</v>
      </c>
      <c r="R55" s="238">
        <f t="shared" si="42"/>
        <v>2017</v>
      </c>
      <c r="S55" s="238">
        <f t="shared" si="42"/>
        <v>2018</v>
      </c>
      <c r="T55" s="238">
        <f t="shared" si="42"/>
        <v>2019</v>
      </c>
      <c r="U55" s="238">
        <f t="shared" si="42"/>
        <v>2020</v>
      </c>
      <c r="V55" s="238">
        <f t="shared" si="42"/>
        <v>2021</v>
      </c>
      <c r="W55" s="238">
        <f t="shared" si="42"/>
        <v>2022</v>
      </c>
      <c r="X55" s="238">
        <f t="shared" si="42"/>
        <v>2023</v>
      </c>
      <c r="Y55" s="238">
        <f t="shared" si="42"/>
        <v>2024</v>
      </c>
      <c r="Z55" s="238">
        <f t="shared" si="42"/>
        <v>2025</v>
      </c>
      <c r="AA55" s="238">
        <f t="shared" si="42"/>
        <v>2026</v>
      </c>
      <c r="AB55" s="238">
        <f t="shared" si="42"/>
        <v>2027</v>
      </c>
      <c r="AC55" s="238">
        <f t="shared" si="42"/>
        <v>2028</v>
      </c>
      <c r="AD55" s="238">
        <f t="shared" si="42"/>
        <v>2029</v>
      </c>
      <c r="AE55" s="238">
        <f t="shared" si="42"/>
        <v>2030</v>
      </c>
      <c r="AF55" s="238">
        <f t="shared" si="42"/>
        <v>2031</v>
      </c>
      <c r="AG55" s="238">
        <f t="shared" si="42"/>
        <v>2032</v>
      </c>
      <c r="AH55" s="238">
        <f t="shared" si="42"/>
        <v>2033</v>
      </c>
    </row>
    <row r="56" spans="1:40">
      <c r="A56" s="68" t="s">
        <v>167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239">
        <f>L4+L24+L40-L73</f>
        <v>4.4279999999999999</v>
      </c>
      <c r="M56" s="239">
        <f t="shared" ref="M56:Y56" si="43">M4+M24+M40-M73</f>
        <v>3.9229999999999996</v>
      </c>
      <c r="N56" s="239">
        <f t="shared" si="43"/>
        <v>1.9090000000000003</v>
      </c>
      <c r="O56" s="239">
        <f t="shared" si="43"/>
        <v>22.424999999999997</v>
      </c>
      <c r="P56" s="239">
        <f t="shared" si="43"/>
        <v>20.907</v>
      </c>
      <c r="Q56" s="239">
        <f t="shared" si="43"/>
        <v>15.915999999999997</v>
      </c>
      <c r="R56" s="239">
        <f t="shared" si="43"/>
        <v>42.29099999999999</v>
      </c>
      <c r="S56" s="239">
        <f t="shared" si="43"/>
        <v>19.728999999999999</v>
      </c>
      <c r="T56" s="239">
        <f t="shared" si="43"/>
        <v>49.297000000000025</v>
      </c>
      <c r="U56" s="239">
        <f t="shared" si="43"/>
        <v>57.90100000000001</v>
      </c>
      <c r="V56" s="239">
        <f t="shared" si="43"/>
        <v>73.936050000000009</v>
      </c>
      <c r="W56" s="239">
        <f t="shared" si="43"/>
        <v>122.11347000000002</v>
      </c>
      <c r="X56" s="239">
        <f t="shared" si="43"/>
        <v>187.95576</v>
      </c>
      <c r="Y56" s="239">
        <f t="shared" si="43"/>
        <v>235.30585000000002</v>
      </c>
      <c r="Z56" s="240">
        <f t="shared" ref="Z56:Z66" si="44">Z$68*((SUM(U56:Y56)/SUM(U$68:Y$68)))</f>
        <v>191.26161663704508</v>
      </c>
      <c r="AA56" s="240">
        <f t="shared" ref="AA56:AA66" si="45">AA$68*((SUM(V56:Z56)/SUM(V$68:Z$68)))</f>
        <v>198.9734366339552</v>
      </c>
      <c r="AB56" s="240">
        <f t="shared" ref="AB56:AH66" si="46">AB$68*((SUM(W56:AA56)/SUM(W$68:AA$68)))</f>
        <v>218.98086955208748</v>
      </c>
      <c r="AC56" s="240">
        <f t="shared" si="46"/>
        <v>220.98217465829694</v>
      </c>
      <c r="AD56" s="240">
        <f t="shared" si="46"/>
        <v>223.52054418773531</v>
      </c>
      <c r="AE56" s="240">
        <f t="shared" si="46"/>
        <v>234.90542967145987</v>
      </c>
      <c r="AF56" s="240">
        <f t="shared" si="46"/>
        <v>251.68863639989326</v>
      </c>
      <c r="AG56" s="240">
        <f t="shared" si="46"/>
        <v>295.49440465201053</v>
      </c>
      <c r="AH56" s="240">
        <f t="shared" si="46"/>
        <v>293.64358163426027</v>
      </c>
    </row>
    <row r="57" spans="1:40">
      <c r="A57" s="68" t="s">
        <v>168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239">
        <f>L73+L25+L41-L74</f>
        <v>0.96199999999999997</v>
      </c>
      <c r="M57" s="239">
        <f t="shared" ref="M57:Y67" si="47">M73+M25+M41-M74</f>
        <v>3.1890000000000001</v>
      </c>
      <c r="N57" s="239">
        <f t="shared" si="47"/>
        <v>7.3654761904761905</v>
      </c>
      <c r="O57" s="239">
        <f t="shared" si="47"/>
        <v>19.684999999999999</v>
      </c>
      <c r="P57" s="239">
        <f t="shared" si="47"/>
        <v>22.721</v>
      </c>
      <c r="Q57" s="239">
        <f t="shared" si="47"/>
        <v>23.441000000000003</v>
      </c>
      <c r="R57" s="239">
        <f t="shared" si="47"/>
        <v>31.878999999999998</v>
      </c>
      <c r="S57" s="239">
        <f t="shared" si="47"/>
        <v>40.085000000000001</v>
      </c>
      <c r="T57" s="239">
        <f t="shared" si="47"/>
        <v>47.39800000000001</v>
      </c>
      <c r="U57" s="239">
        <f t="shared" si="47"/>
        <v>68.254999999999995</v>
      </c>
      <c r="V57" s="239">
        <f t="shared" si="47"/>
        <v>73.231417999999962</v>
      </c>
      <c r="W57" s="239">
        <f t="shared" si="47"/>
        <v>110.04826600000001</v>
      </c>
      <c r="X57" s="239">
        <f t="shared" si="47"/>
        <v>180.16551200000001</v>
      </c>
      <c r="Y57" s="239">
        <f t="shared" si="47"/>
        <v>281.91084999999993</v>
      </c>
      <c r="Z57" s="240">
        <f t="shared" si="44"/>
        <v>201.54157945755153</v>
      </c>
      <c r="AA57" s="240">
        <f t="shared" si="45"/>
        <v>207.8902007420686</v>
      </c>
      <c r="AB57" s="240">
        <f t="shared" si="46"/>
        <v>229.73465991706865</v>
      </c>
      <c r="AC57" s="240">
        <f t="shared" si="46"/>
        <v>235.70007240074312</v>
      </c>
      <c r="AD57" s="240">
        <f t="shared" si="46"/>
        <v>242.6678063325212</v>
      </c>
      <c r="AE57" s="240">
        <f t="shared" si="46"/>
        <v>249.13185452069021</v>
      </c>
      <c r="AF57" s="240">
        <f t="shared" si="46"/>
        <v>267.23041144795684</v>
      </c>
      <c r="AG57" s="240">
        <f t="shared" si="46"/>
        <v>314.60701549334379</v>
      </c>
      <c r="AH57" s="240">
        <f t="shared" si="46"/>
        <v>313.45280852827585</v>
      </c>
    </row>
    <row r="58" spans="1:40">
      <c r="A58" s="68" t="s">
        <v>169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239">
        <f t="shared" ref="L58:P67" si="48">L74+L26+L42-L75</f>
        <v>3.1509999999999998</v>
      </c>
      <c r="M58" s="239">
        <f t="shared" si="48"/>
        <v>5.3540000000000001</v>
      </c>
      <c r="N58" s="239">
        <f t="shared" si="48"/>
        <v>4.9446666666666665</v>
      </c>
      <c r="O58" s="239">
        <f t="shared" si="48"/>
        <v>27.342999999999996</v>
      </c>
      <c r="P58" s="239">
        <f t="shared" si="48"/>
        <v>27.827999999999996</v>
      </c>
      <c r="Q58" s="239">
        <f t="shared" si="47"/>
        <v>39.177000000000007</v>
      </c>
      <c r="R58" s="239">
        <f t="shared" si="47"/>
        <v>38.873000000000005</v>
      </c>
      <c r="S58" s="239">
        <f t="shared" si="47"/>
        <v>24.311999999999998</v>
      </c>
      <c r="T58" s="239">
        <f t="shared" si="47"/>
        <v>57.033999999999978</v>
      </c>
      <c r="U58" s="239">
        <f t="shared" si="47"/>
        <v>62.405000000000008</v>
      </c>
      <c r="V58" s="239">
        <f t="shared" si="47"/>
        <v>94.951631999999989</v>
      </c>
      <c r="W58" s="239">
        <f t="shared" si="47"/>
        <v>134.13509800000003</v>
      </c>
      <c r="X58" s="239">
        <f t="shared" si="47"/>
        <v>217.25869199999997</v>
      </c>
      <c r="Y58" s="239">
        <f t="shared" si="47"/>
        <v>295.30557800000003</v>
      </c>
      <c r="Z58" s="240">
        <f t="shared" si="44"/>
        <v>227.08549302965957</v>
      </c>
      <c r="AA58" s="240">
        <f t="shared" si="45"/>
        <v>237.79830991177775</v>
      </c>
      <c r="AB58" s="240">
        <f t="shared" si="46"/>
        <v>260.16760688687106</v>
      </c>
      <c r="AC58" s="240">
        <f t="shared" si="46"/>
        <v>264.88809259787359</v>
      </c>
      <c r="AD58" s="240">
        <f t="shared" si="46"/>
        <v>269.61765882757442</v>
      </c>
      <c r="AE58" s="240">
        <f t="shared" si="46"/>
        <v>280.79299773172909</v>
      </c>
      <c r="AF58" s="240">
        <f t="shared" si="46"/>
        <v>301.20749219170318</v>
      </c>
      <c r="AG58" s="240">
        <f t="shared" si="46"/>
        <v>353.71474056860183</v>
      </c>
      <c r="AH58" s="240">
        <f t="shared" si="46"/>
        <v>351.96808732634668</v>
      </c>
    </row>
    <row r="59" spans="1:40">
      <c r="A59" s="68" t="s">
        <v>170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239">
        <f t="shared" si="48"/>
        <v>1.9670000000000001</v>
      </c>
      <c r="M59" s="239">
        <f t="shared" si="48"/>
        <v>4.6164761904761908</v>
      </c>
      <c r="N59" s="239">
        <f t="shared" si="48"/>
        <v>6.0378095238095231</v>
      </c>
      <c r="O59" s="239">
        <f t="shared" si="48"/>
        <v>33.500000000000007</v>
      </c>
      <c r="P59" s="239">
        <f t="shared" si="48"/>
        <v>29.634999999999994</v>
      </c>
      <c r="Q59" s="239">
        <f t="shared" si="47"/>
        <v>27.763000000000005</v>
      </c>
      <c r="R59" s="239">
        <f t="shared" si="47"/>
        <v>36.152999999999999</v>
      </c>
      <c r="S59" s="239">
        <f t="shared" si="47"/>
        <v>33.815000000000012</v>
      </c>
      <c r="T59" s="239">
        <f t="shared" si="47"/>
        <v>58.381</v>
      </c>
      <c r="U59" s="239">
        <f t="shared" si="47"/>
        <v>61.234999999999999</v>
      </c>
      <c r="V59" s="239">
        <f t="shared" si="47"/>
        <v>97.576689999999985</v>
      </c>
      <c r="W59" s="239">
        <f t="shared" si="47"/>
        <v>128.612728</v>
      </c>
      <c r="X59" s="239">
        <f t="shared" si="47"/>
        <v>213.91137599999999</v>
      </c>
      <c r="Y59" s="239">
        <f t="shared" si="47"/>
        <v>286.39451399999996</v>
      </c>
      <c r="Z59" s="240">
        <f t="shared" si="44"/>
        <v>222.47470992889248</v>
      </c>
      <c r="AA59" s="240">
        <f t="shared" si="45"/>
        <v>232.94618097300375</v>
      </c>
      <c r="AB59" s="240">
        <f t="shared" si="46"/>
        <v>253.79118941227117</v>
      </c>
      <c r="AC59" s="240">
        <f t="shared" si="46"/>
        <v>258.87431239059435</v>
      </c>
      <c r="AD59" s="240">
        <f t="shared" si="46"/>
        <v>263.16397569674024</v>
      </c>
      <c r="AE59" s="240">
        <f t="shared" si="46"/>
        <v>274.48256620415651</v>
      </c>
      <c r="AF59" s="240">
        <f t="shared" si="46"/>
        <v>294.32528088916649</v>
      </c>
      <c r="AG59" s="240">
        <f t="shared" si="46"/>
        <v>345.48345858154079</v>
      </c>
      <c r="AH59" s="240">
        <f t="shared" si="46"/>
        <v>343.85455391023908</v>
      </c>
    </row>
    <row r="60" spans="1:40">
      <c r="A60" s="68" t="s">
        <v>171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239">
        <f t="shared" si="48"/>
        <v>7.5259999999999998</v>
      </c>
      <c r="M60" s="239">
        <f t="shared" si="48"/>
        <v>5.4955238095238093</v>
      </c>
      <c r="N60" s="239">
        <f t="shared" si="48"/>
        <v>3.762095238095239</v>
      </c>
      <c r="O60" s="239">
        <f t="shared" si="48"/>
        <v>32.641000000000005</v>
      </c>
      <c r="P60" s="239">
        <f t="shared" si="48"/>
        <v>27.92100000000001</v>
      </c>
      <c r="Q60" s="239">
        <f t="shared" si="47"/>
        <v>39.908999999999999</v>
      </c>
      <c r="R60" s="239">
        <f t="shared" si="47"/>
        <v>47.199000000000005</v>
      </c>
      <c r="S60" s="239">
        <f t="shared" si="47"/>
        <v>60.441999999999993</v>
      </c>
      <c r="T60" s="239">
        <f t="shared" si="47"/>
        <v>73.017000000000024</v>
      </c>
      <c r="U60" s="239">
        <f t="shared" si="47"/>
        <v>59.903000000000006</v>
      </c>
      <c r="V60" s="239">
        <f t="shared" si="47"/>
        <v>109.429506</v>
      </c>
      <c r="W60" s="239">
        <f t="shared" si="47"/>
        <v>136.75787799999998</v>
      </c>
      <c r="X60" s="239">
        <f t="shared" si="47"/>
        <v>290.75498999999996</v>
      </c>
      <c r="Y60" s="240">
        <f t="shared" ref="Y60:Y66" si="49">Y$68*((SUM(T60:X60)/SUM(T$68:X$68)))</f>
        <v>315.58284115139458</v>
      </c>
      <c r="Z60" s="240">
        <f t="shared" si="44"/>
        <v>257.69251282476188</v>
      </c>
      <c r="AA60" s="240">
        <f t="shared" si="45"/>
        <v>272.52808296831734</v>
      </c>
      <c r="AB60" s="240">
        <f t="shared" si="46"/>
        <v>298.02147471058646</v>
      </c>
      <c r="AC60" s="240">
        <f t="shared" si="46"/>
        <v>307.04453734892161</v>
      </c>
      <c r="AD60" s="240">
        <f t="shared" si="46"/>
        <v>304.36220302449465</v>
      </c>
      <c r="AE60" s="240">
        <f t="shared" si="46"/>
        <v>320.94081771145136</v>
      </c>
      <c r="AF60" s="240">
        <f t="shared" si="46"/>
        <v>344.7011733403146</v>
      </c>
      <c r="AG60" s="240">
        <f t="shared" si="46"/>
        <v>404.68957121152596</v>
      </c>
      <c r="AH60" s="240">
        <f t="shared" si="46"/>
        <v>402.60492881179749</v>
      </c>
    </row>
    <row r="61" spans="1:40">
      <c r="A61" s="68" t="s">
        <v>172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239">
        <f t="shared" si="48"/>
        <v>4.5640000000000001</v>
      </c>
      <c r="M61" s="239">
        <f t="shared" si="48"/>
        <v>4.9739523809523813</v>
      </c>
      <c r="N61" s="239">
        <f t="shared" si="48"/>
        <v>21.934380952380955</v>
      </c>
      <c r="O61" s="239">
        <f t="shared" si="48"/>
        <v>17.596999999999998</v>
      </c>
      <c r="P61" s="239">
        <f t="shared" si="48"/>
        <v>29.876000000000001</v>
      </c>
      <c r="Q61" s="239">
        <f t="shared" si="47"/>
        <v>46.508999999999993</v>
      </c>
      <c r="R61" s="239">
        <f t="shared" si="47"/>
        <v>40.301000000000002</v>
      </c>
      <c r="S61" s="239">
        <f t="shared" si="47"/>
        <v>22.673999999999999</v>
      </c>
      <c r="T61" s="239">
        <f t="shared" si="47"/>
        <v>56.476999999999975</v>
      </c>
      <c r="U61" s="239">
        <f t="shared" si="47"/>
        <v>87.647999999999996</v>
      </c>
      <c r="V61" s="239">
        <f t="shared" si="47"/>
        <v>100.87404800000002</v>
      </c>
      <c r="W61" s="239">
        <f t="shared" si="47"/>
        <v>168.665558</v>
      </c>
      <c r="X61" s="239">
        <f t="shared" si="47"/>
        <v>267.93702200000007</v>
      </c>
      <c r="Y61" s="240">
        <f t="shared" si="49"/>
        <v>321.11339081967299</v>
      </c>
      <c r="Z61" s="240">
        <f t="shared" si="44"/>
        <v>267.24124566830386</v>
      </c>
      <c r="AA61" s="240">
        <f t="shared" si="45"/>
        <v>276.36077908431167</v>
      </c>
      <c r="AB61" s="240">
        <f t="shared" si="46"/>
        <v>304.57530984399807</v>
      </c>
      <c r="AC61" s="240">
        <f t="shared" si="46"/>
        <v>307.61125836305894</v>
      </c>
      <c r="AD61" s="240">
        <f t="shared" si="46"/>
        <v>309.82328681806456</v>
      </c>
      <c r="AE61" s="240">
        <f t="shared" si="46"/>
        <v>326.7287630077758</v>
      </c>
      <c r="AF61" s="240">
        <f t="shared" si="46"/>
        <v>349.79343970578191</v>
      </c>
      <c r="AG61" s="240">
        <f t="shared" si="46"/>
        <v>410.71772578395263</v>
      </c>
      <c r="AH61" s="240">
        <f t="shared" si="46"/>
        <v>408.09580423223105</v>
      </c>
    </row>
    <row r="62" spans="1:40">
      <c r="A62" s="68" t="s">
        <v>173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239">
        <f t="shared" si="48"/>
        <v>6.4660000000000002</v>
      </c>
      <c r="M62" s="239">
        <f t="shared" si="48"/>
        <v>6.2789999999999999</v>
      </c>
      <c r="N62" s="239">
        <f t="shared" si="48"/>
        <v>23.058476190476188</v>
      </c>
      <c r="O62" s="239">
        <f t="shared" si="48"/>
        <v>28.866000000000003</v>
      </c>
      <c r="P62" s="239">
        <f t="shared" si="48"/>
        <v>36.814999999999998</v>
      </c>
      <c r="Q62" s="239">
        <f t="shared" si="47"/>
        <v>31.196000000000005</v>
      </c>
      <c r="R62" s="239">
        <f t="shared" si="47"/>
        <v>39.56</v>
      </c>
      <c r="S62" s="239">
        <f t="shared" si="47"/>
        <v>26.555999999999997</v>
      </c>
      <c r="T62" s="239">
        <f t="shared" si="47"/>
        <v>69.507999999999967</v>
      </c>
      <c r="U62" s="239">
        <f t="shared" si="47"/>
        <v>61.215999999999994</v>
      </c>
      <c r="V62" s="239">
        <f t="shared" si="47"/>
        <v>87.154555999999985</v>
      </c>
      <c r="W62" s="239">
        <f t="shared" si="47"/>
        <v>137.42411399999997</v>
      </c>
      <c r="X62" s="239">
        <f t="shared" si="47"/>
        <v>220.54386600000004</v>
      </c>
      <c r="Y62" s="240">
        <f t="shared" si="49"/>
        <v>271.29048137590848</v>
      </c>
      <c r="Z62" s="240">
        <f t="shared" si="44"/>
        <v>219.62185321044538</v>
      </c>
      <c r="AA62" s="240">
        <f t="shared" si="45"/>
        <v>229.77095613255651</v>
      </c>
      <c r="AB62" s="240">
        <f t="shared" si="46"/>
        <v>252.45984925333678</v>
      </c>
      <c r="AC62" s="240">
        <f t="shared" si="46"/>
        <v>255.48599563211732</v>
      </c>
      <c r="AD62" s="240">
        <f t="shared" si="46"/>
        <v>257.74081235864423</v>
      </c>
      <c r="AE62" s="240">
        <f t="shared" si="46"/>
        <v>270.87758809266569</v>
      </c>
      <c r="AF62" s="240">
        <f t="shared" si="46"/>
        <v>290.44385354800932</v>
      </c>
      <c r="AG62" s="240">
        <f t="shared" si="46"/>
        <v>340.95390569886155</v>
      </c>
      <c r="AH62" s="240">
        <f t="shared" si="46"/>
        <v>338.86850503803311</v>
      </c>
    </row>
    <row r="63" spans="1:40">
      <c r="A63" s="68" t="s">
        <v>174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239">
        <f t="shared" si="48"/>
        <v>8.4450000000000003</v>
      </c>
      <c r="M63" s="239">
        <f t="shared" si="48"/>
        <v>5.4809999999999999</v>
      </c>
      <c r="N63" s="239">
        <f t="shared" si="48"/>
        <v>17.521047619047625</v>
      </c>
      <c r="O63" s="239">
        <f t="shared" si="48"/>
        <v>19.262999999999998</v>
      </c>
      <c r="P63" s="239">
        <f t="shared" si="48"/>
        <v>32.026000000000003</v>
      </c>
      <c r="Q63" s="239">
        <f t="shared" si="47"/>
        <v>39.794000000000004</v>
      </c>
      <c r="R63" s="239">
        <f t="shared" si="47"/>
        <v>41.51400000000001</v>
      </c>
      <c r="S63" s="239">
        <f t="shared" si="47"/>
        <v>29.338999999999999</v>
      </c>
      <c r="T63" s="239">
        <f t="shared" si="47"/>
        <v>62.688000000000002</v>
      </c>
      <c r="U63" s="239">
        <f t="shared" si="47"/>
        <v>67.640999999999991</v>
      </c>
      <c r="V63" s="239">
        <f t="shared" si="47"/>
        <v>111.01130200000001</v>
      </c>
      <c r="W63" s="239">
        <f t="shared" si="47"/>
        <v>161.57568200000003</v>
      </c>
      <c r="X63" s="239">
        <f t="shared" si="47"/>
        <v>285.59323199999994</v>
      </c>
      <c r="Y63" s="240">
        <f t="shared" si="49"/>
        <v>324.36766562469921</v>
      </c>
      <c r="Z63" s="240">
        <f t="shared" si="44"/>
        <v>268.35706798412753</v>
      </c>
      <c r="AA63" s="240">
        <f t="shared" si="45"/>
        <v>282.51568290790033</v>
      </c>
      <c r="AB63" s="240">
        <f t="shared" si="46"/>
        <v>309.51176649608703</v>
      </c>
      <c r="AC63" s="240">
        <f t="shared" si="46"/>
        <v>314.69946510115676</v>
      </c>
      <c r="AD63" s="240">
        <f t="shared" si="46"/>
        <v>314.55373690718943</v>
      </c>
      <c r="AE63" s="240">
        <f t="shared" si="46"/>
        <v>332.08484190366966</v>
      </c>
      <c r="AF63" s="240">
        <f t="shared" si="46"/>
        <v>356.27648929266127</v>
      </c>
      <c r="AG63" s="240">
        <f t="shared" si="46"/>
        <v>418.06456751435695</v>
      </c>
      <c r="AH63" s="240">
        <f t="shared" si="46"/>
        <v>415.51825256611625</v>
      </c>
    </row>
    <row r="64" spans="1:40">
      <c r="A64" s="68" t="s">
        <v>175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239">
        <f t="shared" si="48"/>
        <v>5.899</v>
      </c>
      <c r="M64" s="239">
        <f t="shared" si="48"/>
        <v>5.0723333333333329</v>
      </c>
      <c r="N64" s="239">
        <f t="shared" si="48"/>
        <v>32.614238095238093</v>
      </c>
      <c r="O64" s="239">
        <f t="shared" si="48"/>
        <v>16.701000000000001</v>
      </c>
      <c r="P64" s="239">
        <f t="shared" si="48"/>
        <v>33.417999999999992</v>
      </c>
      <c r="Q64" s="239">
        <f t="shared" si="47"/>
        <v>46.598999999999997</v>
      </c>
      <c r="R64" s="239">
        <f t="shared" si="47"/>
        <v>37.129000000000005</v>
      </c>
      <c r="S64" s="239">
        <f t="shared" si="47"/>
        <v>47.326000000000008</v>
      </c>
      <c r="T64" s="239">
        <f t="shared" si="47"/>
        <v>60.768000000000001</v>
      </c>
      <c r="U64" s="239">
        <f t="shared" si="47"/>
        <v>70.793000000000006</v>
      </c>
      <c r="V64" s="239">
        <f t="shared" si="47"/>
        <v>82.402803999999989</v>
      </c>
      <c r="W64" s="239">
        <f t="shared" si="47"/>
        <v>144.88539799999995</v>
      </c>
      <c r="X64" s="239">
        <f t="shared" si="47"/>
        <v>260.04875400000003</v>
      </c>
      <c r="Y64" s="240">
        <f t="shared" si="49"/>
        <v>291.57269152315575</v>
      </c>
      <c r="Z64" s="240">
        <f t="shared" si="44"/>
        <v>239.9772461637036</v>
      </c>
      <c r="AA64" s="240">
        <f t="shared" si="45"/>
        <v>250.10886144306551</v>
      </c>
      <c r="AB64" s="240">
        <f t="shared" si="46"/>
        <v>277.72375159552212</v>
      </c>
      <c r="AC64" s="240">
        <f t="shared" si="46"/>
        <v>282.39917069500359</v>
      </c>
      <c r="AD64" s="240">
        <f t="shared" si="46"/>
        <v>281.47786900460557</v>
      </c>
      <c r="AE64" s="240">
        <f t="shared" si="46"/>
        <v>296.87287555137908</v>
      </c>
      <c r="AF64" s="240">
        <f t="shared" si="46"/>
        <v>318.48223125907703</v>
      </c>
      <c r="AG64" s="240">
        <f t="shared" si="46"/>
        <v>374.34195338187357</v>
      </c>
      <c r="AH64" s="240">
        <f t="shared" si="46"/>
        <v>371.92266413281709</v>
      </c>
    </row>
    <row r="65" spans="1:34">
      <c r="A65" s="68" t="s">
        <v>176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239">
        <f t="shared" si="48"/>
        <v>6.9180000000000001</v>
      </c>
      <c r="M65" s="239">
        <f t="shared" si="48"/>
        <v>6.5682857142857145</v>
      </c>
      <c r="N65" s="239">
        <f t="shared" si="48"/>
        <v>32.193047619047618</v>
      </c>
      <c r="O65" s="239">
        <f t="shared" si="48"/>
        <v>30.933999999999997</v>
      </c>
      <c r="P65" s="239">
        <f t="shared" si="48"/>
        <v>35.001999999999988</v>
      </c>
      <c r="Q65" s="239">
        <f t="shared" si="47"/>
        <v>38.658000000000008</v>
      </c>
      <c r="R65" s="239">
        <f t="shared" si="47"/>
        <v>41.559000000000012</v>
      </c>
      <c r="S65" s="239">
        <f t="shared" si="47"/>
        <v>46.649000000000015</v>
      </c>
      <c r="T65" s="239">
        <f t="shared" si="47"/>
        <v>66.587000000000018</v>
      </c>
      <c r="U65" s="239">
        <f t="shared" si="47"/>
        <v>48.204000000000001</v>
      </c>
      <c r="V65" s="239">
        <f t="shared" si="47"/>
        <v>130.77665999999999</v>
      </c>
      <c r="W65" s="239">
        <f t="shared" si="47"/>
        <v>167.71130799999997</v>
      </c>
      <c r="X65" s="239">
        <f t="shared" si="47"/>
        <v>248.69980400000003</v>
      </c>
      <c r="Y65" s="240">
        <f t="shared" si="49"/>
        <v>311.86875059453814</v>
      </c>
      <c r="Z65" s="240">
        <f t="shared" si="44"/>
        <v>256.23302740073734</v>
      </c>
      <c r="AA65" s="240">
        <f t="shared" si="45"/>
        <v>273.77307653777393</v>
      </c>
      <c r="AB65" s="240">
        <f t="shared" si="46"/>
        <v>294.50360283430723</v>
      </c>
      <c r="AC65" s="240">
        <f t="shared" si="46"/>
        <v>296.44965293529253</v>
      </c>
      <c r="AD65" s="240">
        <f t="shared" si="46"/>
        <v>300.57750578904154</v>
      </c>
      <c r="AE65" s="240">
        <f t="shared" si="46"/>
        <v>316.90312288153081</v>
      </c>
      <c r="AF65" s="240">
        <f t="shared" si="46"/>
        <v>339.95572499494176</v>
      </c>
      <c r="AG65" s="240">
        <f t="shared" si="46"/>
        <v>397.83441059938696</v>
      </c>
      <c r="AH65" s="240">
        <f t="shared" si="46"/>
        <v>395.41870452809007</v>
      </c>
    </row>
    <row r="66" spans="1:34">
      <c r="A66" s="68" t="s">
        <v>177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239">
        <f t="shared" si="48"/>
        <v>5.234</v>
      </c>
      <c r="M66" s="239">
        <f t="shared" si="48"/>
        <v>6.9381428571428572</v>
      </c>
      <c r="N66" s="239">
        <f t="shared" si="48"/>
        <v>25.494333333333337</v>
      </c>
      <c r="O66" s="239">
        <f t="shared" si="48"/>
        <v>16.505000000000003</v>
      </c>
      <c r="P66" s="239">
        <f t="shared" si="48"/>
        <v>38.905999999999999</v>
      </c>
      <c r="Q66" s="239">
        <f t="shared" si="47"/>
        <v>52.981000000000002</v>
      </c>
      <c r="R66" s="239">
        <f t="shared" si="47"/>
        <v>31.408999999999999</v>
      </c>
      <c r="S66" s="239">
        <f t="shared" si="47"/>
        <v>47.339000000000006</v>
      </c>
      <c r="T66" s="239">
        <f t="shared" si="47"/>
        <v>65.447000000000003</v>
      </c>
      <c r="U66" s="239">
        <f t="shared" si="47"/>
        <v>77.782000000000011</v>
      </c>
      <c r="V66" s="239">
        <f t="shared" si="47"/>
        <v>122.69000799999998</v>
      </c>
      <c r="W66" s="239">
        <f t="shared" si="47"/>
        <v>138.80340800000002</v>
      </c>
      <c r="X66" s="239">
        <f t="shared" si="47"/>
        <v>202.33155000000002</v>
      </c>
      <c r="Y66" s="240">
        <f t="shared" si="49"/>
        <v>285.99279905591783</v>
      </c>
      <c r="Z66" s="240">
        <f t="shared" si="44"/>
        <v>233.73484020883313</v>
      </c>
      <c r="AA66" s="240">
        <f t="shared" si="45"/>
        <v>241.4352601808331</v>
      </c>
      <c r="AB66" s="240">
        <f t="shared" si="46"/>
        <v>257.99436618427518</v>
      </c>
      <c r="AC66" s="240">
        <f t="shared" si="46"/>
        <v>261.4364441041306</v>
      </c>
      <c r="AD66" s="240">
        <f t="shared" si="46"/>
        <v>268.6418980987707</v>
      </c>
      <c r="AE66" s="240">
        <f t="shared" si="46"/>
        <v>281.6146388992961</v>
      </c>
      <c r="AF66" s="240">
        <f t="shared" si="46"/>
        <v>300.71619437323523</v>
      </c>
      <c r="AG66" s="240">
        <f t="shared" si="46"/>
        <v>352.10368369650894</v>
      </c>
      <c r="AH66" s="240">
        <f t="shared" si="46"/>
        <v>350.60157367317345</v>
      </c>
    </row>
    <row r="67" spans="1:34">
      <c r="A67" s="68" t="s">
        <v>178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239">
        <f t="shared" si="48"/>
        <v>6.4809999999999999</v>
      </c>
      <c r="M67" s="239">
        <f t="shared" si="48"/>
        <v>4.9660476190476182</v>
      </c>
      <c r="N67" s="239">
        <f t="shared" si="48"/>
        <v>28.543095238095241</v>
      </c>
      <c r="O67" s="239">
        <f t="shared" si="48"/>
        <v>28.669</v>
      </c>
      <c r="P67" s="239">
        <f t="shared" si="48"/>
        <v>34.573</v>
      </c>
      <c r="Q67" s="239">
        <f t="shared" si="47"/>
        <v>33.708999999999996</v>
      </c>
      <c r="R67" s="239">
        <f t="shared" si="47"/>
        <v>43.457999999999998</v>
      </c>
      <c r="S67" s="239">
        <f t="shared" si="47"/>
        <v>39.517999999999986</v>
      </c>
      <c r="T67" s="239">
        <f t="shared" si="47"/>
        <v>93.326000000000008</v>
      </c>
      <c r="U67" s="239">
        <f t="shared" si="47"/>
        <v>98.71599999999998</v>
      </c>
      <c r="V67" s="239">
        <f t="shared" si="47"/>
        <v>124.60374199999998</v>
      </c>
      <c r="W67" s="239">
        <f t="shared" si="47"/>
        <v>166.77639799999994</v>
      </c>
      <c r="X67" s="239">
        <f t="shared" si="47"/>
        <v>293.12837999999994</v>
      </c>
      <c r="Y67" s="240">
        <f t="shared" ref="Y67:AH67" si="50">Y68-SUM(Y56:Y66)</f>
        <v>254.29458785471297</v>
      </c>
      <c r="Z67" s="240">
        <f t="shared" si="50"/>
        <v>264.77880748593861</v>
      </c>
      <c r="AA67" s="240">
        <f t="shared" si="50"/>
        <v>270.89917248443635</v>
      </c>
      <c r="AB67" s="240">
        <f t="shared" si="50"/>
        <v>292.53555331358803</v>
      </c>
      <c r="AC67" s="240">
        <f t="shared" si="50"/>
        <v>294.42882377281057</v>
      </c>
      <c r="AD67" s="240">
        <f t="shared" si="50"/>
        <v>288.85270295461851</v>
      </c>
      <c r="AE67" s="240">
        <f t="shared" si="50"/>
        <v>314.66450382419634</v>
      </c>
      <c r="AF67" s="240">
        <f t="shared" si="50"/>
        <v>335.17907255725868</v>
      </c>
      <c r="AG67" s="240">
        <f t="shared" si="50"/>
        <v>391.99456281803623</v>
      </c>
      <c r="AH67" s="240">
        <f t="shared" si="50"/>
        <v>389.05053561861996</v>
      </c>
    </row>
    <row r="68" spans="1:34">
      <c r="A68" s="244" t="s">
        <v>179</v>
      </c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6">
        <f>SUM(L56:L67)</f>
        <v>62.041000000000004</v>
      </c>
      <c r="M68" s="246">
        <f t="shared" ref="M68:X68" si="51">SUM(M56:M67)</f>
        <v>62.85676190476191</v>
      </c>
      <c r="N68" s="246">
        <f t="shared" si="51"/>
        <v>205.37766666666667</v>
      </c>
      <c r="O68" s="246">
        <f t="shared" si="51"/>
        <v>294.12900000000002</v>
      </c>
      <c r="P68" s="246">
        <f t="shared" si="51"/>
        <v>369.62799999999999</v>
      </c>
      <c r="Q68" s="246">
        <f t="shared" si="51"/>
        <v>435.65199999999999</v>
      </c>
      <c r="R68" s="246">
        <f t="shared" si="51"/>
        <v>471.32500000000005</v>
      </c>
      <c r="S68" s="246">
        <f t="shared" si="51"/>
        <v>437.78399999999999</v>
      </c>
      <c r="T68" s="246">
        <f t="shared" si="51"/>
        <v>759.928</v>
      </c>
      <c r="U68" s="246">
        <f t="shared" si="51"/>
        <v>821.69899999999996</v>
      </c>
      <c r="V68" s="246">
        <f t="shared" si="51"/>
        <v>1208.638416</v>
      </c>
      <c r="W68" s="246">
        <f t="shared" si="51"/>
        <v>1717.5093059999997</v>
      </c>
      <c r="X68" s="246">
        <f t="shared" si="51"/>
        <v>2868.3289379999997</v>
      </c>
      <c r="Y68" s="247">
        <f t="shared" ref="Y68:AH68" si="52">Y8</f>
        <v>3475</v>
      </c>
      <c r="Z68" s="247">
        <f t="shared" si="52"/>
        <v>2850</v>
      </c>
      <c r="AA68" s="247">
        <f t="shared" si="52"/>
        <v>2975</v>
      </c>
      <c r="AB68" s="247">
        <f t="shared" si="52"/>
        <v>3250</v>
      </c>
      <c r="AC68" s="247">
        <f t="shared" si="52"/>
        <v>3300</v>
      </c>
      <c r="AD68" s="247">
        <f t="shared" si="52"/>
        <v>3325</v>
      </c>
      <c r="AE68" s="247">
        <f t="shared" si="52"/>
        <v>3500</v>
      </c>
      <c r="AF68" s="247">
        <f t="shared" si="52"/>
        <v>3750</v>
      </c>
      <c r="AG68" s="247">
        <f t="shared" si="52"/>
        <v>4400</v>
      </c>
      <c r="AH68" s="247">
        <f t="shared" si="52"/>
        <v>4375</v>
      </c>
    </row>
    <row r="69" spans="1:34"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</row>
    <row r="70" spans="1:34">
      <c r="X70" s="235"/>
      <c r="Y70" s="235"/>
      <c r="Z70" s="235"/>
      <c r="AA70" s="235"/>
      <c r="AB70" s="235"/>
      <c r="AC70" s="235"/>
      <c r="AD70" s="235"/>
      <c r="AE70" s="235"/>
      <c r="AF70" s="235"/>
      <c r="AG70" s="235"/>
      <c r="AH70" s="235"/>
    </row>
    <row r="71" spans="1:34" ht="12" thickBot="1">
      <c r="A71" s="234" t="s">
        <v>227</v>
      </c>
    </row>
    <row r="72" spans="1:34" ht="12" thickBot="1">
      <c r="A72" s="236"/>
      <c r="B72" s="236">
        <v>2001</v>
      </c>
      <c r="C72" s="236">
        <v>2002</v>
      </c>
      <c r="D72" s="236">
        <v>2003</v>
      </c>
      <c r="E72" s="236">
        <v>2004</v>
      </c>
      <c r="F72" s="236">
        <v>2005</v>
      </c>
      <c r="G72" s="236">
        <v>2006</v>
      </c>
      <c r="H72" s="236">
        <v>2007</v>
      </c>
      <c r="I72" s="237">
        <f t="shared" ref="I72:AH72" si="53">I2</f>
        <v>2008</v>
      </c>
      <c r="J72" s="237">
        <f t="shared" si="53"/>
        <v>2009</v>
      </c>
      <c r="K72" s="237">
        <f t="shared" si="53"/>
        <v>2010</v>
      </c>
      <c r="L72" s="237">
        <f t="shared" si="53"/>
        <v>2011</v>
      </c>
      <c r="M72" s="238">
        <f t="shared" si="53"/>
        <v>2012</v>
      </c>
      <c r="N72" s="238">
        <f t="shared" si="53"/>
        <v>2013</v>
      </c>
      <c r="O72" s="238">
        <f t="shared" si="53"/>
        <v>2014</v>
      </c>
      <c r="P72" s="238">
        <f t="shared" si="53"/>
        <v>2015</v>
      </c>
      <c r="Q72" s="238">
        <f t="shared" si="53"/>
        <v>2016</v>
      </c>
      <c r="R72" s="238">
        <f t="shared" si="53"/>
        <v>2017</v>
      </c>
      <c r="S72" s="238">
        <f t="shared" si="53"/>
        <v>2018</v>
      </c>
      <c r="T72" s="238">
        <f t="shared" si="53"/>
        <v>2019</v>
      </c>
      <c r="U72" s="238">
        <f t="shared" si="53"/>
        <v>2020</v>
      </c>
      <c r="V72" s="238">
        <f t="shared" si="53"/>
        <v>2021</v>
      </c>
      <c r="W72" s="238">
        <f t="shared" si="53"/>
        <v>2022</v>
      </c>
      <c r="X72" s="238">
        <f t="shared" si="53"/>
        <v>2023</v>
      </c>
      <c r="Y72" s="238">
        <f t="shared" si="53"/>
        <v>2024</v>
      </c>
      <c r="Z72" s="238">
        <f t="shared" si="53"/>
        <v>2025</v>
      </c>
      <c r="AA72" s="238">
        <f t="shared" si="53"/>
        <v>2026</v>
      </c>
      <c r="AB72" s="238">
        <f t="shared" si="53"/>
        <v>2027</v>
      </c>
      <c r="AC72" s="238">
        <f t="shared" si="53"/>
        <v>2028</v>
      </c>
      <c r="AD72" s="238">
        <f t="shared" si="53"/>
        <v>2029</v>
      </c>
      <c r="AE72" s="238">
        <f t="shared" si="53"/>
        <v>2030</v>
      </c>
      <c r="AF72" s="238">
        <f t="shared" si="53"/>
        <v>2031</v>
      </c>
      <c r="AG72" s="238">
        <f t="shared" si="53"/>
        <v>2032</v>
      </c>
      <c r="AH72" s="238">
        <f t="shared" si="53"/>
        <v>2033</v>
      </c>
    </row>
    <row r="73" spans="1:34">
      <c r="A73" s="68" t="s">
        <v>167</v>
      </c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1"/>
      <c r="M73" s="239">
        <f>(monthly_data!AG471)*42/1000</f>
        <v>0.29399999999999998</v>
      </c>
      <c r="N73" s="239">
        <f>(monthly_data!AG483)*42/1000</f>
        <v>3.3180000000000001</v>
      </c>
      <c r="O73" s="239">
        <f>(monthly_data!AG495)*42/1000</f>
        <v>28.14</v>
      </c>
      <c r="P73" s="239">
        <f>(monthly_data!AG507)*42/1000</f>
        <v>16.925999999999998</v>
      </c>
      <c r="Q73" s="239">
        <f>(monthly_data!AG519)*42/1000</f>
        <v>33.305999999999997</v>
      </c>
      <c r="R73" s="239">
        <f>(monthly_data!AG531)*42/1000</f>
        <v>42.966000000000001</v>
      </c>
      <c r="S73" s="239">
        <f>(monthly_data!AG543)*42/1000</f>
        <v>46.83</v>
      </c>
      <c r="T73" s="239">
        <f>(monthly_data!AG555)*42/1000</f>
        <v>82.53</v>
      </c>
      <c r="U73" s="239">
        <f>(monthly_data!AG567)*42/1000</f>
        <v>71.988</v>
      </c>
      <c r="V73" s="239">
        <f>(monthly_data!AG579)*42/1000</f>
        <v>71.944949999999992</v>
      </c>
      <c r="W73" s="239">
        <f>(monthly_data!AG591)*42/1000</f>
        <v>113.808114</v>
      </c>
      <c r="X73" s="239">
        <f>(monthly_data!AG603)*42/1000</f>
        <v>149.40151800000001</v>
      </c>
      <c r="Y73" s="239">
        <f>(monthly_data!AG615)*42/1000</f>
        <v>267.93248999999997</v>
      </c>
      <c r="Z73" s="240">
        <f t="shared" ref="Z73:AH73" si="54">Y84+Z40+Z24-Z56</f>
        <v>279.40711250649838</v>
      </c>
      <c r="AA73" s="240">
        <f t="shared" si="54"/>
        <v>145.12409602986043</v>
      </c>
      <c r="AB73" s="240">
        <f t="shared" si="54"/>
        <v>128.62378375433173</v>
      </c>
      <c r="AC73" s="240">
        <f t="shared" si="54"/>
        <v>97.230826113807979</v>
      </c>
      <c r="AD73" s="240">
        <f t="shared" si="54"/>
        <v>50.775412968567309</v>
      </c>
      <c r="AE73" s="240">
        <f t="shared" si="54"/>
        <v>-21.190702644768493</v>
      </c>
      <c r="AF73" s="240">
        <f t="shared" si="54"/>
        <v>-138.26325380029195</v>
      </c>
      <c r="AG73" s="240">
        <f t="shared" si="54"/>
        <v>-241.46454379362117</v>
      </c>
      <c r="AH73" s="240">
        <f t="shared" si="54"/>
        <v>-367.6189433577382</v>
      </c>
    </row>
    <row r="74" spans="1:34">
      <c r="A74" s="68" t="s">
        <v>168</v>
      </c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1"/>
      <c r="M74" s="239">
        <f>(monthly_data!AG472)*42/1000</f>
        <v>0.29399999999999998</v>
      </c>
      <c r="N74" s="239">
        <f>(monthly_data!AG484)*42/1000</f>
        <v>2.4359999999999999</v>
      </c>
      <c r="O74" s="239">
        <f>(monthly_data!AG496)*42/1000</f>
        <v>26.334</v>
      </c>
      <c r="P74" s="239">
        <f>(monthly_data!AG508)*42/1000</f>
        <v>16.044</v>
      </c>
      <c r="Q74" s="239">
        <f>(monthly_data!AG520)*42/1000</f>
        <v>31.71</v>
      </c>
      <c r="R74" s="239">
        <f>(monthly_data!AG532)*42/1000</f>
        <v>42.503999999999998</v>
      </c>
      <c r="S74" s="239">
        <f>(monthly_data!AG544)*42/1000</f>
        <v>42.503999999999998</v>
      </c>
      <c r="T74" s="239">
        <f>(monthly_data!AG556)*42/1000</f>
        <v>88.073999999999998</v>
      </c>
      <c r="U74" s="239">
        <f>(monthly_data!AG568)*42/1000</f>
        <v>58.295999999999999</v>
      </c>
      <c r="V74" s="239">
        <f>(monthly_data!AG580)*42/1000</f>
        <v>83.111532000000011</v>
      </c>
      <c r="W74" s="239">
        <f>(monthly_data!AG592)*42/1000</f>
        <v>115.41784799999999</v>
      </c>
      <c r="X74" s="239">
        <f>(monthly_data!AG604)*42/1000</f>
        <v>149.736006</v>
      </c>
      <c r="Y74" s="239">
        <f>(monthly_data!AG616)*42/1000</f>
        <v>264.19764000000004</v>
      </c>
      <c r="Z74" s="240">
        <f t="shared" ref="Z74:AH84" si="55">Z73+Z41+Z25-Z57</f>
        <v>280.74897327511076</v>
      </c>
      <c r="AA74" s="240">
        <f t="shared" si="55"/>
        <v>148.86125245926564</v>
      </c>
      <c r="AB74" s="240">
        <f t="shared" si="55"/>
        <v>128.18777781022629</v>
      </c>
      <c r="AC74" s="240">
        <f t="shared" si="55"/>
        <v>94.057159930481475</v>
      </c>
      <c r="AD74" s="240">
        <f t="shared" si="55"/>
        <v>42.361445135050531</v>
      </c>
      <c r="AE74" s="240">
        <f t="shared" si="55"/>
        <v>-29.758153860662048</v>
      </c>
      <c r="AF74" s="240">
        <f t="shared" si="55"/>
        <v>-146.01605487977378</v>
      </c>
      <c r="AG74" s="240">
        <f t="shared" si="55"/>
        <v>-253.00128938954521</v>
      </c>
      <c r="AH74" s="240">
        <f t="shared" si="55"/>
        <v>-380.01187161375185</v>
      </c>
    </row>
    <row r="75" spans="1:34">
      <c r="A75" s="68" t="s">
        <v>169</v>
      </c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1"/>
      <c r="M75" s="239">
        <f>(monthly_data!AG473)*42/1000</f>
        <v>0.29399999999999998</v>
      </c>
      <c r="N75" s="239">
        <f>(monthly_data!AG485)*42/1000</f>
        <v>4.032</v>
      </c>
      <c r="O75" s="239">
        <f>(monthly_data!AG497)*42/1000</f>
        <v>25.158000000000001</v>
      </c>
      <c r="P75" s="239">
        <f>(monthly_data!AG509)*42/1000</f>
        <v>22.344000000000001</v>
      </c>
      <c r="Q75" s="239">
        <f>(monthly_data!AG521)*42/1000</f>
        <v>27.803999999999998</v>
      </c>
      <c r="R75" s="239">
        <f>(monthly_data!AG533)*42/1000</f>
        <v>38.64</v>
      </c>
      <c r="S75" s="239">
        <f>(monthly_data!AG545)*42/1000</f>
        <v>54.81</v>
      </c>
      <c r="T75" s="239">
        <f>(monthly_data!AG557)*42/1000</f>
        <v>86.058000000000007</v>
      </c>
      <c r="U75" s="239">
        <f>(monthly_data!AG569)*42/1000</f>
        <v>60.101999999999997</v>
      </c>
      <c r="V75" s="239">
        <f>(monthly_data!AG581)*42/1000</f>
        <v>82.632900000000006</v>
      </c>
      <c r="W75" s="239">
        <f>(monthly_data!AG593)*42/1000</f>
        <v>113.62575</v>
      </c>
      <c r="X75" s="239">
        <f>(monthly_data!AG605)*42/1000</f>
        <v>164.59031400000001</v>
      </c>
      <c r="Y75" s="239">
        <f>(monthly_data!AG617)*42/1000</f>
        <v>264.25606199999999</v>
      </c>
      <c r="Z75" s="240">
        <f t="shared" si="55"/>
        <v>303.56757724430463</v>
      </c>
      <c r="AA75" s="240">
        <f t="shared" si="55"/>
        <v>140.26887846176865</v>
      </c>
      <c r="AB75" s="240">
        <f t="shared" si="55"/>
        <v>116.80190281939036</v>
      </c>
      <c r="AC75" s="240">
        <f t="shared" si="55"/>
        <v>81.367893520728728</v>
      </c>
      <c r="AD75" s="240">
        <f t="shared" si="55"/>
        <v>24.968695458281616</v>
      </c>
      <c r="AE75" s="240">
        <f t="shared" si="55"/>
        <v>-50.859520572948099</v>
      </c>
      <c r="AF75" s="240">
        <f t="shared" si="55"/>
        <v>-167.35080909756579</v>
      </c>
      <c r="AG75" s="240">
        <f t="shared" si="55"/>
        <v>-280.64182411223896</v>
      </c>
      <c r="AH75" s="240">
        <f t="shared" si="55"/>
        <v>-408.10957976396821</v>
      </c>
    </row>
    <row r="76" spans="1:34">
      <c r="A76" s="68" t="s">
        <v>170</v>
      </c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1"/>
      <c r="M76" s="239">
        <f>(monthly_data!AG474)*42/1000</f>
        <v>0.42</v>
      </c>
      <c r="N76" s="239">
        <f>(monthly_data!AG486)*42/1000</f>
        <v>3.1920000000000002</v>
      </c>
      <c r="O76" s="239">
        <f>(monthly_data!AG498)*42/1000</f>
        <v>15.708</v>
      </c>
      <c r="P76" s="239">
        <f>(monthly_data!AG510)*42/1000</f>
        <v>19.614000000000001</v>
      </c>
      <c r="Q76" s="239">
        <f>(monthly_data!AG522)*42/1000</f>
        <v>38.933999999999997</v>
      </c>
      <c r="R76" s="239">
        <f>(monthly_data!AG534)*42/1000</f>
        <v>38.892000000000003</v>
      </c>
      <c r="S76" s="239">
        <f>(monthly_data!AG546)*42/1000</f>
        <v>65.477999999999994</v>
      </c>
      <c r="T76" s="239">
        <f>(monthly_data!AG558)*42/1000</f>
        <v>83.328000000000003</v>
      </c>
      <c r="U76" s="239">
        <f>(monthly_data!AG570)*42/1000</f>
        <v>65.394000000000005</v>
      </c>
      <c r="V76" s="239">
        <f>(monthly_data!AG582)*42/1000</f>
        <v>80.703210000000013</v>
      </c>
      <c r="W76" s="239">
        <f>(monthly_data!AG594)*42/1000</f>
        <v>120.63202199999999</v>
      </c>
      <c r="X76" s="239">
        <f>(monthly_data!AG606)*42/1000</f>
        <v>169.43593799999999</v>
      </c>
      <c r="Y76" s="239">
        <f>(monthly_data!AG618)*42/1000</f>
        <v>282.23554799999999</v>
      </c>
      <c r="Z76" s="240">
        <f t="shared" si="55"/>
        <v>301.71977283712181</v>
      </c>
      <c r="AA76" s="240">
        <f t="shared" si="55"/>
        <v>125.34887039595739</v>
      </c>
      <c r="AB76" s="240">
        <f t="shared" si="55"/>
        <v>97.916438949114792</v>
      </c>
      <c r="AC76" s="240">
        <f t="shared" si="55"/>
        <v>60.547591153832684</v>
      </c>
      <c r="AD76" s="240">
        <f t="shared" si="55"/>
        <v>1.9746759552596131</v>
      </c>
      <c r="AE76" s="240">
        <f t="shared" si="55"/>
        <v>-78.621702676372848</v>
      </c>
      <c r="AF76" s="240">
        <f t="shared" si="55"/>
        <v>-195.61115808329515</v>
      </c>
      <c r="AG76" s="240">
        <f t="shared" si="55"/>
        <v>-315.59264252376863</v>
      </c>
      <c r="AH76" s="240">
        <f t="shared" si="55"/>
        <v>-443.48455767575564</v>
      </c>
    </row>
    <row r="77" spans="1:34">
      <c r="A77" s="68" t="s">
        <v>171</v>
      </c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1"/>
      <c r="M77" s="239">
        <f>(monthly_data!AG475)*42/1000</f>
        <v>0</v>
      </c>
      <c r="N77" s="239">
        <f>(monthly_data!AG487)*42/1000</f>
        <v>5.46</v>
      </c>
      <c r="O77" s="239">
        <f>(monthly_data!AG499)*42/1000</f>
        <v>16.463999999999999</v>
      </c>
      <c r="P77" s="239">
        <f>(monthly_data!AG511)*42/1000</f>
        <v>30.071999999999999</v>
      </c>
      <c r="Q77" s="239">
        <f>(monthly_data!AG523)*42/1000</f>
        <v>32.508000000000003</v>
      </c>
      <c r="R77" s="239">
        <f>(monthly_data!AG535)*42/1000</f>
        <v>36.161999999999999</v>
      </c>
      <c r="S77" s="239">
        <f>(monthly_data!AG547)*42/1000</f>
        <v>40.823999999999998</v>
      </c>
      <c r="T77" s="239">
        <f>(monthly_data!AG559)*42/1000</f>
        <v>77.825999999999993</v>
      </c>
      <c r="U77" s="239">
        <f>(monthly_data!AG571)*42/1000</f>
        <v>73.122</v>
      </c>
      <c r="V77" s="239">
        <f>(monthly_data!AG583)*42/1000</f>
        <v>73.903704000000005</v>
      </c>
      <c r="W77" s="239">
        <f>(monthly_data!AG595)*42/1000</f>
        <v>137.48414399999999</v>
      </c>
      <c r="X77" s="239">
        <f>(monthly_data!AG607)*42/1000</f>
        <v>152.77894800000001</v>
      </c>
      <c r="Y77" s="240">
        <f t="shared" ref="Y77:Y78" si="56">Y76+Y44+Y28-Y60</f>
        <v>213.44881215551851</v>
      </c>
      <c r="Z77" s="240">
        <f t="shared" si="55"/>
        <v>263.23799954692532</v>
      </c>
      <c r="AA77" s="240">
        <f t="shared" si="55"/>
        <v>97.212084103220036</v>
      </c>
      <c r="AB77" s="240">
        <f t="shared" si="55"/>
        <v>65.573918996421128</v>
      </c>
      <c r="AC77" s="240">
        <f t="shared" si="55"/>
        <v>20.898141133250761</v>
      </c>
      <c r="AD77" s="240">
        <f t="shared" si="55"/>
        <v>-37.524448370806397</v>
      </c>
      <c r="AE77" s="240">
        <f t="shared" si="55"/>
        <v>-123.67642146114741</v>
      </c>
      <c r="AF77" s="240">
        <f t="shared" si="55"/>
        <v>-242.70587015899872</v>
      </c>
      <c r="AG77" s="240">
        <f t="shared" si="55"/>
        <v>-373.10345447528982</v>
      </c>
      <c r="AH77" s="240">
        <f t="shared" si="55"/>
        <v>-501.71499300079563</v>
      </c>
    </row>
    <row r="78" spans="1:34">
      <c r="A78" s="68" t="s">
        <v>172</v>
      </c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1"/>
      <c r="M78" s="239">
        <f>(monthly_data!AG476)*42/1000</f>
        <v>0</v>
      </c>
      <c r="N78" s="239">
        <f>(monthly_data!AG488)*42/1000</f>
        <v>3.234</v>
      </c>
      <c r="O78" s="239">
        <f>(monthly_data!AG500)*42/1000</f>
        <v>14.532</v>
      </c>
      <c r="P78" s="239">
        <f>(monthly_data!AG512)*42/1000</f>
        <v>29.148</v>
      </c>
      <c r="Q78" s="239">
        <f>(monthly_data!AG524)*42/1000</f>
        <v>33.18</v>
      </c>
      <c r="R78" s="239">
        <f>(monthly_data!AG536)*42/1000</f>
        <v>33.012</v>
      </c>
      <c r="S78" s="239">
        <f>(monthly_data!AG548)*42/1000</f>
        <v>47.46</v>
      </c>
      <c r="T78" s="239">
        <f>(monthly_data!AG560)*42/1000</f>
        <v>86.31</v>
      </c>
      <c r="U78" s="239">
        <f>(monthly_data!AG572)*42/1000</f>
        <v>64.512</v>
      </c>
      <c r="V78" s="239">
        <f>(monthly_data!AG584)*42/1000</f>
        <v>80.638655999999997</v>
      </c>
      <c r="W78" s="239">
        <f>(monthly_data!AG596)*42/1000</f>
        <v>115.14858599999999</v>
      </c>
      <c r="X78" s="239">
        <f>(monthly_data!AG608)*42/1000</f>
        <v>143.67792599999999</v>
      </c>
      <c r="Y78" s="240">
        <f t="shared" si="56"/>
        <v>199.81611834489536</v>
      </c>
      <c r="Z78" s="240">
        <f t="shared" si="55"/>
        <v>210.90214279658659</v>
      </c>
      <c r="AA78" s="240">
        <f t="shared" si="55"/>
        <v>61.643965267623003</v>
      </c>
      <c r="AB78" s="240">
        <f t="shared" si="55"/>
        <v>20.740918915542466</v>
      </c>
      <c r="AC78" s="240">
        <f t="shared" si="55"/>
        <v>-23.55937289191246</v>
      </c>
      <c r="AD78" s="240">
        <f t="shared" si="55"/>
        <v>-84.285979726011107</v>
      </c>
      <c r="AE78" s="240">
        <f t="shared" si="55"/>
        <v>-177.07974851677525</v>
      </c>
      <c r="AF78" s="240">
        <f t="shared" si="55"/>
        <v>-297.6783974892823</v>
      </c>
      <c r="AG78" s="240">
        <f t="shared" si="55"/>
        <v>-439.25697143115372</v>
      </c>
      <c r="AH78" s="240">
        <f t="shared" si="55"/>
        <v>-567.47978196718736</v>
      </c>
    </row>
    <row r="79" spans="1:34">
      <c r="A79" s="68" t="s">
        <v>173</v>
      </c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1"/>
      <c r="M79" s="239">
        <f>(monthly_data!AG477)*42/1000</f>
        <v>0</v>
      </c>
      <c r="N79" s="239">
        <f>(monthly_data!AG489)*42/1000</f>
        <v>4.5780000000000003</v>
      </c>
      <c r="O79" s="239">
        <f>(monthly_data!AG501)*42/1000</f>
        <v>24.99</v>
      </c>
      <c r="P79" s="239">
        <f>(monthly_data!AG513)*42/1000</f>
        <v>30.324000000000002</v>
      </c>
      <c r="Q79" s="239">
        <f>(monthly_data!AG525)*42/1000</f>
        <v>39.101999999999997</v>
      </c>
      <c r="R79" s="239">
        <f>(monthly_data!AG537)*42/1000</f>
        <v>29.736000000000001</v>
      </c>
      <c r="S79" s="239">
        <f>(monthly_data!AG549)*42/1000</f>
        <v>43.134</v>
      </c>
      <c r="T79" s="239">
        <f>(monthly_data!AG561)*42/1000</f>
        <v>86.016000000000005</v>
      </c>
      <c r="U79" s="239">
        <f>(monthly_data!AG573)*42/1000</f>
        <v>63.335999999999999</v>
      </c>
      <c r="V79" s="239">
        <f>(monthly_data!AG585)*42/1000</f>
        <v>95.888100000000009</v>
      </c>
      <c r="W79" s="239">
        <f>(monthly_data!AG597)*42/1000</f>
        <v>132.23347200000001</v>
      </c>
      <c r="X79" s="239">
        <f>(monthly_data!AG609)*42/1000</f>
        <v>169.61405999999999</v>
      </c>
      <c r="Y79" s="240">
        <f>Y78+Y46+Y30-Y62</f>
        <v>242.81574213420822</v>
      </c>
      <c r="Z79" s="240">
        <f t="shared" si="55"/>
        <v>198.50330182859804</v>
      </c>
      <c r="AA79" s="240">
        <f t="shared" si="55"/>
        <v>63.284718221952431</v>
      </c>
      <c r="AB79" s="240">
        <f t="shared" si="55"/>
        <v>20.87009508532239</v>
      </c>
      <c r="AC79" s="240">
        <f t="shared" si="55"/>
        <v>-24.062252489326085</v>
      </c>
      <c r="AD79" s="240">
        <f t="shared" si="55"/>
        <v>-87.241130579701064</v>
      </c>
      <c r="AE79" s="240">
        <f t="shared" si="55"/>
        <v>-183.36571748272982</v>
      </c>
      <c r="AF79" s="240">
        <f t="shared" si="55"/>
        <v>-302.29995949285995</v>
      </c>
      <c r="AG79" s="240">
        <f t="shared" si="55"/>
        <v>-445.52215161061628</v>
      </c>
      <c r="AH79" s="240">
        <f t="shared" si="55"/>
        <v>-573.98893358970872</v>
      </c>
    </row>
    <row r="80" spans="1:34">
      <c r="A80" s="68" t="s">
        <v>174</v>
      </c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1"/>
      <c r="M80" s="239">
        <f>(monthly_data!AG478)*42/1000</f>
        <v>0</v>
      </c>
      <c r="N80" s="239">
        <f>(monthly_data!AG490)*42/1000</f>
        <v>22.931999999999999</v>
      </c>
      <c r="O80" s="239">
        <f>(monthly_data!AG502)*42/1000</f>
        <v>15.246</v>
      </c>
      <c r="P80" s="239">
        <f>(monthly_data!AG514)*42/1000</f>
        <v>36.917999999999999</v>
      </c>
      <c r="Q80" s="239">
        <f>(monthly_data!AG526)*42/1000</f>
        <v>47.417999999999999</v>
      </c>
      <c r="R80" s="239">
        <f>(monthly_data!AG538)*42/1000</f>
        <v>28.475999999999999</v>
      </c>
      <c r="S80" s="239">
        <f>(monthly_data!AG550)*42/1000</f>
        <v>47.628</v>
      </c>
      <c r="T80" s="239">
        <f>(monthly_data!AG562)*42/1000</f>
        <v>71.694000000000003</v>
      </c>
      <c r="U80" s="239">
        <f>(monthly_data!AG574)*42/1000</f>
        <v>57.917999999999999</v>
      </c>
      <c r="V80" s="239">
        <f>(monthly_data!AG586)*42/1000</f>
        <v>85.554797999999991</v>
      </c>
      <c r="W80" s="239">
        <f>(monthly_data!AG598)*42/1000</f>
        <v>107.26778999999999</v>
      </c>
      <c r="X80" s="239">
        <f>(monthly_data!AG610)*42/1000</f>
        <v>169.647828</v>
      </c>
      <c r="Y80" s="240">
        <f t="shared" ref="Y80:Y84" si="57">Y79+Y47+Y31-Y63</f>
        <v>200.44341070790432</v>
      </c>
      <c r="Z80" s="240">
        <f t="shared" si="55"/>
        <v>143.20259705122959</v>
      </c>
      <c r="AA80" s="240">
        <f t="shared" si="55"/>
        <v>18.796047753953928</v>
      </c>
      <c r="AB80" s="240">
        <f t="shared" si="55"/>
        <v>-28.80406350762712</v>
      </c>
      <c r="AC80" s="240">
        <f t="shared" si="55"/>
        <v>-74.98723939678942</v>
      </c>
      <c r="AD80" s="240">
        <f t="shared" si="55"/>
        <v>-139.37237413040907</v>
      </c>
      <c r="AE80" s="240">
        <f t="shared" si="55"/>
        <v>-242.60937265805171</v>
      </c>
      <c r="AF80" s="240">
        <f t="shared" si="55"/>
        <v>-364.02989267594484</v>
      </c>
      <c r="AG80" s="240">
        <f t="shared" si="55"/>
        <v>-518.97129735795352</v>
      </c>
      <c r="AH80" s="240">
        <f t="shared" si="55"/>
        <v>-647.09066031975544</v>
      </c>
    </row>
    <row r="81" spans="1:34">
      <c r="A81" s="68" t="s">
        <v>175</v>
      </c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1"/>
      <c r="M81" s="239">
        <f>(monthly_data!AG479)*42/1000</f>
        <v>0</v>
      </c>
      <c r="N81" s="239">
        <f>(monthly_data!AG491)*42/1000</f>
        <v>22.553999999999998</v>
      </c>
      <c r="O81" s="239">
        <f>(monthly_data!AG503)*42/1000</f>
        <v>15.708</v>
      </c>
      <c r="P81" s="239">
        <f>(monthly_data!AG515)*42/1000</f>
        <v>30.45</v>
      </c>
      <c r="Q81" s="239">
        <f>(monthly_data!AG527)*42/1000</f>
        <v>37.295999999999999</v>
      </c>
      <c r="R81" s="239">
        <f>(monthly_data!AG539)*42/1000</f>
        <v>30.702000000000002</v>
      </c>
      <c r="S81" s="239">
        <f>(monthly_data!AG551)*42/1000</f>
        <v>46.158000000000001</v>
      </c>
      <c r="T81" s="239">
        <f>(monthly_data!AG563)*42/1000</f>
        <v>65.268000000000001</v>
      </c>
      <c r="U81" s="239">
        <f>(monthly_data!AG575)*42/1000</f>
        <v>56.951999999999998</v>
      </c>
      <c r="V81" s="239">
        <f>(monthly_data!AG587)*42/1000</f>
        <v>91.322994000000008</v>
      </c>
      <c r="W81" s="239">
        <f>(monthly_data!AG599)*42/1000</f>
        <v>113.302392</v>
      </c>
      <c r="X81" s="239">
        <f>(monthly_data!AG611)*42/1000</f>
        <v>177.265074</v>
      </c>
      <c r="Y81" s="240">
        <f t="shared" si="57"/>
        <v>189.34914083026274</v>
      </c>
      <c r="Z81" s="240">
        <f t="shared" si="55"/>
        <v>115.96541602228874</v>
      </c>
      <c r="AA81" s="240">
        <f t="shared" si="55"/>
        <v>4.2905146963934442</v>
      </c>
      <c r="AB81" s="240">
        <f t="shared" si="55"/>
        <v>-49.832705158413148</v>
      </c>
      <c r="AC81" s="240">
        <f t="shared" si="55"/>
        <v>-97.045201740234774</v>
      </c>
      <c r="AD81" s="240">
        <f t="shared" si="55"/>
        <v>-158.94086657887703</v>
      </c>
      <c r="AE81" s="240">
        <f t="shared" si="55"/>
        <v>-267.40312031192229</v>
      </c>
      <c r="AF81" s="240">
        <f t="shared" si="55"/>
        <v>-388.62496530505405</v>
      </c>
      <c r="AG81" s="240">
        <f t="shared" si="55"/>
        <v>-548.26874051350796</v>
      </c>
      <c r="AH81" s="240">
        <f t="shared" si="55"/>
        <v>-676.00182138558102</v>
      </c>
    </row>
    <row r="82" spans="1:34">
      <c r="A82" s="68" t="s">
        <v>176</v>
      </c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1"/>
      <c r="M82" s="239">
        <f>(monthly_data!AG480)*42/1000</f>
        <v>0</v>
      </c>
      <c r="N82" s="239">
        <f>(monthly_data!AG492)*42/1000</f>
        <v>20.411999999999999</v>
      </c>
      <c r="O82" s="239">
        <f>(monthly_data!AG504)*42/1000</f>
        <v>9.3659999999999997</v>
      </c>
      <c r="P82" s="239">
        <f>(monthly_data!AG516)*42/1000</f>
        <v>34.020000000000003</v>
      </c>
      <c r="Q82" s="239">
        <f>(monthly_data!AG528)*42/1000</f>
        <v>42.545999999999999</v>
      </c>
      <c r="R82" s="239">
        <f>(monthly_data!AG540)*42/1000</f>
        <v>30.744</v>
      </c>
      <c r="S82" s="239">
        <f>(monthly_data!AG552)*42/1000</f>
        <v>52.835999999999999</v>
      </c>
      <c r="T82" s="239">
        <f>(monthly_data!AG564)*42/1000</f>
        <v>76.481999999999999</v>
      </c>
      <c r="U82" s="239">
        <f>(monthly_data!AG576)*42/1000</f>
        <v>59.892000000000003</v>
      </c>
      <c r="V82" s="239">
        <f>(monthly_data!AG588)*42/1000</f>
        <v>79.091334000000003</v>
      </c>
      <c r="W82" s="239">
        <f>(monthly_data!AG600)*42/1000</f>
        <v>93.870084000000006</v>
      </c>
      <c r="X82" s="239">
        <f>(monthly_data!AG612)*42/1000</f>
        <v>154.05327</v>
      </c>
      <c r="Y82" s="240">
        <f t="shared" si="57"/>
        <v>187.72076980108648</v>
      </c>
      <c r="Z82" s="240">
        <f t="shared" si="55"/>
        <v>91.241207212712425</v>
      </c>
      <c r="AA82" s="240">
        <f t="shared" si="55"/>
        <v>-12.676929987290009</v>
      </c>
      <c r="AB82" s="240">
        <f t="shared" si="55"/>
        <v>-65.674285163708817</v>
      </c>
      <c r="AC82" s="240">
        <f t="shared" si="55"/>
        <v>-111.39589361741125</v>
      </c>
      <c r="AD82" s="240">
        <f t="shared" si="55"/>
        <v>-175.67184337538012</v>
      </c>
      <c r="AE82" s="240">
        <f t="shared" si="55"/>
        <v>-288.88134392891379</v>
      </c>
      <c r="AF82" s="240">
        <f t="shared" si="55"/>
        <v>-409.5114953806023</v>
      </c>
      <c r="AG82" s="240">
        <f t="shared" si="55"/>
        <v>-571.35557563155203</v>
      </c>
      <c r="AH82" s="240">
        <f t="shared" si="55"/>
        <v>-698.98552348336784</v>
      </c>
    </row>
    <row r="83" spans="1:34">
      <c r="A83" s="68" t="s">
        <v>177</v>
      </c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1"/>
      <c r="M83" s="239">
        <f>(monthly_data!AG481)*42/1000</f>
        <v>0</v>
      </c>
      <c r="N83" s="239">
        <f>(monthly_data!AG493)*42/1000</f>
        <v>27.93</v>
      </c>
      <c r="O83" s="239">
        <f>(monthly_data!AG505)*42/1000</f>
        <v>9.3239999999999998</v>
      </c>
      <c r="P83" s="239">
        <f>(monthly_data!AG517)*42/1000</f>
        <v>27.594000000000001</v>
      </c>
      <c r="Q83" s="239">
        <f>(monthly_data!AG529)*42/1000</f>
        <v>38.387999999999998</v>
      </c>
      <c r="R83" s="239">
        <f>(monthly_data!AG541)*42/1000</f>
        <v>37.002000000000002</v>
      </c>
      <c r="S83" s="239">
        <f>(monthly_data!AG553)*42/1000</f>
        <v>60.27</v>
      </c>
      <c r="T83" s="239">
        <f>(monthly_data!AG565)*42/1000</f>
        <v>74.382000000000005</v>
      </c>
      <c r="U83" s="239">
        <f>(monthly_data!AG577)*42/1000</f>
        <v>58.253999999999998</v>
      </c>
      <c r="V83" s="239">
        <f>(monthly_data!AG589)*42/1000</f>
        <v>88.477326000000005</v>
      </c>
      <c r="W83" s="239">
        <f>(monthly_data!AG601)*42/1000</f>
        <v>129.66567599999999</v>
      </c>
      <c r="X83" s="239">
        <f>(monthly_data!AG613)*42/1000</f>
        <v>209.35571999999999</v>
      </c>
      <c r="Y83" s="240">
        <f t="shared" si="57"/>
        <v>181.93576015919461</v>
      </c>
      <c r="Z83" s="240">
        <f t="shared" si="55"/>
        <v>110.66653959204524</v>
      </c>
      <c r="AA83" s="240">
        <f t="shared" si="55"/>
        <v>58.538759185613173</v>
      </c>
      <c r="AB83" s="240">
        <f t="shared" si="55"/>
        <v>17.151806035011134</v>
      </c>
      <c r="AC83" s="240">
        <f t="shared" si="55"/>
        <v>-29.159477750913368</v>
      </c>
      <c r="AD83" s="240">
        <f t="shared" si="55"/>
        <v>-100.193409809695</v>
      </c>
      <c r="AE83" s="240">
        <f t="shared" si="55"/>
        <v>-211.81795948589286</v>
      </c>
      <c r="AF83" s="240">
        <f t="shared" si="55"/>
        <v>-322.74459140713691</v>
      </c>
      <c r="AG83" s="240">
        <f t="shared" si="55"/>
        <v>-468.64484182512484</v>
      </c>
      <c r="AH83" s="240">
        <f t="shared" si="55"/>
        <v>-597.9505704999749</v>
      </c>
    </row>
    <row r="84" spans="1:34">
      <c r="A84" s="68" t="s">
        <v>178</v>
      </c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1"/>
      <c r="M84" s="239">
        <f>(monthly_data!AG482)*42/1000</f>
        <v>3.948</v>
      </c>
      <c r="N84" s="239">
        <f>(monthly_data!AG494)*42/1000</f>
        <v>29.021999999999998</v>
      </c>
      <c r="O84" s="239">
        <f>(monthly_data!AG506)*42/1000</f>
        <v>14.7</v>
      </c>
      <c r="P84" s="239">
        <f>(monthly_data!AG518)*42/1000</f>
        <v>26.628</v>
      </c>
      <c r="Q84" s="239">
        <f>(monthly_data!AG530)*42/1000</f>
        <v>55.23</v>
      </c>
      <c r="R84" s="239">
        <f>(monthly_data!AG542)*42/1000</f>
        <v>31.626000000000001</v>
      </c>
      <c r="S84" s="239">
        <f>(monthly_data!AG554)*42/1000</f>
        <v>72.534000000000006</v>
      </c>
      <c r="T84" s="239">
        <f>(monthly_data!AG566)*42/1000</f>
        <v>62.622</v>
      </c>
      <c r="U84" s="239">
        <f>(monthly_data!AG578)*42/1000</f>
        <v>54.054000000000002</v>
      </c>
      <c r="V84" s="239">
        <f>(monthly_data!AG590)*42/1000</f>
        <v>98.815584000000001</v>
      </c>
      <c r="W84" s="239">
        <f>(monthly_data!AG602)*42/1000</f>
        <v>143.02927800000001</v>
      </c>
      <c r="X84" s="239">
        <f>(monthly_data!AG614)*42/1000</f>
        <v>230.06634000000003</v>
      </c>
      <c r="Y84" s="240">
        <f t="shared" si="57"/>
        <v>234.10474399999993</v>
      </c>
      <c r="Z84" s="240">
        <f t="shared" si="55"/>
        <v>145.82629142093674</v>
      </c>
      <c r="AA84" s="240">
        <f t="shared" si="55"/>
        <v>133.62387859459693</v>
      </c>
      <c r="AB84" s="240">
        <f t="shared" si="55"/>
        <v>102.53911815912181</v>
      </c>
      <c r="AC84" s="240">
        <f t="shared" si="55"/>
        <v>57.443656218736919</v>
      </c>
      <c r="AD84" s="240">
        <f t="shared" si="55"/>
        <v>-9.6261869896510461</v>
      </c>
      <c r="AE84" s="240">
        <f t="shared" si="55"/>
        <v>-127.05496170059351</v>
      </c>
      <c r="AF84" s="240">
        <f t="shared" si="55"/>
        <v>-225.85388238007812</v>
      </c>
      <c r="AG84" s="240">
        <f t="shared" si="55"/>
        <v>-351.91266875479317</v>
      </c>
      <c r="AH84" s="240">
        <f t="shared" si="55"/>
        <v>-481.80332402972795</v>
      </c>
    </row>
    <row r="85" spans="1:34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  <c r="AA85" s="250"/>
      <c r="AB85" s="250"/>
      <c r="AC85" s="250"/>
      <c r="AD85" s="250"/>
      <c r="AE85" s="250"/>
      <c r="AF85" s="250"/>
      <c r="AG85" s="250"/>
      <c r="AH85" s="250"/>
    </row>
    <row r="86" spans="1:34" ht="12" thickBot="1">
      <c r="A86" s="234" t="s">
        <v>226</v>
      </c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</row>
    <row r="87" spans="1:34" ht="12" thickBot="1">
      <c r="A87" s="236"/>
      <c r="B87" s="236">
        <v>2001</v>
      </c>
      <c r="C87" s="236">
        <v>2002</v>
      </c>
      <c r="D87" s="236">
        <v>2003</v>
      </c>
      <c r="E87" s="236">
        <v>2004</v>
      </c>
      <c r="F87" s="236">
        <v>2005</v>
      </c>
      <c r="G87" s="236">
        <v>2006</v>
      </c>
      <c r="H87" s="236">
        <f t="shared" ref="H87:AH87" si="58">H2</f>
        <v>2007</v>
      </c>
      <c r="I87" s="236">
        <f t="shared" si="58"/>
        <v>2008</v>
      </c>
      <c r="J87" s="236">
        <f t="shared" si="58"/>
        <v>2009</v>
      </c>
      <c r="K87" s="236">
        <f t="shared" si="58"/>
        <v>2010</v>
      </c>
      <c r="L87" s="238">
        <f t="shared" si="58"/>
        <v>2011</v>
      </c>
      <c r="M87" s="238">
        <f t="shared" si="58"/>
        <v>2012</v>
      </c>
      <c r="N87" s="238">
        <f t="shared" si="58"/>
        <v>2013</v>
      </c>
      <c r="O87" s="238">
        <f t="shared" si="58"/>
        <v>2014</v>
      </c>
      <c r="P87" s="238">
        <f t="shared" si="58"/>
        <v>2015</v>
      </c>
      <c r="Q87" s="238">
        <f t="shared" si="58"/>
        <v>2016</v>
      </c>
      <c r="R87" s="238">
        <f t="shared" si="58"/>
        <v>2017</v>
      </c>
      <c r="S87" s="238">
        <f t="shared" si="58"/>
        <v>2018</v>
      </c>
      <c r="T87" s="238">
        <f t="shared" si="58"/>
        <v>2019</v>
      </c>
      <c r="U87" s="238">
        <f t="shared" si="58"/>
        <v>2020</v>
      </c>
      <c r="V87" s="238">
        <f t="shared" si="58"/>
        <v>2021</v>
      </c>
      <c r="W87" s="238">
        <f t="shared" si="58"/>
        <v>2022</v>
      </c>
      <c r="X87" s="238">
        <f t="shared" si="58"/>
        <v>2023</v>
      </c>
      <c r="Y87" s="238">
        <f t="shared" si="58"/>
        <v>2024</v>
      </c>
      <c r="Z87" s="238">
        <f t="shared" si="58"/>
        <v>2025</v>
      </c>
      <c r="AA87" s="238">
        <f t="shared" si="58"/>
        <v>2026</v>
      </c>
      <c r="AB87" s="238">
        <f t="shared" si="58"/>
        <v>2027</v>
      </c>
      <c r="AC87" s="238">
        <f t="shared" si="58"/>
        <v>2028</v>
      </c>
      <c r="AD87" s="238">
        <f t="shared" si="58"/>
        <v>2029</v>
      </c>
      <c r="AE87" s="238">
        <f t="shared" si="58"/>
        <v>2030</v>
      </c>
      <c r="AF87" s="238">
        <f t="shared" si="58"/>
        <v>2031</v>
      </c>
      <c r="AG87" s="238">
        <f t="shared" si="58"/>
        <v>2032</v>
      </c>
      <c r="AH87" s="238">
        <f t="shared" si="58"/>
        <v>2033</v>
      </c>
    </row>
    <row r="88" spans="1:34">
      <c r="A88" s="68" t="s">
        <v>167</v>
      </c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251">
        <f>monthly_data!AJ459</f>
        <v>4.4279999999999999</v>
      </c>
      <c r="M88" s="251">
        <f>monthly_data!AJ471</f>
        <v>4.2169999999999996</v>
      </c>
      <c r="N88" s="251">
        <f>monthly_data!AJ483</f>
        <v>1.909</v>
      </c>
      <c r="O88" s="251">
        <f>monthly_data!AJ495</f>
        <v>22.425000000000001</v>
      </c>
      <c r="P88" s="251">
        <f>monthly_data!AJ507</f>
        <v>20.907</v>
      </c>
      <c r="Q88" s="251">
        <f>monthly_data!AJ519</f>
        <v>15.916</v>
      </c>
      <c r="R88" s="251">
        <f>monthly_data!AJ531</f>
        <v>42.290999999999997</v>
      </c>
      <c r="S88" s="251">
        <f>monthly_data!AJ543</f>
        <v>19.728999999999999</v>
      </c>
      <c r="T88" s="251">
        <f>monthly_data!AJ555</f>
        <v>49.296999999999997</v>
      </c>
      <c r="U88" s="251">
        <f>monthly_data!AJ567</f>
        <v>57.901000000000003</v>
      </c>
      <c r="V88" s="251">
        <f>monthly_data!AJ579</f>
        <v>73.936000000000007</v>
      </c>
      <c r="W88" s="251">
        <f>monthly_data!AJ591</f>
        <v>122.113</v>
      </c>
      <c r="X88" s="251">
        <f>monthly_data!AJ603</f>
        <v>187.95599999999999</v>
      </c>
      <c r="Y88" s="251">
        <f>monthly_data!AJ615</f>
        <v>235.30600000000001</v>
      </c>
      <c r="Z88" s="252">
        <f t="shared" ref="Z88:Z98" si="59">Z$100*(SUM(U88:Y88)/SUM(U$100:Y$100))</f>
        <v>191.26159360611808</v>
      </c>
      <c r="AA88" s="252">
        <f t="shared" ref="AA88:AA98" si="60">AA$100*(SUM(V88:Z88)/SUM(V$100:Z$100))</f>
        <v>198.97341092259703</v>
      </c>
      <c r="AB88" s="252">
        <f t="shared" ref="AB88:AH98" si="61">AB$100*(SUM(W88:AA88)/SUM(W$100:AA$100))</f>
        <v>218.98084424542017</v>
      </c>
      <c r="AC88" s="252">
        <f t="shared" si="61"/>
        <v>220.98224228160819</v>
      </c>
      <c r="AD88" s="252">
        <f t="shared" si="61"/>
        <v>223.52057430664647</v>
      </c>
      <c r="AE88" s="252">
        <f t="shared" si="61"/>
        <v>234.90543495339904</v>
      </c>
      <c r="AF88" s="252">
        <f t="shared" si="61"/>
        <v>251.68864832790618</v>
      </c>
      <c r="AG88" s="252">
        <f t="shared" si="61"/>
        <v>295.49442768501677</v>
      </c>
      <c r="AH88" s="252">
        <f t="shared" si="61"/>
        <v>293.64361466764836</v>
      </c>
    </row>
    <row r="89" spans="1:34">
      <c r="A89" s="68" t="s">
        <v>168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251">
        <f>monthly_data!AJ460</f>
        <v>0.96199999999999997</v>
      </c>
      <c r="M89" s="251">
        <f>monthly_data!AJ472</f>
        <v>3.1890000000000001</v>
      </c>
      <c r="N89" s="251">
        <f>monthly_data!AJ484</f>
        <v>11.331</v>
      </c>
      <c r="O89" s="251">
        <f>monthly_data!AJ496</f>
        <v>19.684999999999999</v>
      </c>
      <c r="P89" s="251">
        <f>monthly_data!AJ508</f>
        <v>22.721</v>
      </c>
      <c r="Q89" s="251">
        <f>monthly_data!AJ520</f>
        <v>23.440999999999999</v>
      </c>
      <c r="R89" s="251">
        <f>monthly_data!AJ532</f>
        <v>31.879000000000001</v>
      </c>
      <c r="S89" s="251">
        <f>monthly_data!AJ544</f>
        <v>40.085000000000001</v>
      </c>
      <c r="T89" s="251">
        <f>monthly_data!AJ556</f>
        <v>47.398000000000003</v>
      </c>
      <c r="U89" s="251">
        <f>monthly_data!AJ568</f>
        <v>68.254999999999995</v>
      </c>
      <c r="V89" s="251">
        <f>monthly_data!AJ580</f>
        <v>73.230999999999995</v>
      </c>
      <c r="W89" s="251">
        <f>monthly_data!AJ592</f>
        <v>110.04900000000001</v>
      </c>
      <c r="X89" s="251">
        <f>monthly_data!AJ604</f>
        <v>180.16499999999999</v>
      </c>
      <c r="Y89" s="251">
        <f>monthly_data!AJ616</f>
        <v>281.911</v>
      </c>
      <c r="Z89" s="252">
        <f t="shared" si="59"/>
        <v>201.54158088583122</v>
      </c>
      <c r="AA89" s="252">
        <f t="shared" si="60"/>
        <v>207.89020218568362</v>
      </c>
      <c r="AB89" s="252">
        <f t="shared" si="61"/>
        <v>229.73475271899164</v>
      </c>
      <c r="AC89" s="252">
        <f t="shared" si="61"/>
        <v>235.70001539869028</v>
      </c>
      <c r="AD89" s="252">
        <f t="shared" si="61"/>
        <v>242.66784591192933</v>
      </c>
      <c r="AE89" s="252">
        <f t="shared" si="61"/>
        <v>249.1318719652192</v>
      </c>
      <c r="AF89" s="252">
        <f t="shared" si="61"/>
        <v>267.23043306892527</v>
      </c>
      <c r="AG89" s="252">
        <f t="shared" si="61"/>
        <v>314.60704489813287</v>
      </c>
      <c r="AH89" s="252">
        <f t="shared" si="61"/>
        <v>313.45282074898358</v>
      </c>
    </row>
    <row r="90" spans="1:34">
      <c r="A90" s="68" t="s">
        <v>169</v>
      </c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251">
        <f>monthly_data!AJ461</f>
        <v>3.1509999999999998</v>
      </c>
      <c r="M90" s="251">
        <f>monthly_data!AJ473</f>
        <v>5.3540000000000001</v>
      </c>
      <c r="N90" s="251">
        <f>monthly_data!AJ485</f>
        <v>8.51</v>
      </c>
      <c r="O90" s="251">
        <f>monthly_data!AJ497</f>
        <v>27.343</v>
      </c>
      <c r="P90" s="251">
        <f>monthly_data!AJ509</f>
        <v>27.827999999999999</v>
      </c>
      <c r="Q90" s="251">
        <f>monthly_data!AJ521</f>
        <v>39.177</v>
      </c>
      <c r="R90" s="251">
        <f>monthly_data!AJ533</f>
        <v>38.872999999999998</v>
      </c>
      <c r="S90" s="251">
        <f>monthly_data!AJ545</f>
        <v>24.312000000000001</v>
      </c>
      <c r="T90" s="251">
        <f>monthly_data!AJ557</f>
        <v>57.033999999999999</v>
      </c>
      <c r="U90" s="251">
        <f>monthly_data!AJ569</f>
        <v>62.405000000000001</v>
      </c>
      <c r="V90" s="251">
        <f>monthly_data!AJ581</f>
        <v>94.951999999999998</v>
      </c>
      <c r="W90" s="251">
        <f>monthly_data!AJ593</f>
        <v>134.13499999999999</v>
      </c>
      <c r="X90" s="251">
        <f>monthly_data!AJ605</f>
        <v>217.25899999999999</v>
      </c>
      <c r="Y90" s="251">
        <f>monthly_data!AJ617</f>
        <v>295.30500000000001</v>
      </c>
      <c r="Z90" s="252">
        <f t="shared" si="59"/>
        <v>227.08550927709624</v>
      </c>
      <c r="AA90" s="252">
        <f t="shared" si="60"/>
        <v>237.79832806656475</v>
      </c>
      <c r="AB90" s="252">
        <f t="shared" si="61"/>
        <v>260.16753454111205</v>
      </c>
      <c r="AC90" s="252">
        <f t="shared" si="61"/>
        <v>264.88802668841794</v>
      </c>
      <c r="AD90" s="252">
        <f t="shared" si="61"/>
        <v>269.61751578901328</v>
      </c>
      <c r="AE90" s="252">
        <f t="shared" si="61"/>
        <v>280.79294269221111</v>
      </c>
      <c r="AF90" s="252">
        <f t="shared" si="61"/>
        <v>301.20741921498143</v>
      </c>
      <c r="AG90" s="252">
        <f t="shared" si="61"/>
        <v>353.71463540281678</v>
      </c>
      <c r="AH90" s="252">
        <f t="shared" si="61"/>
        <v>351.9679814812614</v>
      </c>
    </row>
    <row r="91" spans="1:34">
      <c r="A91" s="68" t="s">
        <v>170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251">
        <f>monthly_data!AJ462</f>
        <v>1.9670000000000001</v>
      </c>
      <c r="M91" s="251">
        <f>monthly_data!AJ474</f>
        <v>5.5259999999999998</v>
      </c>
      <c r="N91" s="251">
        <f>monthly_data!AJ486</f>
        <v>8.73</v>
      </c>
      <c r="O91" s="251">
        <f>monthly_data!AJ498</f>
        <v>33.5</v>
      </c>
      <c r="P91" s="251">
        <f>monthly_data!AJ510</f>
        <v>29.635000000000002</v>
      </c>
      <c r="Q91" s="251">
        <f>monthly_data!AJ522</f>
        <v>27.763000000000002</v>
      </c>
      <c r="R91" s="251">
        <f>monthly_data!AJ534</f>
        <v>36.152999999999999</v>
      </c>
      <c r="S91" s="251">
        <f>monthly_data!AJ546</f>
        <v>33.814999999999998</v>
      </c>
      <c r="T91" s="251">
        <f>monthly_data!AJ558</f>
        <v>58.381</v>
      </c>
      <c r="U91" s="251">
        <f>monthly_data!AJ570</f>
        <v>61.234999999999999</v>
      </c>
      <c r="V91" s="251">
        <f>monthly_data!AJ582</f>
        <v>97.576999999999998</v>
      </c>
      <c r="W91" s="251">
        <f>monthly_data!AJ594</f>
        <v>128.613</v>
      </c>
      <c r="X91" s="251">
        <f>monthly_data!AJ606</f>
        <v>213.91200000000001</v>
      </c>
      <c r="Y91" s="251">
        <f>monthly_data!AJ618</f>
        <v>286.39400000000001</v>
      </c>
      <c r="Z91" s="252">
        <f t="shared" si="59"/>
        <v>222.4749212845328</v>
      </c>
      <c r="AA91" s="252">
        <f t="shared" si="60"/>
        <v>232.946416599543</v>
      </c>
      <c r="AB91" s="252">
        <f t="shared" si="61"/>
        <v>253.79138902947824</v>
      </c>
      <c r="AC91" s="252">
        <f t="shared" si="61"/>
        <v>258.87447432629995</v>
      </c>
      <c r="AD91" s="252">
        <f t="shared" si="61"/>
        <v>263.16403748407026</v>
      </c>
      <c r="AE91" s="252">
        <f t="shared" si="61"/>
        <v>274.48276022507866</v>
      </c>
      <c r="AF91" s="252">
        <f t="shared" si="61"/>
        <v>294.32547652854822</v>
      </c>
      <c r="AG91" s="252">
        <f t="shared" si="61"/>
        <v>345.48366746927246</v>
      </c>
      <c r="AH91" s="252">
        <f t="shared" si="61"/>
        <v>343.85475076035868</v>
      </c>
    </row>
    <row r="92" spans="1:34">
      <c r="A92" s="68" t="s">
        <v>171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251">
        <f>monthly_data!AJ463</f>
        <v>7.5259999999999998</v>
      </c>
      <c r="M92" s="251">
        <f>monthly_data!AJ475</f>
        <v>6.4960000000000004</v>
      </c>
      <c r="N92" s="251">
        <f>monthly_data!AJ487</f>
        <v>6.2359999999999998</v>
      </c>
      <c r="O92" s="251">
        <f>monthly_data!AJ499</f>
        <v>32.640999999999998</v>
      </c>
      <c r="P92" s="251">
        <f>monthly_data!AJ511</f>
        <v>27.920999999999999</v>
      </c>
      <c r="Q92" s="251">
        <f>monthly_data!AJ523</f>
        <v>39.908999999999999</v>
      </c>
      <c r="R92" s="251">
        <f>monthly_data!AJ535</f>
        <v>47.198999999999998</v>
      </c>
      <c r="S92" s="251">
        <f>monthly_data!AJ547</f>
        <v>60.442</v>
      </c>
      <c r="T92" s="251">
        <f>monthly_data!AJ559</f>
        <v>73.016999999999996</v>
      </c>
      <c r="U92" s="251">
        <f>monthly_data!AJ571</f>
        <v>59.902999999999999</v>
      </c>
      <c r="V92" s="251">
        <f>monthly_data!AJ583</f>
        <v>109.43</v>
      </c>
      <c r="W92" s="251">
        <f>monthly_data!AJ595</f>
        <v>136.75800000000001</v>
      </c>
      <c r="X92" s="251">
        <f>monthly_data!AJ607</f>
        <v>290.755</v>
      </c>
      <c r="Y92" s="252">
        <f t="shared" ref="Y92:Y98" si="62">Y$100*(SUM(T92:X92)/SUM(T$100:X$100))</f>
        <v>315.58316696040669</v>
      </c>
      <c r="Z92" s="252">
        <f t="shared" si="59"/>
        <v>257.69280007671188</v>
      </c>
      <c r="AA92" s="252">
        <f t="shared" si="60"/>
        <v>272.52840335936872</v>
      </c>
      <c r="AB92" s="252">
        <f t="shared" si="61"/>
        <v>298.02173064858817</v>
      </c>
      <c r="AC92" s="252">
        <f t="shared" si="61"/>
        <v>307.04479405553781</v>
      </c>
      <c r="AD92" s="252">
        <f t="shared" si="61"/>
        <v>304.36250638545988</v>
      </c>
      <c r="AE92" s="252">
        <f t="shared" si="61"/>
        <v>320.94113508533968</v>
      </c>
      <c r="AF92" s="252">
        <f t="shared" si="61"/>
        <v>344.70150677392076</v>
      </c>
      <c r="AG92" s="252">
        <f t="shared" si="61"/>
        <v>404.68994808612689</v>
      </c>
      <c r="AH92" s="252">
        <f t="shared" si="61"/>
        <v>402.60530891602929</v>
      </c>
    </row>
    <row r="93" spans="1:34">
      <c r="A93" s="68" t="s">
        <v>172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251">
        <f>monthly_data!AJ464</f>
        <v>4.5640000000000001</v>
      </c>
      <c r="M93" s="251">
        <f>monthly_data!AJ476</f>
        <v>6.0289999999999999</v>
      </c>
      <c r="N93" s="251">
        <f>monthly_data!AJ488</f>
        <v>31.448</v>
      </c>
      <c r="O93" s="251">
        <f>monthly_data!AJ500</f>
        <v>17.597000000000001</v>
      </c>
      <c r="P93" s="251">
        <f>monthly_data!AJ512</f>
        <v>29.876000000000001</v>
      </c>
      <c r="Q93" s="251">
        <f>monthly_data!AJ524</f>
        <v>46.509</v>
      </c>
      <c r="R93" s="251">
        <f>monthly_data!AJ536</f>
        <v>40.301000000000002</v>
      </c>
      <c r="S93" s="251">
        <f>monthly_data!AJ548</f>
        <v>22.673999999999999</v>
      </c>
      <c r="T93" s="251">
        <f>monthly_data!AJ560</f>
        <v>56.476999999999997</v>
      </c>
      <c r="U93" s="251">
        <f>monthly_data!AJ572</f>
        <v>87.647999999999996</v>
      </c>
      <c r="V93" s="251">
        <f>monthly_data!AJ584</f>
        <v>100.874</v>
      </c>
      <c r="W93" s="251">
        <f>monthly_data!AJ596</f>
        <v>168.66499999999999</v>
      </c>
      <c r="X93" s="251">
        <f>monthly_data!AJ608</f>
        <v>267.93700000000001</v>
      </c>
      <c r="Y93" s="252">
        <f t="shared" si="62"/>
        <v>321.11312639059048</v>
      </c>
      <c r="Z93" s="252">
        <f t="shared" si="59"/>
        <v>267.24101274451442</v>
      </c>
      <c r="AA93" s="252">
        <f t="shared" si="60"/>
        <v>276.36051930473639</v>
      </c>
      <c r="AB93" s="252">
        <f t="shared" si="61"/>
        <v>304.57500359813605</v>
      </c>
      <c r="AC93" s="252">
        <f t="shared" si="61"/>
        <v>307.61102605847941</v>
      </c>
      <c r="AD93" s="252">
        <f t="shared" si="61"/>
        <v>309.82301501077092</v>
      </c>
      <c r="AE93" s="252">
        <f t="shared" si="61"/>
        <v>326.72847251644777</v>
      </c>
      <c r="AF93" s="252">
        <f t="shared" si="61"/>
        <v>349.7931276349932</v>
      </c>
      <c r="AG93" s="252">
        <f t="shared" si="61"/>
        <v>410.71736275637028</v>
      </c>
      <c r="AH93" s="252">
        <f t="shared" si="61"/>
        <v>408.09545238848938</v>
      </c>
    </row>
    <row r="94" spans="1:34">
      <c r="A94" s="68" t="s">
        <v>173</v>
      </c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251">
        <f>monthly_data!AJ465</f>
        <v>6.4660000000000002</v>
      </c>
      <c r="M94" s="251">
        <f>monthly_data!AJ477</f>
        <v>6.2789999999999999</v>
      </c>
      <c r="N94" s="251">
        <f>monthly_data!AJ489</f>
        <v>29.698</v>
      </c>
      <c r="O94" s="251">
        <f>monthly_data!AJ501</f>
        <v>28.866</v>
      </c>
      <c r="P94" s="251">
        <f>monthly_data!AJ513</f>
        <v>36.814999999999998</v>
      </c>
      <c r="Q94" s="251">
        <f>monthly_data!AJ525</f>
        <v>31.196000000000002</v>
      </c>
      <c r="R94" s="251">
        <f>monthly_data!AJ537</f>
        <v>39.56</v>
      </c>
      <c r="S94" s="251">
        <f>monthly_data!AJ549</f>
        <v>26.556000000000001</v>
      </c>
      <c r="T94" s="251">
        <f>monthly_data!AJ561</f>
        <v>69.507999999999996</v>
      </c>
      <c r="U94" s="251">
        <f>monthly_data!AJ573</f>
        <v>61.216000000000001</v>
      </c>
      <c r="V94" s="251">
        <f>monthly_data!AJ585</f>
        <v>87.155000000000001</v>
      </c>
      <c r="W94" s="251">
        <f>monthly_data!AJ597</f>
        <v>137.42400000000001</v>
      </c>
      <c r="X94" s="251">
        <f>monthly_data!AJ609</f>
        <v>220.54400000000001</v>
      </c>
      <c r="Y94" s="252">
        <f t="shared" si="62"/>
        <v>271.29072652863238</v>
      </c>
      <c r="Z94" s="252">
        <f t="shared" si="59"/>
        <v>219.62206920632835</v>
      </c>
      <c r="AA94" s="252">
        <f t="shared" si="60"/>
        <v>229.7711969195139</v>
      </c>
      <c r="AB94" s="252">
        <f t="shared" si="61"/>
        <v>252.4600237867937</v>
      </c>
      <c r="AC94" s="252">
        <f t="shared" si="61"/>
        <v>255.4862119037887</v>
      </c>
      <c r="AD94" s="252">
        <f t="shared" si="61"/>
        <v>257.7410415928905</v>
      </c>
      <c r="AE94" s="252">
        <f t="shared" si="61"/>
        <v>270.87782814857343</v>
      </c>
      <c r="AF94" s="252">
        <f t="shared" si="61"/>
        <v>290.44410604393579</v>
      </c>
      <c r="AG94" s="252">
        <f t="shared" si="61"/>
        <v>340.95419156171215</v>
      </c>
      <c r="AH94" s="252">
        <f t="shared" si="61"/>
        <v>338.86879804228124</v>
      </c>
    </row>
    <row r="95" spans="1:34">
      <c r="A95" s="68" t="s">
        <v>174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251">
        <f>monthly_data!AJ466</f>
        <v>8.4450000000000003</v>
      </c>
      <c r="M95" s="251">
        <f>monthly_data!AJ478</f>
        <v>5.4809999999999999</v>
      </c>
      <c r="N95" s="251">
        <f>monthly_data!AJ490</f>
        <v>33.274000000000001</v>
      </c>
      <c r="O95" s="251">
        <f>monthly_data!AJ502</f>
        <v>19.263000000000002</v>
      </c>
      <c r="P95" s="251">
        <f>monthly_data!AJ514</f>
        <v>32.026000000000003</v>
      </c>
      <c r="Q95" s="251">
        <f>monthly_data!AJ526</f>
        <v>39.793999999999997</v>
      </c>
      <c r="R95" s="251">
        <f>monthly_data!AJ538</f>
        <v>41.514000000000003</v>
      </c>
      <c r="S95" s="251">
        <f>monthly_data!AJ550</f>
        <v>29.338999999999999</v>
      </c>
      <c r="T95" s="251">
        <f>monthly_data!AJ562</f>
        <v>62.688000000000002</v>
      </c>
      <c r="U95" s="251">
        <f>monthly_data!AJ574</f>
        <v>67.641000000000005</v>
      </c>
      <c r="V95" s="251">
        <f>monthly_data!AJ586</f>
        <v>111.011</v>
      </c>
      <c r="W95" s="251">
        <f>monthly_data!AJ598</f>
        <v>161.57599999999999</v>
      </c>
      <c r="X95" s="251">
        <f>monthly_data!AJ610</f>
        <v>285.59300000000002</v>
      </c>
      <c r="Y95" s="252">
        <f t="shared" si="62"/>
        <v>324.36759561394285</v>
      </c>
      <c r="Z95" s="252">
        <f t="shared" si="59"/>
        <v>268.35700640786342</v>
      </c>
      <c r="AA95" s="252">
        <f t="shared" si="60"/>
        <v>282.51561441524717</v>
      </c>
      <c r="AB95" s="252">
        <f t="shared" si="61"/>
        <v>309.51174661623963</v>
      </c>
      <c r="AC95" s="252">
        <f t="shared" si="61"/>
        <v>314.69936836781909</v>
      </c>
      <c r="AD95" s="252">
        <f t="shared" si="61"/>
        <v>314.55367047162133</v>
      </c>
      <c r="AE95" s="252">
        <f t="shared" si="61"/>
        <v>332.08477210036727</v>
      </c>
      <c r="AF95" s="252">
        <f t="shared" si="61"/>
        <v>356.27641558974648</v>
      </c>
      <c r="AG95" s="252">
        <f t="shared" si="61"/>
        <v>418.06448361118203</v>
      </c>
      <c r="AH95" s="252">
        <f t="shared" si="61"/>
        <v>415.51815906241973</v>
      </c>
    </row>
    <row r="96" spans="1:34">
      <c r="A96" s="68" t="s">
        <v>175</v>
      </c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251">
        <f>monthly_data!AJ467</f>
        <v>5.899</v>
      </c>
      <c r="M96" s="251">
        <f>monthly_data!AJ479</f>
        <v>6.0910000000000002</v>
      </c>
      <c r="N96" s="251">
        <f>monthly_data!AJ491</f>
        <v>43.765000000000001</v>
      </c>
      <c r="O96" s="251">
        <f>monthly_data!AJ503</f>
        <v>16.701000000000001</v>
      </c>
      <c r="P96" s="251">
        <f>monthly_data!AJ515</f>
        <v>33.417999999999999</v>
      </c>
      <c r="Q96" s="251">
        <f>monthly_data!AJ527</f>
        <v>46.598999999999997</v>
      </c>
      <c r="R96" s="251">
        <f>monthly_data!AJ539</f>
        <v>37.128999999999998</v>
      </c>
      <c r="S96" s="251">
        <f>monthly_data!AJ551</f>
        <v>47.326000000000001</v>
      </c>
      <c r="T96" s="251">
        <f>monthly_data!AJ563</f>
        <v>60.768000000000001</v>
      </c>
      <c r="U96" s="251">
        <f>monthly_data!AJ575</f>
        <v>70.793000000000006</v>
      </c>
      <c r="V96" s="251">
        <f>monthly_data!AJ587</f>
        <v>82.402000000000001</v>
      </c>
      <c r="W96" s="251">
        <f>monthly_data!AJ599</f>
        <v>144.88499999999999</v>
      </c>
      <c r="X96" s="251">
        <f>monthly_data!AJ611</f>
        <v>260.04899999999998</v>
      </c>
      <c r="Y96" s="252">
        <f t="shared" si="62"/>
        <v>291.5722696764783</v>
      </c>
      <c r="Z96" s="252">
        <f t="shared" si="59"/>
        <v>239.9768741951784</v>
      </c>
      <c r="AA96" s="252">
        <f t="shared" si="60"/>
        <v>250.10844681114122</v>
      </c>
      <c r="AB96" s="252">
        <f t="shared" si="61"/>
        <v>277.72343930110276</v>
      </c>
      <c r="AC96" s="252">
        <f t="shared" si="61"/>
        <v>282.39889786082551</v>
      </c>
      <c r="AD96" s="252">
        <f t="shared" si="61"/>
        <v>281.47749274976115</v>
      </c>
      <c r="AE96" s="252">
        <f t="shared" si="61"/>
        <v>296.87248587344158</v>
      </c>
      <c r="AF96" s="252">
        <f t="shared" si="61"/>
        <v>318.48182628354868</v>
      </c>
      <c r="AG96" s="252">
        <f t="shared" si="61"/>
        <v>374.34150219574838</v>
      </c>
      <c r="AH96" s="252">
        <f t="shared" si="61"/>
        <v>371.9222104905362</v>
      </c>
    </row>
    <row r="97" spans="1:34">
      <c r="A97" s="68" t="s">
        <v>176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251">
        <f>monthly_data!AJ468</f>
        <v>5.7839999999999998</v>
      </c>
      <c r="M97" s="251">
        <f>monthly_data!AJ480</f>
        <v>8.6419999999999995</v>
      </c>
      <c r="N97" s="251">
        <f>monthly_data!AJ492</f>
        <v>40.688000000000002</v>
      </c>
      <c r="O97" s="251">
        <f>monthly_data!AJ504</f>
        <v>30.934000000000001</v>
      </c>
      <c r="P97" s="251">
        <f>monthly_data!AJ516</f>
        <v>35.002000000000002</v>
      </c>
      <c r="Q97" s="251">
        <f>monthly_data!AJ528</f>
        <v>38.658000000000001</v>
      </c>
      <c r="R97" s="251">
        <f>monthly_data!AJ540</f>
        <v>41.558999999999997</v>
      </c>
      <c r="S97" s="251">
        <f>monthly_data!AJ552</f>
        <v>46.649000000000001</v>
      </c>
      <c r="T97" s="251">
        <f>monthly_data!AJ564</f>
        <v>66.587000000000003</v>
      </c>
      <c r="U97" s="251">
        <f>monthly_data!AJ576</f>
        <v>48.204000000000001</v>
      </c>
      <c r="V97" s="251">
        <f>monthly_data!AJ588</f>
        <v>130.77600000000001</v>
      </c>
      <c r="W97" s="251">
        <f>monthly_data!AJ600</f>
        <v>167.71100000000001</v>
      </c>
      <c r="X97" s="251">
        <f>monthly_data!AJ612</f>
        <v>248.7</v>
      </c>
      <c r="Y97" s="252">
        <f t="shared" si="62"/>
        <v>311.86841741985467</v>
      </c>
      <c r="Z97" s="252">
        <f t="shared" si="59"/>
        <v>256.23273360466106</v>
      </c>
      <c r="AA97" s="252">
        <f t="shared" si="60"/>
        <v>273.77274943832919</v>
      </c>
      <c r="AB97" s="252">
        <f t="shared" si="61"/>
        <v>294.50335980899774</v>
      </c>
      <c r="AC97" s="252">
        <f t="shared" si="61"/>
        <v>296.44943866984192</v>
      </c>
      <c r="AD97" s="252">
        <f t="shared" si="61"/>
        <v>300.57720971489601</v>
      </c>
      <c r="AE97" s="252">
        <f t="shared" si="61"/>
        <v>316.90281651774148</v>
      </c>
      <c r="AF97" s="252">
        <f t="shared" si="61"/>
        <v>339.95540691509319</v>
      </c>
      <c r="AG97" s="252">
        <f t="shared" si="61"/>
        <v>397.83405659310415</v>
      </c>
      <c r="AH97" s="252">
        <f t="shared" si="61"/>
        <v>395.41834811473109</v>
      </c>
    </row>
    <row r="98" spans="1:34">
      <c r="A98" s="68" t="s">
        <v>177</v>
      </c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251">
        <f>monthly_data!AJ469</f>
        <v>5.9059999999999997</v>
      </c>
      <c r="M98" s="251">
        <f>monthly_data!AJ481</f>
        <v>7.9749999999999996</v>
      </c>
      <c r="N98" s="251">
        <f>monthly_data!AJ493</f>
        <v>38.737000000000002</v>
      </c>
      <c r="O98" s="251">
        <f>monthly_data!AJ505</f>
        <v>16.504999999999999</v>
      </c>
      <c r="P98" s="251">
        <f>monthly_data!AJ517</f>
        <v>38.905999999999999</v>
      </c>
      <c r="Q98" s="251">
        <f>monthly_data!AJ529</f>
        <v>52.981000000000002</v>
      </c>
      <c r="R98" s="251">
        <f>monthly_data!AJ541</f>
        <v>31.408999999999999</v>
      </c>
      <c r="S98" s="251">
        <f>monthly_data!AJ553</f>
        <v>47.338999999999999</v>
      </c>
      <c r="T98" s="251">
        <f>monthly_data!AJ565</f>
        <v>65.447000000000003</v>
      </c>
      <c r="U98" s="251">
        <f>monthly_data!AJ577</f>
        <v>77.781999999999996</v>
      </c>
      <c r="V98" s="251">
        <f>monthly_data!AJ589</f>
        <v>122.69</v>
      </c>
      <c r="W98" s="251">
        <f>monthly_data!AJ601</f>
        <v>138.803</v>
      </c>
      <c r="X98" s="251">
        <f>monthly_data!AJ613</f>
        <v>202.33099999999999</v>
      </c>
      <c r="Y98" s="252">
        <f t="shared" si="62"/>
        <v>285.99237195190022</v>
      </c>
      <c r="Z98" s="252">
        <f t="shared" si="59"/>
        <v>233.73446348462417</v>
      </c>
      <c r="AA98" s="252">
        <f t="shared" si="60"/>
        <v>241.43484011954146</v>
      </c>
      <c r="AB98" s="252">
        <f t="shared" si="61"/>
        <v>257.9938611953296</v>
      </c>
      <c r="AC98" s="252">
        <f t="shared" si="61"/>
        <v>261.4359563535474</v>
      </c>
      <c r="AD98" s="252">
        <f t="shared" si="61"/>
        <v>268.64143309614735</v>
      </c>
      <c r="AE98" s="252">
        <f t="shared" si="61"/>
        <v>281.61413629759016</v>
      </c>
      <c r="AF98" s="252">
        <f t="shared" si="61"/>
        <v>300.71564840875135</v>
      </c>
      <c r="AG98" s="252">
        <f t="shared" si="61"/>
        <v>352.10303973991296</v>
      </c>
      <c r="AH98" s="252">
        <f t="shared" si="61"/>
        <v>350.60094039916703</v>
      </c>
    </row>
    <row r="99" spans="1:34">
      <c r="A99" s="68" t="s">
        <v>178</v>
      </c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251">
        <f>monthly_data!AJ470</f>
        <v>6.649</v>
      </c>
      <c r="M99" s="251">
        <f>monthly_data!AJ482</f>
        <v>8.8770000000000007</v>
      </c>
      <c r="N99" s="251">
        <f>monthly_data!AJ494</f>
        <v>40.567</v>
      </c>
      <c r="O99" s="251">
        <f>monthly_data!AJ506</f>
        <v>28.669</v>
      </c>
      <c r="P99" s="251">
        <f>monthly_data!AJ518</f>
        <v>34.573</v>
      </c>
      <c r="Q99" s="251">
        <f>monthly_data!AJ530</f>
        <v>33.709000000000003</v>
      </c>
      <c r="R99" s="251">
        <f>monthly_data!AJ542</f>
        <v>43.457999999999998</v>
      </c>
      <c r="S99" s="251">
        <f>monthly_data!AJ554</f>
        <v>39.518000000000001</v>
      </c>
      <c r="T99" s="251">
        <f>monthly_data!AJ566</f>
        <v>93.325999999999993</v>
      </c>
      <c r="U99" s="251">
        <f>monthly_data!AJ578</f>
        <v>98.715999999999994</v>
      </c>
      <c r="V99" s="251">
        <f>monthly_data!AJ590</f>
        <v>124.604</v>
      </c>
      <c r="W99" s="251">
        <f>monthly_data!AJ602</f>
        <v>166.77699999999999</v>
      </c>
      <c r="X99" s="251">
        <f>monthly_data!AJ614</f>
        <v>293.12900000000002</v>
      </c>
      <c r="Y99" s="252">
        <f t="shared" ref="Y99:AH99" si="63">Y100-SUM(Y88:Y98)</f>
        <v>254.29632545819459</v>
      </c>
      <c r="Z99" s="252">
        <f t="shared" si="63"/>
        <v>264.77943522654004</v>
      </c>
      <c r="AA99" s="252">
        <f t="shared" si="63"/>
        <v>270.89987185773316</v>
      </c>
      <c r="AB99" s="252">
        <f t="shared" si="63"/>
        <v>292.53631450980993</v>
      </c>
      <c r="AC99" s="252">
        <f t="shared" si="63"/>
        <v>294.42954803514385</v>
      </c>
      <c r="AD99" s="252">
        <f t="shared" si="63"/>
        <v>288.85365748679351</v>
      </c>
      <c r="AE99" s="252">
        <f t="shared" si="63"/>
        <v>314.66534362459061</v>
      </c>
      <c r="AF99" s="252">
        <f t="shared" si="63"/>
        <v>335.1799852096492</v>
      </c>
      <c r="AG99" s="252">
        <f t="shared" si="63"/>
        <v>391.99564000060445</v>
      </c>
      <c r="AH99" s="252">
        <f t="shared" si="63"/>
        <v>389.05161492809384</v>
      </c>
    </row>
    <row r="100" spans="1:34">
      <c r="A100" s="244" t="s">
        <v>179</v>
      </c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6">
        <f>SUM(L88:L99)</f>
        <v>61.747</v>
      </c>
      <c r="M100" s="246">
        <f t="shared" ref="M100:W100" si="64">SUM(M88:M99)</f>
        <v>74.155999999999992</v>
      </c>
      <c r="N100" s="246">
        <f t="shared" si="64"/>
        <v>294.89299999999997</v>
      </c>
      <c r="O100" s="246">
        <f t="shared" si="64"/>
        <v>294.12900000000002</v>
      </c>
      <c r="P100" s="246">
        <f t="shared" si="64"/>
        <v>369.62799999999999</v>
      </c>
      <c r="Q100" s="246">
        <f t="shared" si="64"/>
        <v>435.65199999999999</v>
      </c>
      <c r="R100" s="246">
        <f t="shared" si="64"/>
        <v>471.32499999999993</v>
      </c>
      <c r="S100" s="246">
        <f t="shared" si="64"/>
        <v>437.78399999999999</v>
      </c>
      <c r="T100" s="246">
        <f t="shared" si="64"/>
        <v>759.92799999999988</v>
      </c>
      <c r="U100" s="246">
        <f t="shared" si="64"/>
        <v>821.69899999999996</v>
      </c>
      <c r="V100" s="246">
        <f t="shared" si="64"/>
        <v>1208.6380000000001</v>
      </c>
      <c r="W100" s="246">
        <f t="shared" si="64"/>
        <v>1717.509</v>
      </c>
      <c r="X100" s="247">
        <f t="shared" ref="X100:AH100" si="65">X8</f>
        <v>2868.3289379999997</v>
      </c>
      <c r="Y100" s="247">
        <f t="shared" si="65"/>
        <v>3475</v>
      </c>
      <c r="Z100" s="247">
        <f t="shared" si="65"/>
        <v>2850</v>
      </c>
      <c r="AA100" s="247">
        <f t="shared" si="65"/>
        <v>2975</v>
      </c>
      <c r="AB100" s="247">
        <f t="shared" si="65"/>
        <v>3250</v>
      </c>
      <c r="AC100" s="247">
        <f t="shared" si="65"/>
        <v>3300</v>
      </c>
      <c r="AD100" s="247">
        <f t="shared" si="65"/>
        <v>3325</v>
      </c>
      <c r="AE100" s="247">
        <f t="shared" si="65"/>
        <v>3500</v>
      </c>
      <c r="AF100" s="247">
        <f t="shared" si="65"/>
        <v>3750</v>
      </c>
      <c r="AG100" s="247">
        <f t="shared" si="65"/>
        <v>4400</v>
      </c>
      <c r="AH100" s="247">
        <f t="shared" si="65"/>
        <v>4375</v>
      </c>
    </row>
    <row r="102" spans="1:34" ht="12" thickBot="1">
      <c r="A102" s="234" t="s">
        <v>228</v>
      </c>
    </row>
    <row r="103" spans="1:34" ht="12" thickBot="1">
      <c r="A103" s="236"/>
      <c r="B103" s="237">
        <f t="shared" ref="B103:T103" si="66">B2</f>
        <v>2001</v>
      </c>
      <c r="C103" s="237">
        <f t="shared" si="66"/>
        <v>2002</v>
      </c>
      <c r="D103" s="237">
        <f t="shared" si="66"/>
        <v>2003</v>
      </c>
      <c r="E103" s="237">
        <f t="shared" si="66"/>
        <v>2004</v>
      </c>
      <c r="F103" s="237">
        <f t="shared" si="66"/>
        <v>2005</v>
      </c>
      <c r="G103" s="237">
        <f t="shared" si="66"/>
        <v>2006</v>
      </c>
      <c r="H103" s="237">
        <f t="shared" si="66"/>
        <v>2007</v>
      </c>
      <c r="I103" s="237">
        <f t="shared" si="66"/>
        <v>2008</v>
      </c>
      <c r="J103" s="237">
        <f t="shared" si="66"/>
        <v>2009</v>
      </c>
      <c r="K103" s="237">
        <f t="shared" si="66"/>
        <v>2010</v>
      </c>
      <c r="L103" s="237">
        <f t="shared" si="66"/>
        <v>2011</v>
      </c>
      <c r="M103" s="238">
        <f t="shared" si="66"/>
        <v>2012</v>
      </c>
      <c r="N103" s="238">
        <f t="shared" si="66"/>
        <v>2013</v>
      </c>
      <c r="O103" s="238">
        <f t="shared" si="66"/>
        <v>2014</v>
      </c>
      <c r="P103" s="238">
        <f t="shared" si="66"/>
        <v>2015</v>
      </c>
      <c r="Q103" s="238">
        <f t="shared" si="66"/>
        <v>2016</v>
      </c>
      <c r="R103" s="238">
        <f t="shared" si="66"/>
        <v>2017</v>
      </c>
      <c r="S103" s="238">
        <f t="shared" si="66"/>
        <v>2018</v>
      </c>
      <c r="T103" s="238">
        <f t="shared" si="66"/>
        <v>2019</v>
      </c>
      <c r="U103" s="238">
        <f>U2</f>
        <v>2020</v>
      </c>
      <c r="V103" s="238">
        <f t="shared" ref="V103:AH103" si="67">V2</f>
        <v>2021</v>
      </c>
      <c r="W103" s="238">
        <f t="shared" si="67"/>
        <v>2022</v>
      </c>
      <c r="X103" s="238">
        <f t="shared" si="67"/>
        <v>2023</v>
      </c>
      <c r="Y103" s="238">
        <f t="shared" si="67"/>
        <v>2024</v>
      </c>
      <c r="Z103" s="238">
        <f t="shared" si="67"/>
        <v>2025</v>
      </c>
      <c r="AA103" s="238">
        <f t="shared" si="67"/>
        <v>2026</v>
      </c>
      <c r="AB103" s="238">
        <f t="shared" si="67"/>
        <v>2027</v>
      </c>
      <c r="AC103" s="238">
        <f t="shared" si="67"/>
        <v>2028</v>
      </c>
      <c r="AD103" s="238">
        <f t="shared" si="67"/>
        <v>2029</v>
      </c>
      <c r="AE103" s="238">
        <f t="shared" si="67"/>
        <v>2030</v>
      </c>
      <c r="AF103" s="238">
        <f t="shared" si="67"/>
        <v>2031</v>
      </c>
      <c r="AG103" s="238">
        <f t="shared" si="67"/>
        <v>2032</v>
      </c>
      <c r="AH103" s="238">
        <f t="shared" si="67"/>
        <v>2033</v>
      </c>
    </row>
    <row r="104" spans="1:34">
      <c r="A104" s="68" t="s">
        <v>167</v>
      </c>
      <c r="M104" s="253"/>
      <c r="N104" s="253"/>
      <c r="O104" s="253"/>
      <c r="P104" s="253"/>
      <c r="Q104" s="253"/>
      <c r="R104" s="253"/>
      <c r="S104" s="253"/>
      <c r="T104" s="253"/>
      <c r="U104" s="254">
        <f>[3]Forecasts!$C2</f>
        <v>1.8632</v>
      </c>
      <c r="V104" s="254">
        <f>[3]Forecasts!$C14</f>
        <v>1.5874999999999999</v>
      </c>
      <c r="W104" s="254">
        <f>[3]Forecasts!$C26</f>
        <v>2.6183000000000001</v>
      </c>
      <c r="X104" s="254">
        <f>[3]Forecasts!$C38</f>
        <v>2.9518</v>
      </c>
      <c r="Y104" s="254">
        <f>[3]Forecasts!$C50</f>
        <v>2.5011000000000001</v>
      </c>
      <c r="Z104" s="254">
        <f>[3]Forecasts!$C62</f>
        <v>2.76</v>
      </c>
      <c r="AA104" s="254">
        <f>[3]Forecasts!$C74</f>
        <v>2.6727888000000002</v>
      </c>
      <c r="AB104" s="254">
        <f>[3]Forecasts!$C86</f>
        <v>2.906097307747133</v>
      </c>
      <c r="AC104" s="254">
        <f>[3]Forecasts!$C98</f>
        <v>3.0853146052547751</v>
      </c>
      <c r="AD104" s="254">
        <f>[3]Forecasts!$C110</f>
        <v>3.8135664248411278</v>
      </c>
      <c r="AE104" s="254">
        <f>[3]Forecasts!$C122</f>
        <v>3.9949003755493111</v>
      </c>
      <c r="AF104" s="254">
        <f>[3]Forecasts!$C134</f>
        <v>4.0297838415276761</v>
      </c>
      <c r="AG104" s="254">
        <f>[3]Forecasts!$C146</f>
        <v>4.6125434598018415</v>
      </c>
      <c r="AH104" s="254">
        <f>[3]Forecasts!$C158</f>
        <v>4.1496174488125552</v>
      </c>
    </row>
    <row r="105" spans="1:34">
      <c r="A105" s="68" t="s">
        <v>168</v>
      </c>
      <c r="M105" s="253"/>
      <c r="N105" s="253"/>
      <c r="O105" s="253"/>
      <c r="P105" s="253"/>
      <c r="Q105" s="253"/>
      <c r="R105" s="253"/>
      <c r="S105" s="253"/>
      <c r="T105" s="253"/>
      <c r="U105" s="254">
        <f>[3]Forecasts!$C3</f>
        <v>1.6326000000000001</v>
      </c>
      <c r="V105" s="254">
        <f>[3]Forecasts!$C15</f>
        <v>1.7950999999999999</v>
      </c>
      <c r="W105" s="254">
        <f>[3]Forecasts!$C27</f>
        <v>2.8553999999999999</v>
      </c>
      <c r="X105" s="254">
        <f>[3]Forecasts!$C39</f>
        <v>2.8294000000000001</v>
      </c>
      <c r="Y105" s="254">
        <f>[3]Forecasts!$C51</f>
        <v>2.5948000000000002</v>
      </c>
      <c r="Z105" s="254">
        <f>[3]Forecasts!$C63</f>
        <v>2.7</v>
      </c>
      <c r="AA105" s="254">
        <f>[3]Forecasts!$C75</f>
        <v>2.6968438992000001</v>
      </c>
      <c r="AB105" s="254">
        <f>[3]Forecasts!$C87</f>
        <v>2.9264399889013628</v>
      </c>
      <c r="AC105" s="254">
        <f>[3]Forecasts!$C99</f>
        <v>3.1038264928863035</v>
      </c>
      <c r="AD105" s="254">
        <f>[3]Forecasts!$C111</f>
        <v>3.8669563547889036</v>
      </c>
      <c r="AE105" s="254">
        <f>[3]Forecasts!$C123</f>
        <v>4.0548238811825508</v>
      </c>
      <c r="AF105" s="254">
        <f>[3]Forecasts!$C135</f>
        <v>4.0539625445768426</v>
      </c>
      <c r="AG105" s="254">
        <f>[3]Forecasts!$C147</f>
        <v>4.6771190682390671</v>
      </c>
      <c r="AH105" s="254">
        <f>[3]Forecasts!$C159</f>
        <v>3.7118617105447438</v>
      </c>
    </row>
    <row r="106" spans="1:34">
      <c r="A106" s="68" t="s">
        <v>169</v>
      </c>
      <c r="M106" s="253"/>
      <c r="N106" s="253"/>
      <c r="O106" s="253"/>
      <c r="P106" s="253"/>
      <c r="Q106" s="253"/>
      <c r="R106" s="253"/>
      <c r="S106" s="253"/>
      <c r="T106" s="253"/>
      <c r="U106" s="254">
        <f>[3]Forecasts!$C4</f>
        <v>1.1818</v>
      </c>
      <c r="V106" s="254">
        <f>[3]Forecasts!$C16</f>
        <v>1.8698999999999999</v>
      </c>
      <c r="W106" s="254">
        <f>[3]Forecasts!$C28</f>
        <v>3.6623000000000001</v>
      </c>
      <c r="X106" s="254">
        <f>[3]Forecasts!$C40</f>
        <v>2.6103000000000001</v>
      </c>
      <c r="Y106" s="254">
        <f>[3]Forecasts!$C52</f>
        <v>2.6656</v>
      </c>
      <c r="Z106" s="254">
        <f>[3]Forecasts!$C64</f>
        <v>2.4500000000000002</v>
      </c>
      <c r="AA106" s="254">
        <f>[3]Forecasts!$C76</f>
        <v>2.7238123381920003</v>
      </c>
      <c r="AB106" s="254">
        <f>[3]Forecasts!$C88</f>
        <v>2.943998628834771</v>
      </c>
      <c r="AC106" s="254">
        <f>[3]Forecasts!$C100</f>
        <v>2.9193456253507351</v>
      </c>
      <c r="AD106" s="254">
        <f>[3]Forecasts!$C112</f>
        <v>3.7094928746915814</v>
      </c>
      <c r="AE106" s="254">
        <f>[3]Forecasts!$C124</f>
        <v>4.1034817677567412</v>
      </c>
      <c r="AF106" s="254">
        <f>[3]Forecasts!$C136</f>
        <v>4.074232357299727</v>
      </c>
      <c r="AG106" s="254">
        <f>[3]Forecasts!$C148</f>
        <v>4.7285673779896973</v>
      </c>
      <c r="AH106" s="254">
        <f>[3]Forecasts!$C160</f>
        <v>3.7564040510712808</v>
      </c>
    </row>
    <row r="107" spans="1:34">
      <c r="A107" s="68" t="s">
        <v>170</v>
      </c>
      <c r="M107" s="253"/>
      <c r="N107" s="253"/>
      <c r="O107" s="253"/>
      <c r="P107" s="253"/>
      <c r="Q107" s="253"/>
      <c r="R107" s="253"/>
      <c r="S107" s="253"/>
      <c r="T107" s="253"/>
      <c r="U107" s="254">
        <f>[3]Forecasts!$C5</f>
        <v>0.87690000000000001</v>
      </c>
      <c r="V107" s="254">
        <f>[3]Forecasts!$C17</f>
        <v>1.8716999999999999</v>
      </c>
      <c r="W107" s="254">
        <f>[3]Forecasts!$C29</f>
        <v>3.8795000000000002</v>
      </c>
      <c r="X107" s="254">
        <f>[3]Forecasts!$C41</f>
        <v>2.3999000000000001</v>
      </c>
      <c r="Y107" s="254">
        <f>[3]Forecasts!$C53</f>
        <v>2.6368</v>
      </c>
      <c r="Z107" s="254">
        <f>[3]Forecasts!$C65</f>
        <v>2.5731999999999999</v>
      </c>
      <c r="AA107" s="254">
        <f>[3]Forecasts!$C77</f>
        <v>2.7483266492357283</v>
      </c>
      <c r="AB107" s="254">
        <f>[3]Forecasts!$C89</f>
        <v>2.958718621978945</v>
      </c>
      <c r="AC107" s="254">
        <f>[3]Forecasts!$C101</f>
        <v>2.9310230078521382</v>
      </c>
      <c r="AD107" s="254">
        <f>[3]Forecasts!$C113</f>
        <v>3.5391688176891138</v>
      </c>
      <c r="AE107" s="254">
        <f>[3]Forecasts!$C125</f>
        <v>4.1404131036665524</v>
      </c>
      <c r="AF107" s="254">
        <f>[3]Forecasts!$C137</f>
        <v>4.090529286728926</v>
      </c>
      <c r="AG107" s="254">
        <f>[3]Forecasts!$C149</f>
        <v>4.7663959170136145</v>
      </c>
      <c r="AH107" s="254">
        <f>[3]Forecasts!$C161</f>
        <v>3.7902116875309222</v>
      </c>
    </row>
    <row r="108" spans="1:34">
      <c r="A108" s="68" t="s">
        <v>171</v>
      </c>
      <c r="M108" s="253"/>
      <c r="N108" s="253"/>
      <c r="O108" s="253"/>
      <c r="P108" s="253"/>
      <c r="Q108" s="253"/>
      <c r="R108" s="253"/>
      <c r="S108" s="253"/>
      <c r="T108" s="253"/>
      <c r="U108" s="254">
        <f>[3]Forecasts!$C6</f>
        <v>0.92020000000000002</v>
      </c>
      <c r="V108" s="254">
        <f>[3]Forecasts!$C18</f>
        <v>2.0308999999999999</v>
      </c>
      <c r="W108" s="254">
        <f>[3]Forecasts!$C30</f>
        <v>3.9176000000000002</v>
      </c>
      <c r="X108" s="254">
        <f>[3]Forecasts!$C42</f>
        <v>2.1654</v>
      </c>
      <c r="Y108" s="254">
        <f>[3]Forecasts!$C54</f>
        <v>2.4277000000000002</v>
      </c>
      <c r="Z108" s="254">
        <f>[3]Forecasts!$C66</f>
        <v>2.5461999999999998</v>
      </c>
      <c r="AA108" s="254">
        <f>[3]Forecasts!$C78</f>
        <v>2.7703132624296143</v>
      </c>
      <c r="AB108" s="254">
        <f>[3]Forecasts!$C90</f>
        <v>2.9705534964668607</v>
      </c>
      <c r="AC108" s="254">
        <f>[3]Forecasts!$C102</f>
        <v>2.9486091458992512</v>
      </c>
      <c r="AD108" s="254">
        <f>[3]Forecasts!$C114</f>
        <v>3.5568646617775594</v>
      </c>
      <c r="AE108" s="254">
        <f>[3]Forecasts!$C126</f>
        <v>4.1652555822885518</v>
      </c>
      <c r="AF108" s="254">
        <f>[3]Forecasts!$C138</f>
        <v>4.1150724624492998</v>
      </c>
      <c r="AG108" s="254">
        <f>[3]Forecasts!$C150</f>
        <v>4.2902278965986822</v>
      </c>
      <c r="AH108" s="254">
        <f>[3]Forecasts!$C162</f>
        <v>3.3129529576561079</v>
      </c>
    </row>
    <row r="109" spans="1:34">
      <c r="A109" s="68" t="s">
        <v>172</v>
      </c>
      <c r="M109" s="253"/>
      <c r="N109" s="253"/>
      <c r="O109" s="253"/>
      <c r="P109" s="253"/>
      <c r="Q109" s="253"/>
      <c r="R109" s="253"/>
      <c r="S109" s="253"/>
      <c r="T109" s="253"/>
      <c r="U109" s="254">
        <f>[3]Forecasts!$C7</f>
        <v>1.1539999999999999</v>
      </c>
      <c r="V109" s="254">
        <f>[3]Forecasts!$C19</f>
        <v>2.1303999999999998</v>
      </c>
      <c r="W109" s="254">
        <f>[3]Forecasts!$C31</f>
        <v>4.3010999999999999</v>
      </c>
      <c r="X109" s="254">
        <f>[3]Forecasts!$C43</f>
        <v>2.2235999999999998</v>
      </c>
      <c r="Y109" s="254">
        <f>[3]Forecasts!$C55</f>
        <v>2.4277000000000002</v>
      </c>
      <c r="Z109" s="254">
        <f>[3]Forecasts!$C67</f>
        <v>2.6409000000000002</v>
      </c>
      <c r="AA109" s="254">
        <f>[3]Forecasts!$C79</f>
        <v>2.7897054552666214</v>
      </c>
      <c r="AB109" s="254">
        <f>[3]Forecasts!$C91</f>
        <v>2.9824357104527284</v>
      </c>
      <c r="AC109" s="254">
        <f>[3]Forecasts!$C103</f>
        <v>2.972198019066445</v>
      </c>
      <c r="AD109" s="254">
        <f>[3]Forecasts!$C115</f>
        <v>3.5639783911011147</v>
      </c>
      <c r="AE109" s="254">
        <f>[3]Forecasts!$C127</f>
        <v>3.9777513490354171</v>
      </c>
      <c r="AF109" s="254">
        <f>[3]Forecasts!$C139</f>
        <v>4.1479930421488946</v>
      </c>
      <c r="AG109" s="254">
        <f>[3]Forecasts!$C151</f>
        <v>3.7644865292190905</v>
      </c>
      <c r="AH109" s="254">
        <f>[3]Forecasts!$C163</f>
        <v>3.3427695342750128</v>
      </c>
    </row>
    <row r="110" spans="1:34">
      <c r="A110" s="68" t="s">
        <v>173</v>
      </c>
      <c r="M110" s="253"/>
      <c r="N110" s="253"/>
      <c r="O110" s="253"/>
      <c r="P110" s="253"/>
      <c r="Q110" s="253"/>
      <c r="R110" s="253"/>
      <c r="S110" s="253"/>
      <c r="T110" s="253"/>
      <c r="U110" s="254">
        <f>[3]Forecasts!$C8</f>
        <v>1.2476</v>
      </c>
      <c r="V110" s="254">
        <f>[3]Forecasts!$C20</f>
        <v>2.1139999999999999</v>
      </c>
      <c r="W110" s="254">
        <f>[3]Forecasts!$C32</f>
        <v>3.6501999999999999</v>
      </c>
      <c r="X110" s="254">
        <f>[3]Forecasts!$C44</f>
        <v>2.5154999999999998</v>
      </c>
      <c r="Y110" s="254">
        <f>[3]Forecasts!$C56</f>
        <v>2.3199999999999998</v>
      </c>
      <c r="Z110" s="254">
        <f>[3]Forecasts!$C68</f>
        <v>2.6913</v>
      </c>
      <c r="AA110" s="254">
        <f>[3]Forecasts!$C80</f>
        <v>2.8064436879982213</v>
      </c>
      <c r="AB110" s="254">
        <f>[3]Forecasts!$C92</f>
        <v>2.9943654532945394</v>
      </c>
      <c r="AC110" s="254">
        <f>[3]Forecasts!$C104</f>
        <v>3.0019199992571095</v>
      </c>
      <c r="AD110" s="254">
        <f>[3]Forecasts!$C116</f>
        <v>3.6104144127100133</v>
      </c>
      <c r="AE110" s="254">
        <f>[3]Forecasts!$C128</f>
        <v>3.9777513490354171</v>
      </c>
      <c r="AF110" s="254">
        <f>[3]Forecasts!$C140</f>
        <v>4.1894729725703836</v>
      </c>
      <c r="AG110" s="254">
        <f>[3]Forecasts!$C152</f>
        <v>3.7607220426898715</v>
      </c>
      <c r="AH110" s="254">
        <f>[3]Forecasts!$C164</f>
        <v>3.3628261514806628</v>
      </c>
    </row>
    <row r="111" spans="1:34">
      <c r="A111" s="68" t="s">
        <v>174</v>
      </c>
      <c r="M111" s="253"/>
      <c r="N111" s="253"/>
      <c r="O111" s="253"/>
      <c r="P111" s="253"/>
      <c r="Q111" s="253"/>
      <c r="R111" s="253"/>
      <c r="S111" s="253"/>
      <c r="T111" s="253"/>
      <c r="U111" s="254">
        <f>[3]Forecasts!$C9</f>
        <v>1.2482</v>
      </c>
      <c r="V111" s="254">
        <f>[3]Forecasts!$C21</f>
        <v>2.0815000000000001</v>
      </c>
      <c r="W111" s="254">
        <f>[3]Forecasts!$C33</f>
        <v>3.6059999999999999</v>
      </c>
      <c r="X111" s="254">
        <f>[3]Forecasts!$C45</f>
        <v>3.1316000000000002</v>
      </c>
      <c r="Y111" s="254">
        <f>[3]Forecasts!$C57</f>
        <v>2.11</v>
      </c>
      <c r="Z111" s="254">
        <f>[3]Forecasts!$C69</f>
        <v>2.7498</v>
      </c>
      <c r="AA111" s="254">
        <f>[3]Forecasts!$C81</f>
        <v>2.8204759064382126</v>
      </c>
      <c r="AB111" s="254">
        <f>[3]Forecasts!$C93</f>
        <v>3.0063429151077177</v>
      </c>
      <c r="AC111" s="254">
        <f>[3]Forecasts!$C105</f>
        <v>3.0379430392481948</v>
      </c>
      <c r="AD111" s="254">
        <f>[3]Forecasts!$C117</f>
        <v>3.7959727550591733</v>
      </c>
      <c r="AE111" s="254">
        <f>[3]Forecasts!$C129</f>
        <v>3.9658180949883106</v>
      </c>
      <c r="AF111" s="254">
        <f>[3]Forecasts!$C141</f>
        <v>4.239746648241228</v>
      </c>
      <c r="AG111" s="254">
        <f>[3]Forecasts!$C153</f>
        <v>3.7456791545191122</v>
      </c>
      <c r="AH111" s="254">
        <f>[3]Forecasts!$C165</f>
        <v>3.3527376730262208</v>
      </c>
    </row>
    <row r="112" spans="1:34">
      <c r="A112" s="68" t="s">
        <v>175</v>
      </c>
      <c r="M112" s="253"/>
      <c r="N112" s="253"/>
      <c r="O112" s="253"/>
      <c r="P112" s="253"/>
      <c r="Q112" s="253"/>
      <c r="R112" s="253"/>
      <c r="S112" s="253"/>
      <c r="T112" s="253"/>
      <c r="U112" s="254">
        <f>[3]Forecasts!$C10</f>
        <v>1.1354</v>
      </c>
      <c r="V112" s="254">
        <f>[3]Forecasts!$C22</f>
        <v>2.2090999999999998</v>
      </c>
      <c r="W112" s="254">
        <f>[3]Forecasts!$C34</f>
        <v>3.4216000000000002</v>
      </c>
      <c r="X112" s="254">
        <f>[3]Forecasts!$C46</f>
        <v>3.7347999999999999</v>
      </c>
      <c r="Y112" s="254">
        <f>[3]Forecasts!$C58</f>
        <v>2.02</v>
      </c>
      <c r="Z112" s="254">
        <f>[3]Forecasts!$C70</f>
        <v>2.6375000000000002</v>
      </c>
      <c r="AA112" s="254">
        <f>[3]Forecasts!$C82</f>
        <v>2.8317578100639653</v>
      </c>
      <c r="AB112" s="254">
        <f>[3]Forecasts!$C94</f>
        <v>3.0183682867681485</v>
      </c>
      <c r="AC112" s="254">
        <f>[3]Forecasts!$C106</f>
        <v>3.0804742417976696</v>
      </c>
      <c r="AD112" s="254">
        <f>[3]Forecasts!$C118</f>
        <v>3.7694009457737589</v>
      </c>
      <c r="AE112" s="254">
        <f>[3]Forecasts!$C130</f>
        <v>3.9420231864183806</v>
      </c>
      <c r="AF112" s="254">
        <f>[3]Forecasts!$C142</f>
        <v>4.2991031013166054</v>
      </c>
      <c r="AG112" s="254">
        <f>[3]Forecasts!$C154</f>
        <v>3.7194594004374784</v>
      </c>
      <c r="AH112" s="254">
        <f>[3]Forecasts!$C166</f>
        <v>3.3326212469880634</v>
      </c>
    </row>
    <row r="113" spans="1:38">
      <c r="A113" s="68" t="s">
        <v>176</v>
      </c>
      <c r="M113" s="253"/>
      <c r="N113" s="253"/>
      <c r="O113" s="253"/>
      <c r="P113" s="253"/>
      <c r="Q113" s="253"/>
      <c r="R113" s="253"/>
      <c r="S113" s="253"/>
      <c r="T113" s="253"/>
      <c r="U113" s="254">
        <f>[3]Forecasts!$C11</f>
        <v>1.1605000000000001</v>
      </c>
      <c r="V113" s="254">
        <f>[3]Forecasts!$C23</f>
        <v>2.5255999999999998</v>
      </c>
      <c r="W113" s="254">
        <f>[3]Forecasts!$C35</f>
        <v>3.9615785714285709</v>
      </c>
      <c r="X113" s="254">
        <f>[3]Forecasts!$C47</f>
        <v>3.2168000000000001</v>
      </c>
      <c r="Y113" s="254">
        <f>[3]Forecasts!$C59</f>
        <v>2.17</v>
      </c>
      <c r="Z113" s="254">
        <f>[3]Forecasts!$C71</f>
        <v>2.7104999999999997</v>
      </c>
      <c r="AA113" s="254">
        <f>[3]Forecasts!$C83</f>
        <v>2.8459165991142852</v>
      </c>
      <c r="AB113" s="254">
        <f>[3]Forecasts!$C95</f>
        <v>3.0304417599152211</v>
      </c>
      <c r="AC113" s="254">
        <f>[3]Forecasts!$C107</f>
        <v>3.1297618296664322</v>
      </c>
      <c r="AD113" s="254">
        <f>[3]Forecasts!$C119</f>
        <v>3.7317069363160216</v>
      </c>
      <c r="AE113" s="254">
        <f>[3]Forecasts!$C131</f>
        <v>3.9065449777406154</v>
      </c>
      <c r="AF113" s="254">
        <f>[3]Forecasts!$C143</f>
        <v>4.3678887509376709</v>
      </c>
      <c r="AG113" s="254">
        <f>[3]Forecasts!$C155</f>
        <v>3.6822648064331034</v>
      </c>
      <c r="AH113" s="254">
        <f>[3]Forecasts!$C167</f>
        <v>3.3026276557651708</v>
      </c>
    </row>
    <row r="114" spans="1:38">
      <c r="A114" s="68" t="s">
        <v>177</v>
      </c>
      <c r="M114" s="253"/>
      <c r="N114" s="253"/>
      <c r="O114" s="253"/>
      <c r="P114" s="253"/>
      <c r="Q114" s="253"/>
      <c r="R114" s="253"/>
      <c r="S114" s="253"/>
      <c r="T114" s="253"/>
      <c r="U114" s="254">
        <f>[3]Forecasts!$C12</f>
        <v>1.2509999999999999</v>
      </c>
      <c r="V114" s="254">
        <f>[3]Forecasts!$C24</f>
        <v>2.3986000000000001</v>
      </c>
      <c r="W114" s="254">
        <f>[3]Forecasts!$C36</f>
        <v>3.5769000000000002</v>
      </c>
      <c r="X114" s="254">
        <f>[3]Forecasts!$C48</f>
        <v>2.944</v>
      </c>
      <c r="Y114" s="254">
        <f>[3]Forecasts!$C60</f>
        <v>2.29</v>
      </c>
      <c r="Z114" s="254">
        <f>[3]Forecasts!$C72</f>
        <v>2.7595000000000001</v>
      </c>
      <c r="AA114" s="254">
        <f>[3]Forecasts!$C84</f>
        <v>2.862992098708971</v>
      </c>
      <c r="AB114" s="254">
        <f>[3]Forecasts!$C96</f>
        <v>3.045593968714797</v>
      </c>
      <c r="AC114" s="254">
        <f>[3]Forecasts!$C108</f>
        <v>3.1860975426004279</v>
      </c>
      <c r="AD114" s="254">
        <f>[3]Forecasts!$C120</f>
        <v>3.6831947461439132</v>
      </c>
      <c r="AE114" s="254">
        <f>[3]Forecasts!$C132</f>
        <v>3.8596664380077281</v>
      </c>
      <c r="AF114" s="254">
        <f>[3]Forecasts!$C144</f>
        <v>4.446510748454549</v>
      </c>
      <c r="AG114" s="254">
        <f>[3]Forecasts!$C156</f>
        <v>3.6343953639494733</v>
      </c>
      <c r="AH114" s="254">
        <f>[3]Forecasts!$C168</f>
        <v>3.2629961238959888</v>
      </c>
    </row>
    <row r="115" spans="1:38">
      <c r="A115" s="68" t="s">
        <v>178</v>
      </c>
      <c r="M115" s="253"/>
      <c r="N115" s="253"/>
      <c r="O115" s="253"/>
      <c r="P115" s="253"/>
      <c r="Q115" s="253"/>
      <c r="R115" s="253"/>
      <c r="S115" s="253"/>
      <c r="T115" s="253"/>
      <c r="U115" s="254">
        <f>[3]Forecasts!$C13</f>
        <v>1.4568000000000001</v>
      </c>
      <c r="V115" s="254">
        <f>[3]Forecasts!$C25</f>
        <v>2.2559</v>
      </c>
      <c r="W115" s="254">
        <f>[3]Forecasts!$C37</f>
        <v>2.9495</v>
      </c>
      <c r="X115" s="254">
        <f>[3]Forecasts!$C49</f>
        <v>2.5878999999999999</v>
      </c>
      <c r="Y115" s="254">
        <f>[3]Forecasts!$C61</f>
        <v>2.5099999999999998</v>
      </c>
      <c r="Z115" s="254">
        <f>[3]Forecasts!$C73</f>
        <v>2.7111000000000001</v>
      </c>
      <c r="AA115" s="254">
        <f>[3]Forecasts!$C85</f>
        <v>2.8830330433999336</v>
      </c>
      <c r="AB115" s="254">
        <f>[3]Forecasts!$C97</f>
        <v>3.0638675325270857</v>
      </c>
      <c r="AC115" s="254">
        <f>[3]Forecasts!$C109</f>
        <v>3.7498194934524363</v>
      </c>
      <c r="AD115" s="254">
        <f>[3]Forecasts!$C121</f>
        <v>3.9242636302056102</v>
      </c>
      <c r="AE115" s="254">
        <f>[3]Forecasts!$C133</f>
        <v>4.0017714414376124</v>
      </c>
      <c r="AF115" s="254">
        <f>[3]Forecasts!$C145</f>
        <v>4.5354409634236399</v>
      </c>
      <c r="AG115" s="254">
        <f>[3]Forecasts!$C157</f>
        <v>4.0762450381262818</v>
      </c>
      <c r="AH115" s="254">
        <f>[3]Forecasts!$C169</f>
        <v>3.214051182037549</v>
      </c>
    </row>
    <row r="116" spans="1:38">
      <c r="A116" s="244" t="s">
        <v>201</v>
      </c>
      <c r="M116" s="253"/>
      <c r="N116" s="253"/>
      <c r="O116" s="253"/>
      <c r="P116" s="253"/>
      <c r="Q116" s="253"/>
      <c r="R116" s="253"/>
      <c r="S116" s="253"/>
      <c r="T116" s="253"/>
      <c r="U116" s="254">
        <f>AVERAGE(U104:U115)</f>
        <v>1.2606833333333334</v>
      </c>
      <c r="V116" s="254">
        <f>AVERAGE(V104:V115)</f>
        <v>2.0725166666666666</v>
      </c>
      <c r="W116" s="254">
        <f>AVERAGE(W104:W115)</f>
        <v>3.5333315476190479</v>
      </c>
      <c r="X116" s="254">
        <f>AVERAGE(X104:X115)</f>
        <v>2.7759166666666668</v>
      </c>
      <c r="Y116" s="254">
        <f>AVERAGE(Y104:Y115)</f>
        <v>2.3894749999999996</v>
      </c>
      <c r="Z116" s="254">
        <f t="shared" ref="Z116:AH116" si="68">AVERAGE(Z104:Z115)</f>
        <v>2.6608333333333332</v>
      </c>
      <c r="AA116" s="254">
        <f t="shared" si="68"/>
        <v>2.7877007958372961</v>
      </c>
      <c r="AB116" s="254">
        <f t="shared" si="68"/>
        <v>2.9872686392257752</v>
      </c>
      <c r="AC116" s="254">
        <f t="shared" si="68"/>
        <v>3.09552775352766</v>
      </c>
      <c r="AD116" s="254">
        <f t="shared" si="68"/>
        <v>3.713748412591491</v>
      </c>
      <c r="AE116" s="254">
        <f t="shared" si="68"/>
        <v>4.0075167955922657</v>
      </c>
      <c r="AF116" s="254">
        <f t="shared" si="68"/>
        <v>4.2158113933062866</v>
      </c>
      <c r="AG116" s="254">
        <f t="shared" si="68"/>
        <v>4.1215088379181095</v>
      </c>
      <c r="AH116" s="254">
        <f t="shared" si="68"/>
        <v>3.4909731185903561</v>
      </c>
    </row>
    <row r="117" spans="1:38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  <c r="AA117" s="255"/>
      <c r="AB117" s="255"/>
      <c r="AC117" s="255"/>
      <c r="AD117" s="255"/>
      <c r="AE117" s="255"/>
      <c r="AF117" s="255"/>
      <c r="AG117" s="255"/>
      <c r="AH117" s="255"/>
    </row>
    <row r="118" spans="1:38" ht="12" thickBot="1">
      <c r="A118" s="234" t="s">
        <v>229</v>
      </c>
      <c r="X118" s="256"/>
    </row>
    <row r="119" spans="1:38" ht="12" thickBot="1">
      <c r="A119" s="236"/>
      <c r="B119" s="237">
        <f>B2</f>
        <v>2001</v>
      </c>
      <c r="C119" s="237">
        <f t="shared" ref="C119:AH119" si="69">C2</f>
        <v>2002</v>
      </c>
      <c r="D119" s="237">
        <f t="shared" si="69"/>
        <v>2003</v>
      </c>
      <c r="E119" s="237">
        <f t="shared" si="69"/>
        <v>2004</v>
      </c>
      <c r="F119" s="237">
        <f t="shared" si="69"/>
        <v>2005</v>
      </c>
      <c r="G119" s="237">
        <f t="shared" si="69"/>
        <v>2006</v>
      </c>
      <c r="H119" s="237">
        <f t="shared" si="69"/>
        <v>2007</v>
      </c>
      <c r="I119" s="237">
        <f t="shared" si="69"/>
        <v>2008</v>
      </c>
      <c r="J119" s="237">
        <f t="shared" si="69"/>
        <v>2009</v>
      </c>
      <c r="K119" s="237">
        <f t="shared" si="69"/>
        <v>2010</v>
      </c>
      <c r="L119" s="238">
        <f t="shared" si="69"/>
        <v>2011</v>
      </c>
      <c r="M119" s="238">
        <f t="shared" si="69"/>
        <v>2012</v>
      </c>
      <c r="N119" s="238">
        <f t="shared" si="69"/>
        <v>2013</v>
      </c>
      <c r="O119" s="238">
        <f t="shared" si="69"/>
        <v>2014</v>
      </c>
      <c r="P119" s="238">
        <f t="shared" si="69"/>
        <v>2015</v>
      </c>
      <c r="Q119" s="238">
        <f t="shared" si="69"/>
        <v>2016</v>
      </c>
      <c r="R119" s="238">
        <f t="shared" si="69"/>
        <v>2017</v>
      </c>
      <c r="S119" s="238">
        <f t="shared" si="69"/>
        <v>2018</v>
      </c>
      <c r="T119" s="238">
        <f t="shared" si="69"/>
        <v>2019</v>
      </c>
      <c r="U119" s="238">
        <f t="shared" si="69"/>
        <v>2020</v>
      </c>
      <c r="V119" s="238">
        <f t="shared" si="69"/>
        <v>2021</v>
      </c>
      <c r="W119" s="238">
        <f t="shared" si="69"/>
        <v>2022</v>
      </c>
      <c r="X119" s="238">
        <f t="shared" si="69"/>
        <v>2023</v>
      </c>
      <c r="Y119" s="238">
        <f t="shared" si="69"/>
        <v>2024</v>
      </c>
      <c r="Z119" s="238">
        <f t="shared" si="69"/>
        <v>2025</v>
      </c>
      <c r="AA119" s="238">
        <f t="shared" si="69"/>
        <v>2026</v>
      </c>
      <c r="AB119" s="238">
        <f t="shared" si="69"/>
        <v>2027</v>
      </c>
      <c r="AC119" s="238">
        <f t="shared" si="69"/>
        <v>2028</v>
      </c>
      <c r="AD119" s="238">
        <f t="shared" si="69"/>
        <v>2029</v>
      </c>
      <c r="AE119" s="238">
        <f t="shared" si="69"/>
        <v>2030</v>
      </c>
      <c r="AF119" s="238">
        <f t="shared" si="69"/>
        <v>2031</v>
      </c>
      <c r="AG119" s="238">
        <f t="shared" si="69"/>
        <v>2032</v>
      </c>
      <c r="AH119" s="238">
        <f t="shared" si="69"/>
        <v>2033</v>
      </c>
    </row>
    <row r="120" spans="1:38">
      <c r="A120" s="68" t="s">
        <v>167</v>
      </c>
      <c r="L120" s="239"/>
      <c r="M120" s="239">
        <f>'[4]Renewable Diesel'!$AX25</f>
        <v>160</v>
      </c>
      <c r="N120" s="239">
        <f>'[4]Renewable Diesel'!$AX37</f>
        <v>160</v>
      </c>
      <c r="O120" s="239">
        <f>'[4]Renewable Diesel'!$AX49</f>
        <v>160</v>
      </c>
      <c r="P120" s="239">
        <f>'[4]Renewable Diesel'!$AX61</f>
        <v>255</v>
      </c>
      <c r="Q120" s="239">
        <f>'[4]Renewable Diesel'!$AX73</f>
        <v>266</v>
      </c>
      <c r="R120" s="239">
        <f>'[4]Renewable Diesel'!$AX85</f>
        <v>408</v>
      </c>
      <c r="S120" s="239">
        <f>'[4]Renewable Diesel'!$AX97</f>
        <v>408</v>
      </c>
      <c r="T120" s="239">
        <f>'[4]Renewable Diesel'!$AX109</f>
        <v>558</v>
      </c>
      <c r="U120" s="239">
        <f>'[4]Renewable Diesel'!$AX121</f>
        <v>558</v>
      </c>
      <c r="V120" s="239">
        <f>'[4]Renewable Diesel'!$AX133</f>
        <v>791</v>
      </c>
      <c r="W120" s="239">
        <f>'[4]Renewable Diesel'!$AX145</f>
        <v>1750</v>
      </c>
      <c r="X120" s="239">
        <f>'[4]Renewable Diesel'!$AX157</f>
        <v>2999</v>
      </c>
      <c r="Y120" s="239">
        <f>'[4]Renewable Diesel'!$AX169</f>
        <v>3857</v>
      </c>
      <c r="Z120" s="239">
        <f>'[4]Renewable Diesel'!$AX181</f>
        <v>4589.5</v>
      </c>
      <c r="AA120" s="239">
        <f>'[4]Renewable Diesel'!$AX193</f>
        <v>4925.6000000000004</v>
      </c>
      <c r="AB120" s="239">
        <f>'[4]Renewable Diesel'!$AX205</f>
        <v>5170.1000000000004</v>
      </c>
      <c r="AC120" s="239">
        <f>'[4]Renewable Diesel'!$AX217</f>
        <v>5331.8500000000022</v>
      </c>
      <c r="AD120" s="239">
        <f>'[4]Renewable Diesel'!$AX229</f>
        <v>5389.3500000000013</v>
      </c>
      <c r="AE120" s="239">
        <f>'[4]Renewable Diesel'!$AX241</f>
        <v>5389.3500000000013</v>
      </c>
      <c r="AF120" s="239">
        <f>'[4]Renewable Diesel'!$AX253</f>
        <v>5389.3500000000013</v>
      </c>
      <c r="AG120" s="239">
        <f>'[4]Renewable Diesel'!$AX265</f>
        <v>5446.8500000000013</v>
      </c>
      <c r="AH120" s="239">
        <f>'[4]Renewable Diesel'!$AX277</f>
        <v>5446.8500000000013</v>
      </c>
    </row>
    <row r="121" spans="1:38">
      <c r="A121" s="68" t="s">
        <v>168</v>
      </c>
      <c r="L121" s="239"/>
      <c r="M121" s="239">
        <f>'[4]Renewable Diesel'!$AX26</f>
        <v>160</v>
      </c>
      <c r="N121" s="239">
        <f>'[4]Renewable Diesel'!$AX38</f>
        <v>160</v>
      </c>
      <c r="O121" s="239">
        <f>'[4]Renewable Diesel'!$AX50</f>
        <v>160</v>
      </c>
      <c r="P121" s="239">
        <f>'[4]Renewable Diesel'!$AX62</f>
        <v>255</v>
      </c>
      <c r="Q121" s="239">
        <f>'[4]Renewable Diesel'!$AX74</f>
        <v>277</v>
      </c>
      <c r="R121" s="239">
        <f>'[4]Renewable Diesel'!$AX86</f>
        <v>408</v>
      </c>
      <c r="S121" s="239">
        <f>'[4]Renewable Diesel'!$AX98</f>
        <v>408</v>
      </c>
      <c r="T121" s="239">
        <f>'[4]Renewable Diesel'!$AX110</f>
        <v>558</v>
      </c>
      <c r="U121" s="239">
        <f>'[4]Renewable Diesel'!$AX122</f>
        <v>558</v>
      </c>
      <c r="V121" s="239">
        <f>'[4]Renewable Diesel'!$AX134</f>
        <v>791</v>
      </c>
      <c r="W121" s="239">
        <f>'[4]Renewable Diesel'!$AX146</f>
        <v>1750</v>
      </c>
      <c r="X121" s="239">
        <f>'[4]Renewable Diesel'!$AX158</f>
        <v>3278</v>
      </c>
      <c r="Y121" s="239">
        <f>'[4]Renewable Diesel'!$AX170</f>
        <v>3857</v>
      </c>
      <c r="Z121" s="239">
        <f>'[4]Renewable Diesel'!$AX182</f>
        <v>4620.75</v>
      </c>
      <c r="AA121" s="239">
        <f>'[4]Renewable Diesel'!$AX194</f>
        <v>4974.3500000000004</v>
      </c>
      <c r="AB121" s="239">
        <f>'[4]Renewable Diesel'!$AX206</f>
        <v>5173.1000000000004</v>
      </c>
      <c r="AC121" s="239">
        <f>'[4]Renewable Diesel'!$AX218</f>
        <v>5350.6000000000013</v>
      </c>
      <c r="AD121" s="239">
        <f>'[4]Renewable Diesel'!$AX230</f>
        <v>5389.3500000000013</v>
      </c>
      <c r="AE121" s="239">
        <f>'[4]Renewable Diesel'!$AX242</f>
        <v>5389.3500000000013</v>
      </c>
      <c r="AF121" s="239">
        <f>'[4]Renewable Diesel'!$AX254</f>
        <v>5408.1000000000013</v>
      </c>
      <c r="AG121" s="239">
        <f>'[4]Renewable Diesel'!$AX266</f>
        <v>5446.8500000000013</v>
      </c>
      <c r="AH121" s="239">
        <f>'[4]Renewable Diesel'!$AX278</f>
        <v>5446.8500000000013</v>
      </c>
      <c r="AI121" s="233"/>
      <c r="AJ121" s="233"/>
      <c r="AK121" s="233"/>
      <c r="AL121" s="233"/>
    </row>
    <row r="122" spans="1:38">
      <c r="A122" s="68" t="s">
        <v>169</v>
      </c>
      <c r="L122" s="239"/>
      <c r="M122" s="239">
        <f>'[4]Renewable Diesel'!$AX27</f>
        <v>160</v>
      </c>
      <c r="N122" s="239">
        <f>'[4]Renewable Diesel'!$AX39</f>
        <v>160</v>
      </c>
      <c r="O122" s="239">
        <f>'[4]Renewable Diesel'!$AX51</f>
        <v>160</v>
      </c>
      <c r="P122" s="239">
        <f>'[4]Renewable Diesel'!$AX63</f>
        <v>255</v>
      </c>
      <c r="Q122" s="239">
        <f>'[4]Renewable Diesel'!$AX75</f>
        <v>308</v>
      </c>
      <c r="R122" s="239">
        <f>'[4]Renewable Diesel'!$AX87</f>
        <v>408</v>
      </c>
      <c r="S122" s="239">
        <f>'[4]Renewable Diesel'!$AX99</f>
        <v>408</v>
      </c>
      <c r="T122" s="239">
        <f>'[4]Renewable Diesel'!$AX111</f>
        <v>558</v>
      </c>
      <c r="U122" s="239">
        <f>'[4]Renewable Diesel'!$AX123</f>
        <v>558</v>
      </c>
      <c r="V122" s="239">
        <f>'[4]Renewable Diesel'!$AX135</f>
        <v>791</v>
      </c>
      <c r="W122" s="239">
        <f>'[4]Renewable Diesel'!$AX147</f>
        <v>1750</v>
      </c>
      <c r="X122" s="239">
        <f>'[4]Renewable Diesel'!$AX159</f>
        <v>3278</v>
      </c>
      <c r="Y122" s="239">
        <f>'[4]Renewable Diesel'!$AX171</f>
        <v>3857</v>
      </c>
      <c r="Z122" s="239">
        <f>'[4]Renewable Diesel'!$AX183</f>
        <v>4652</v>
      </c>
      <c r="AA122" s="239">
        <f>'[4]Renewable Diesel'!$AX195</f>
        <v>5065.6000000000004</v>
      </c>
      <c r="AB122" s="239">
        <f>'[4]Renewable Diesel'!$AX207</f>
        <v>5182.8500000000004</v>
      </c>
      <c r="AC122" s="239">
        <f>'[4]Renewable Diesel'!$AX219</f>
        <v>5389.3500000000013</v>
      </c>
      <c r="AD122" s="239">
        <f>'[4]Renewable Diesel'!$AX231</f>
        <v>5389.3500000000013</v>
      </c>
      <c r="AE122" s="239">
        <f>'[4]Renewable Diesel'!$AX243</f>
        <v>5389.3500000000013</v>
      </c>
      <c r="AF122" s="239">
        <f>'[4]Renewable Diesel'!$AX255</f>
        <v>5446.8500000000013</v>
      </c>
      <c r="AG122" s="239">
        <f>'[4]Renewable Diesel'!$AX267</f>
        <v>5446.8500000000013</v>
      </c>
      <c r="AH122" s="239">
        <f>'[4]Renewable Diesel'!$AX279</f>
        <v>5446.8500000000013</v>
      </c>
      <c r="AI122" s="233"/>
      <c r="AJ122" s="233"/>
      <c r="AK122" s="233"/>
      <c r="AL122" s="233"/>
    </row>
    <row r="123" spans="1:38">
      <c r="A123" s="68" t="s">
        <v>170</v>
      </c>
      <c r="L123" s="239"/>
      <c r="M123" s="239">
        <f>'[4]Renewable Diesel'!$AX28</f>
        <v>160</v>
      </c>
      <c r="N123" s="239">
        <f>'[4]Renewable Diesel'!$AX40</f>
        <v>160</v>
      </c>
      <c r="O123" s="239">
        <f>'[4]Renewable Diesel'!$AX52</f>
        <v>160</v>
      </c>
      <c r="P123" s="239">
        <f>'[4]Renewable Diesel'!$AX64</f>
        <v>255</v>
      </c>
      <c r="Q123" s="239">
        <f>'[4]Renewable Diesel'!$AX76</f>
        <v>333</v>
      </c>
      <c r="R123" s="239">
        <f>'[4]Renewable Diesel'!$AX88</f>
        <v>408</v>
      </c>
      <c r="S123" s="239">
        <f>'[4]Renewable Diesel'!$AX100</f>
        <v>408</v>
      </c>
      <c r="T123" s="239">
        <f>'[4]Renewable Diesel'!$AX112</f>
        <v>558</v>
      </c>
      <c r="U123" s="239">
        <f>'[4]Renewable Diesel'!$AX124</f>
        <v>558</v>
      </c>
      <c r="V123" s="239">
        <f>'[4]Renewable Diesel'!$AX136</f>
        <v>971</v>
      </c>
      <c r="W123" s="239">
        <f>'[4]Renewable Diesel'!$AX148</f>
        <v>1922</v>
      </c>
      <c r="X123" s="239">
        <f>'[4]Renewable Diesel'!$AX160</f>
        <v>3278</v>
      </c>
      <c r="Y123" s="239">
        <f>'[4]Renewable Diesel'!$AX172</f>
        <v>4129</v>
      </c>
      <c r="Z123" s="239">
        <f>'[4]Renewable Diesel'!$AX184</f>
        <v>4652.8000000000011</v>
      </c>
      <c r="AA123" s="239">
        <f>'[4]Renewable Diesel'!$AX196</f>
        <v>5088.1000000000004</v>
      </c>
      <c r="AB123" s="239">
        <f>'[4]Renewable Diesel'!$AX208</f>
        <v>5182.8500000000004</v>
      </c>
      <c r="AC123" s="239">
        <f>'[4]Renewable Diesel'!$AX220</f>
        <v>5389.3500000000013</v>
      </c>
      <c r="AD123" s="239">
        <f>'[4]Renewable Diesel'!$AX232</f>
        <v>5389.3500000000013</v>
      </c>
      <c r="AE123" s="239">
        <f>'[4]Renewable Diesel'!$AX244</f>
        <v>5389.3500000000013</v>
      </c>
      <c r="AF123" s="239">
        <f>'[4]Renewable Diesel'!$AX256</f>
        <v>5446.8500000000013</v>
      </c>
      <c r="AG123" s="239">
        <f>'[4]Renewable Diesel'!$AX268</f>
        <v>5446.8500000000013</v>
      </c>
      <c r="AH123" s="239">
        <f>'[4]Renewable Diesel'!$AX280</f>
        <v>5446.8500000000013</v>
      </c>
      <c r="AI123" s="233"/>
      <c r="AJ123" s="233"/>
      <c r="AK123" s="233"/>
      <c r="AL123" s="233"/>
    </row>
    <row r="124" spans="1:38">
      <c r="A124" s="68" t="s">
        <v>171</v>
      </c>
      <c r="L124" s="239"/>
      <c r="M124" s="239">
        <f>'[4]Renewable Diesel'!$AX29</f>
        <v>160</v>
      </c>
      <c r="N124" s="239">
        <f>'[4]Renewable Diesel'!$AX41</f>
        <v>160</v>
      </c>
      <c r="O124" s="239">
        <f>'[4]Renewable Diesel'!$AX53</f>
        <v>160</v>
      </c>
      <c r="P124" s="239">
        <f>'[4]Renewable Diesel'!$AX65</f>
        <v>255</v>
      </c>
      <c r="Q124" s="239">
        <f>'[4]Renewable Diesel'!$AX77</f>
        <v>358</v>
      </c>
      <c r="R124" s="239">
        <f>'[4]Renewable Diesel'!$AX89</f>
        <v>408</v>
      </c>
      <c r="S124" s="239">
        <f>'[4]Renewable Diesel'!$AX101</f>
        <v>418</v>
      </c>
      <c r="T124" s="239">
        <f>'[4]Renewable Diesel'!$AX113</f>
        <v>558</v>
      </c>
      <c r="U124" s="239">
        <f>'[4]Renewable Diesel'!$AX125</f>
        <v>558</v>
      </c>
      <c r="V124" s="239">
        <f>'[4]Renewable Diesel'!$AX137</f>
        <v>971</v>
      </c>
      <c r="W124" s="239">
        <f>'[4]Renewable Diesel'!$AX149</f>
        <v>1947</v>
      </c>
      <c r="X124" s="239">
        <f>'[4]Renewable Diesel'!$AX161</f>
        <v>3278</v>
      </c>
      <c r="Y124" s="239">
        <f>'[4]Renewable Diesel'!$AX173</f>
        <v>4575</v>
      </c>
      <c r="Z124" s="239">
        <f>'[4]Renewable Diesel'!$AX185</f>
        <v>4681.1000000000004</v>
      </c>
      <c r="AA124" s="239">
        <f>'[4]Renewable Diesel'!$AX197</f>
        <v>5133.1000000000004</v>
      </c>
      <c r="AB124" s="239">
        <f>'[4]Renewable Diesel'!$AX209</f>
        <v>5182.8500000000004</v>
      </c>
      <c r="AC124" s="239">
        <f>'[4]Renewable Diesel'!$AX221</f>
        <v>5389.3500000000013</v>
      </c>
      <c r="AD124" s="239">
        <f>'[4]Renewable Diesel'!$AX233</f>
        <v>5389.3500000000013</v>
      </c>
      <c r="AE124" s="239">
        <f>'[4]Renewable Diesel'!$AX245</f>
        <v>5389.3500000000013</v>
      </c>
      <c r="AF124" s="239">
        <f>'[4]Renewable Diesel'!$AX257</f>
        <v>5446.8500000000013</v>
      </c>
      <c r="AG124" s="239">
        <f>'[4]Renewable Diesel'!$AX269</f>
        <v>5446.8500000000013</v>
      </c>
      <c r="AH124" s="239">
        <f>'[4]Renewable Diesel'!$AX281</f>
        <v>5446.8500000000013</v>
      </c>
      <c r="AI124" s="233"/>
      <c r="AJ124" s="233"/>
      <c r="AK124" s="233"/>
      <c r="AL124" s="233"/>
    </row>
    <row r="125" spans="1:38">
      <c r="A125" s="68" t="s">
        <v>172</v>
      </c>
      <c r="L125" s="239"/>
      <c r="M125" s="239">
        <f>'[4]Renewable Diesel'!$AX30</f>
        <v>160</v>
      </c>
      <c r="N125" s="239">
        <f>'[4]Renewable Diesel'!$AX42</f>
        <v>160</v>
      </c>
      <c r="O125" s="239">
        <f>'[4]Renewable Diesel'!$AX54</f>
        <v>160</v>
      </c>
      <c r="P125" s="239">
        <f>'[4]Renewable Diesel'!$AX66</f>
        <v>255</v>
      </c>
      <c r="Q125" s="239">
        <f>'[4]Renewable Diesel'!$AX78</f>
        <v>408</v>
      </c>
      <c r="R125" s="239">
        <f>'[4]Renewable Diesel'!$AX90</f>
        <v>408</v>
      </c>
      <c r="S125" s="239">
        <f>'[4]Renewable Diesel'!$AX102</f>
        <v>428</v>
      </c>
      <c r="T125" s="239">
        <f>'[4]Renewable Diesel'!$AX114</f>
        <v>558</v>
      </c>
      <c r="U125" s="239">
        <f>'[4]Renewable Diesel'!$AX126</f>
        <v>558</v>
      </c>
      <c r="V125" s="239">
        <f>'[4]Renewable Diesel'!$AX138</f>
        <v>911</v>
      </c>
      <c r="W125" s="239">
        <f>'[4]Renewable Diesel'!$AX150</f>
        <v>1947</v>
      </c>
      <c r="X125" s="239">
        <f>'[4]Renewable Diesel'!$AX162</f>
        <v>3700</v>
      </c>
      <c r="Y125" s="239">
        <f>'[4]Renewable Diesel'!$AX174</f>
        <v>4897</v>
      </c>
      <c r="Z125" s="239">
        <f>'[4]Renewable Diesel'!$AX186</f>
        <v>4782.6000000000004</v>
      </c>
      <c r="AA125" s="239">
        <f>'[4]Renewable Diesel'!$AX198</f>
        <v>5138.1000000000004</v>
      </c>
      <c r="AB125" s="239">
        <f>'[4]Renewable Diesel'!$AX210</f>
        <v>5190.3500000000004</v>
      </c>
      <c r="AC125" s="239">
        <f>'[4]Renewable Diesel'!$AX222</f>
        <v>5389.3500000000013</v>
      </c>
      <c r="AD125" s="239">
        <f>'[4]Renewable Diesel'!$AX234</f>
        <v>5389.3500000000013</v>
      </c>
      <c r="AE125" s="239">
        <f>'[4]Renewable Diesel'!$AX246</f>
        <v>5389.3500000000013</v>
      </c>
      <c r="AF125" s="239">
        <f>'[4]Renewable Diesel'!$AX258</f>
        <v>5446.8500000000013</v>
      </c>
      <c r="AG125" s="239">
        <f>'[4]Renewable Diesel'!$AX270</f>
        <v>5446.8500000000013</v>
      </c>
      <c r="AH125" s="239">
        <f>'[4]Renewable Diesel'!$AX282</f>
        <v>5446.8500000000013</v>
      </c>
      <c r="AI125" s="233"/>
      <c r="AJ125" s="233"/>
      <c r="AK125" s="233"/>
      <c r="AL125" s="233"/>
    </row>
    <row r="126" spans="1:38">
      <c r="A126" s="68" t="s">
        <v>173</v>
      </c>
      <c r="L126" s="239"/>
      <c r="M126" s="239">
        <f>'[4]Renewable Diesel'!$AX31</f>
        <v>160</v>
      </c>
      <c r="N126" s="239">
        <f>'[4]Renewable Diesel'!$AX43</f>
        <v>160</v>
      </c>
      <c r="O126" s="239">
        <f>'[4]Renewable Diesel'!$AX55</f>
        <v>160</v>
      </c>
      <c r="P126" s="239">
        <f>'[4]Renewable Diesel'!$AX67</f>
        <v>255</v>
      </c>
      <c r="Q126" s="239">
        <f>'[4]Renewable Diesel'!$AX79</f>
        <v>408</v>
      </c>
      <c r="R126" s="239">
        <f>'[4]Renewable Diesel'!$AX91</f>
        <v>408</v>
      </c>
      <c r="S126" s="239">
        <f>'[4]Renewable Diesel'!$AX103</f>
        <v>268</v>
      </c>
      <c r="T126" s="239">
        <f>'[4]Renewable Diesel'!$AX115</f>
        <v>558</v>
      </c>
      <c r="U126" s="239">
        <f>'[4]Renewable Diesel'!$AX127</f>
        <v>618</v>
      </c>
      <c r="V126" s="239">
        <f>'[4]Renewable Diesel'!$AX139</f>
        <v>911</v>
      </c>
      <c r="W126" s="239">
        <f>'[4]Renewable Diesel'!$AX151</f>
        <v>2174</v>
      </c>
      <c r="X126" s="239">
        <f>'[4]Renewable Diesel'!$AX163</f>
        <v>3704</v>
      </c>
      <c r="Y126" s="239">
        <f>'[4]Renewable Diesel'!$AX175</f>
        <v>4598</v>
      </c>
      <c r="Z126" s="239">
        <f>'[4]Renewable Diesel'!$AX187</f>
        <v>4826.6000000000004</v>
      </c>
      <c r="AA126" s="239">
        <f>'[4]Renewable Diesel'!$AX199</f>
        <v>5148.1000000000004</v>
      </c>
      <c r="AB126" s="239">
        <f>'[4]Renewable Diesel'!$AX211</f>
        <v>5195.3500000000004</v>
      </c>
      <c r="AC126" s="239">
        <f>'[4]Renewable Diesel'!$AX223</f>
        <v>5389.3500000000013</v>
      </c>
      <c r="AD126" s="239">
        <f>'[4]Renewable Diesel'!$AX235</f>
        <v>5389.3500000000013</v>
      </c>
      <c r="AE126" s="239">
        <f>'[4]Renewable Diesel'!$AX247</f>
        <v>5389.3500000000013</v>
      </c>
      <c r="AF126" s="239">
        <f>'[4]Renewable Diesel'!$AX259</f>
        <v>5446.8500000000013</v>
      </c>
      <c r="AG126" s="239">
        <f>'[4]Renewable Diesel'!$AX271</f>
        <v>5446.8500000000013</v>
      </c>
      <c r="AH126" s="239">
        <f>'[4]Renewable Diesel'!$AX283</f>
        <v>5446.8500000000013</v>
      </c>
      <c r="AI126" s="233"/>
      <c r="AJ126" s="233"/>
      <c r="AK126" s="233"/>
      <c r="AL126" s="233"/>
    </row>
    <row r="127" spans="1:38">
      <c r="A127" s="68" t="s">
        <v>174</v>
      </c>
      <c r="L127" s="239"/>
      <c r="M127" s="239">
        <f>'[4]Renewable Diesel'!$AX32</f>
        <v>160</v>
      </c>
      <c r="N127" s="239">
        <f>'[4]Renewable Diesel'!$AX44</f>
        <v>160</v>
      </c>
      <c r="O127" s="239">
        <f>'[4]Renewable Diesel'!$AX56</f>
        <v>160</v>
      </c>
      <c r="P127" s="239">
        <f>'[4]Renewable Diesel'!$AX68</f>
        <v>255</v>
      </c>
      <c r="Q127" s="239">
        <f>'[4]Renewable Diesel'!$AX80</f>
        <v>408</v>
      </c>
      <c r="R127" s="239">
        <f>'[4]Renewable Diesel'!$AX92</f>
        <v>408</v>
      </c>
      <c r="S127" s="239">
        <f>'[4]Renewable Diesel'!$AX104</f>
        <v>456.75</v>
      </c>
      <c r="T127" s="239">
        <f>'[4]Renewable Diesel'!$AX116</f>
        <v>558</v>
      </c>
      <c r="U127" s="239">
        <f>'[4]Renewable Diesel'!$AX128</f>
        <v>678</v>
      </c>
      <c r="V127" s="239">
        <f>'[4]Renewable Diesel'!$AX140</f>
        <v>911</v>
      </c>
      <c r="W127" s="239">
        <f>'[4]Renewable Diesel'!$AX152</f>
        <v>2219</v>
      </c>
      <c r="X127" s="239">
        <f>'[4]Renewable Diesel'!$AX164</f>
        <v>3704</v>
      </c>
      <c r="Y127" s="239">
        <f>'[4]Renewable Diesel'!$AX176</f>
        <v>4598</v>
      </c>
      <c r="Z127" s="239">
        <f>'[4]Renewable Diesel'!$AX188</f>
        <v>4865.6000000000004</v>
      </c>
      <c r="AA127" s="239">
        <f>'[4]Renewable Diesel'!$AX200</f>
        <v>5155.6000000000004</v>
      </c>
      <c r="AB127" s="239">
        <f>'[4]Renewable Diesel'!$AX212</f>
        <v>5197.3500000000004</v>
      </c>
      <c r="AC127" s="239">
        <f>'[4]Renewable Diesel'!$AX224</f>
        <v>5389.3500000000013</v>
      </c>
      <c r="AD127" s="239">
        <f>'[4]Renewable Diesel'!$AX236</f>
        <v>5389.3500000000013</v>
      </c>
      <c r="AE127" s="239">
        <f>'[4]Renewable Diesel'!$AX248</f>
        <v>5389.3500000000013</v>
      </c>
      <c r="AF127" s="239">
        <f>'[4]Renewable Diesel'!$AX260</f>
        <v>5446.8500000000013</v>
      </c>
      <c r="AG127" s="239">
        <f>'[4]Renewable Diesel'!$AX272</f>
        <v>5446.8500000000013</v>
      </c>
      <c r="AH127" s="239">
        <f>'[4]Renewable Diesel'!$AX284</f>
        <v>5446.8500000000013</v>
      </c>
      <c r="AI127" s="233"/>
      <c r="AJ127" s="233"/>
      <c r="AK127" s="233"/>
      <c r="AL127" s="233"/>
    </row>
    <row r="128" spans="1:38">
      <c r="A128" s="68" t="s">
        <v>175</v>
      </c>
      <c r="L128" s="239">
        <f>'[4]Renewable Diesel'!$AX21</f>
        <v>40</v>
      </c>
      <c r="M128" s="239">
        <f>'[4]Renewable Diesel'!$AX33</f>
        <v>160</v>
      </c>
      <c r="N128" s="239">
        <f>'[4]Renewable Diesel'!$AX45</f>
        <v>160</v>
      </c>
      <c r="O128" s="239">
        <f>'[4]Renewable Diesel'!$AX57</f>
        <v>160</v>
      </c>
      <c r="P128" s="239">
        <f>'[4]Renewable Diesel'!$AX69</f>
        <v>255</v>
      </c>
      <c r="Q128" s="239">
        <f>'[4]Renewable Diesel'!$AX81</f>
        <v>408</v>
      </c>
      <c r="R128" s="239">
        <f>'[4]Renewable Diesel'!$AX93</f>
        <v>408</v>
      </c>
      <c r="S128" s="239">
        <f>'[4]Renewable Diesel'!$AX105</f>
        <v>485.5</v>
      </c>
      <c r="T128" s="239">
        <f>'[4]Renewable Diesel'!$AX117</f>
        <v>558</v>
      </c>
      <c r="U128" s="239">
        <f>'[4]Renewable Diesel'!$AX129</f>
        <v>738</v>
      </c>
      <c r="V128" s="239">
        <f>'[4]Renewable Diesel'!$AX141</f>
        <v>911</v>
      </c>
      <c r="W128" s="239">
        <f>'[4]Renewable Diesel'!$AX153</f>
        <v>2219</v>
      </c>
      <c r="X128" s="239">
        <f>'[4]Renewable Diesel'!$AX165</f>
        <v>3704</v>
      </c>
      <c r="Y128" s="239">
        <f>'[4]Renewable Diesel'!$AX177</f>
        <v>4580</v>
      </c>
      <c r="Z128" s="239">
        <f>'[4]Renewable Diesel'!$AX189</f>
        <v>4865.6000000000004</v>
      </c>
      <c r="AA128" s="239">
        <f>'[4]Renewable Diesel'!$AX201</f>
        <v>5168.1000000000004</v>
      </c>
      <c r="AB128" s="239">
        <f>'[4]Renewable Diesel'!$AX213</f>
        <v>5206.8500000000004</v>
      </c>
      <c r="AC128" s="239">
        <f>'[4]Renewable Diesel'!$AX225</f>
        <v>5389.3500000000013</v>
      </c>
      <c r="AD128" s="239">
        <f>'[4]Renewable Diesel'!$AX237</f>
        <v>5389.3500000000013</v>
      </c>
      <c r="AE128" s="239">
        <f>'[4]Renewable Diesel'!$AX249</f>
        <v>5389.3500000000013</v>
      </c>
      <c r="AF128" s="239">
        <f>'[4]Renewable Diesel'!$AX261</f>
        <v>5446.8500000000013</v>
      </c>
      <c r="AG128" s="239">
        <f>'[4]Renewable Diesel'!$AX273</f>
        <v>5446.8500000000013</v>
      </c>
      <c r="AH128" s="239">
        <f>'[4]Renewable Diesel'!$AX285</f>
        <v>5446.8500000000013</v>
      </c>
      <c r="AI128" s="233"/>
      <c r="AJ128" s="233"/>
      <c r="AK128" s="233"/>
      <c r="AL128" s="233"/>
    </row>
    <row r="129" spans="1:38">
      <c r="A129" s="68" t="s">
        <v>176</v>
      </c>
      <c r="L129" s="239">
        <f>'[4]Renewable Diesel'!$AX22</f>
        <v>40</v>
      </c>
      <c r="M129" s="239">
        <f>'[4]Renewable Diesel'!$AX34</f>
        <v>160</v>
      </c>
      <c r="N129" s="239">
        <f>'[4]Renewable Diesel'!$AX46</f>
        <v>160</v>
      </c>
      <c r="O129" s="239">
        <f>'[4]Renewable Diesel'!$AX58</f>
        <v>160</v>
      </c>
      <c r="P129" s="239">
        <f>'[4]Renewable Diesel'!$AX70</f>
        <v>255</v>
      </c>
      <c r="Q129" s="239">
        <f>'[4]Renewable Diesel'!$AX82</f>
        <v>408</v>
      </c>
      <c r="R129" s="239">
        <f>'[4]Renewable Diesel'!$AX94</f>
        <v>408</v>
      </c>
      <c r="S129" s="239">
        <f>'[4]Renewable Diesel'!$AX106</f>
        <v>514.29999999999995</v>
      </c>
      <c r="T129" s="239">
        <f>'[4]Renewable Diesel'!$AX118</f>
        <v>558</v>
      </c>
      <c r="U129" s="239">
        <f>'[4]Renewable Diesel'!$AX130</f>
        <v>738</v>
      </c>
      <c r="V129" s="239">
        <f>'[4]Renewable Diesel'!$AX142</f>
        <v>1014</v>
      </c>
      <c r="W129" s="239">
        <f>'[4]Renewable Diesel'!$AX154</f>
        <v>2219</v>
      </c>
      <c r="X129" s="239">
        <f>'[4]Renewable Diesel'!$AX166</f>
        <v>3857</v>
      </c>
      <c r="Y129" s="239">
        <f>'[4]Renewable Diesel'!$AX178</f>
        <v>4235.9999999999991</v>
      </c>
      <c r="Z129" s="239">
        <f>'[4]Renewable Diesel'!$AX190</f>
        <v>4865.6000000000004</v>
      </c>
      <c r="AA129" s="239">
        <f>'[4]Renewable Diesel'!$AX202</f>
        <v>5168.1000000000004</v>
      </c>
      <c r="AB129" s="239">
        <f>'[4]Renewable Diesel'!$AX214</f>
        <v>5206.8500000000004</v>
      </c>
      <c r="AC129" s="239">
        <f>'[4]Renewable Diesel'!$AX226</f>
        <v>5389.3500000000013</v>
      </c>
      <c r="AD129" s="239">
        <f>'[4]Renewable Diesel'!$AX238</f>
        <v>5389.3500000000013</v>
      </c>
      <c r="AE129" s="239">
        <f>'[4]Renewable Diesel'!$AX250</f>
        <v>5389.3500000000013</v>
      </c>
      <c r="AF129" s="239">
        <f>'[4]Renewable Diesel'!$AX262</f>
        <v>5446.8500000000013</v>
      </c>
      <c r="AG129" s="239">
        <f>'[4]Renewable Diesel'!$AX274</f>
        <v>5446.8500000000013</v>
      </c>
      <c r="AH129" s="239">
        <f>'[4]Renewable Diesel'!$AX286</f>
        <v>5446.8500000000013</v>
      </c>
      <c r="AI129" s="233"/>
      <c r="AJ129" s="233"/>
      <c r="AK129" s="233"/>
      <c r="AL129" s="233"/>
    </row>
    <row r="130" spans="1:38">
      <c r="A130" s="68" t="s">
        <v>177</v>
      </c>
      <c r="L130" s="239">
        <f>'[4]Renewable Diesel'!$AX23</f>
        <v>120</v>
      </c>
      <c r="M130" s="239">
        <f>'[4]Renewable Diesel'!$AX35</f>
        <v>160</v>
      </c>
      <c r="N130" s="239">
        <f>'[4]Renewable Diesel'!$AX47</f>
        <v>160</v>
      </c>
      <c r="O130" s="239">
        <f>'[4]Renewable Diesel'!$AX59</f>
        <v>185</v>
      </c>
      <c r="P130" s="239">
        <f>'[4]Renewable Diesel'!$AX71</f>
        <v>255</v>
      </c>
      <c r="Q130" s="239">
        <f>'[4]Renewable Diesel'!$AX83</f>
        <v>408</v>
      </c>
      <c r="R130" s="239">
        <f>'[4]Renewable Diesel'!$AX95</f>
        <v>408</v>
      </c>
      <c r="S130" s="239">
        <f>'[4]Renewable Diesel'!$AX107</f>
        <v>558</v>
      </c>
      <c r="T130" s="239">
        <f>'[4]Renewable Diesel'!$AX119</f>
        <v>558</v>
      </c>
      <c r="U130" s="239">
        <f>'[4]Renewable Diesel'!$AX131</f>
        <v>738</v>
      </c>
      <c r="V130" s="239">
        <f>'[4]Renewable Diesel'!$AX143</f>
        <v>1017</v>
      </c>
      <c r="W130" s="239">
        <f>'[4]Renewable Diesel'!$AX155</f>
        <v>2755</v>
      </c>
      <c r="X130" s="239">
        <f>'[4]Renewable Diesel'!$AX167</f>
        <v>3897</v>
      </c>
      <c r="Y130" s="239">
        <f>'[4]Renewable Diesel'!$AX179</f>
        <v>4256</v>
      </c>
      <c r="Z130" s="239">
        <f>'[4]Renewable Diesel'!$AX191</f>
        <v>4865.6000000000004</v>
      </c>
      <c r="AA130" s="239">
        <f>'[4]Renewable Diesel'!$AX203</f>
        <v>5168.1000000000004</v>
      </c>
      <c r="AB130" s="239">
        <f>'[4]Renewable Diesel'!$AX215</f>
        <v>5206.8500000000004</v>
      </c>
      <c r="AC130" s="239">
        <f>'[4]Renewable Diesel'!$AX227</f>
        <v>5389.3500000000013</v>
      </c>
      <c r="AD130" s="239">
        <f>'[4]Renewable Diesel'!$AX239</f>
        <v>5389.3500000000013</v>
      </c>
      <c r="AE130" s="239">
        <f>'[4]Renewable Diesel'!$AX251</f>
        <v>5389.3500000000013</v>
      </c>
      <c r="AF130" s="239">
        <f>'[4]Renewable Diesel'!$AX263</f>
        <v>5446.8500000000013</v>
      </c>
      <c r="AG130" s="239">
        <f>'[4]Renewable Diesel'!$AX275</f>
        <v>5446.8500000000013</v>
      </c>
      <c r="AH130" s="239">
        <f>'[4]Renewable Diesel'!$AX287</f>
        <v>5446.8500000000013</v>
      </c>
      <c r="AI130" s="233"/>
      <c r="AJ130" s="233"/>
      <c r="AK130" s="233"/>
      <c r="AL130" s="233"/>
    </row>
    <row r="131" spans="1:38">
      <c r="A131" s="68" t="s">
        <v>178</v>
      </c>
      <c r="L131" s="239">
        <f>'[4]Renewable Diesel'!$AX24</f>
        <v>120</v>
      </c>
      <c r="M131" s="239">
        <f>'[4]Renewable Diesel'!$AX36</f>
        <v>160</v>
      </c>
      <c r="N131" s="239">
        <f>'[4]Renewable Diesel'!$AX48</f>
        <v>160</v>
      </c>
      <c r="O131" s="239">
        <f>'[4]Renewable Diesel'!$AX60</f>
        <v>210</v>
      </c>
      <c r="P131" s="239">
        <f>'[4]Renewable Diesel'!$AX72</f>
        <v>255</v>
      </c>
      <c r="Q131" s="239">
        <f>'[4]Renewable Diesel'!$AX84</f>
        <v>408</v>
      </c>
      <c r="R131" s="239">
        <f>'[4]Renewable Diesel'!$AX96</f>
        <v>408</v>
      </c>
      <c r="S131" s="239">
        <f>'[4]Renewable Diesel'!$AX108</f>
        <v>558</v>
      </c>
      <c r="T131" s="239">
        <f>'[4]Renewable Diesel'!$AX120</f>
        <v>558</v>
      </c>
      <c r="U131" s="239">
        <f>'[4]Renewable Diesel'!$AX132</f>
        <v>738</v>
      </c>
      <c r="V131" s="239">
        <f>'[4]Renewable Diesel'!$AX144</f>
        <v>1106</v>
      </c>
      <c r="W131" s="239">
        <f>'[4]Renewable Diesel'!$AX156</f>
        <v>2939</v>
      </c>
      <c r="X131" s="239">
        <f>'[4]Renewable Diesel'!$AX168</f>
        <v>3857</v>
      </c>
      <c r="Y131" s="239">
        <f>'[4]Renewable Diesel'!$AX180</f>
        <v>4282</v>
      </c>
      <c r="Z131" s="239">
        <f>'[4]Renewable Diesel'!$AX192</f>
        <v>4865.6000000000004</v>
      </c>
      <c r="AA131" s="239">
        <f>'[4]Renewable Diesel'!$AX204</f>
        <v>5168.1000000000004</v>
      </c>
      <c r="AB131" s="239">
        <f>'[4]Renewable Diesel'!$AX216</f>
        <v>5206.8500000000004</v>
      </c>
      <c r="AC131" s="239">
        <f>'[4]Renewable Diesel'!$AX228</f>
        <v>5389.3500000000013</v>
      </c>
      <c r="AD131" s="239">
        <f>'[4]Renewable Diesel'!$AX240</f>
        <v>5389.3500000000013</v>
      </c>
      <c r="AE131" s="239">
        <f>'[4]Renewable Diesel'!$AX252</f>
        <v>5389.3500000000013</v>
      </c>
      <c r="AF131" s="239">
        <f>'[4]Renewable Diesel'!$AX264</f>
        <v>5446.8500000000013</v>
      </c>
      <c r="AG131" s="239">
        <f>'[4]Renewable Diesel'!$AX276</f>
        <v>5446.8500000000013</v>
      </c>
      <c r="AH131" s="239">
        <f>'[4]Renewable Diesel'!$AX288</f>
        <v>5446.8500000000013</v>
      </c>
      <c r="AI131" s="233"/>
      <c r="AJ131" s="233"/>
      <c r="AK131" s="233"/>
      <c r="AL131" s="233"/>
    </row>
    <row r="132" spans="1:38">
      <c r="A132" s="68" t="s">
        <v>201</v>
      </c>
      <c r="L132" s="239"/>
      <c r="M132" s="239">
        <f>AVERAGE(M120:M131)</f>
        <v>160</v>
      </c>
      <c r="N132" s="239">
        <f t="shared" ref="N132:AH132" si="70">AVERAGE(N120:N131)</f>
        <v>160</v>
      </c>
      <c r="O132" s="239">
        <f t="shared" si="70"/>
        <v>166.25</v>
      </c>
      <c r="P132" s="239">
        <f t="shared" si="70"/>
        <v>255</v>
      </c>
      <c r="Q132" s="239">
        <f t="shared" si="70"/>
        <v>366.5</v>
      </c>
      <c r="R132" s="239">
        <f t="shared" si="70"/>
        <v>408</v>
      </c>
      <c r="S132" s="239">
        <f t="shared" si="70"/>
        <v>443.21250000000003</v>
      </c>
      <c r="T132" s="239">
        <f t="shared" si="70"/>
        <v>558</v>
      </c>
      <c r="U132" s="239">
        <f t="shared" si="70"/>
        <v>633</v>
      </c>
      <c r="V132" s="239">
        <f t="shared" si="70"/>
        <v>924.66666666666663</v>
      </c>
      <c r="W132" s="239">
        <f t="shared" si="70"/>
        <v>2132.5833333333335</v>
      </c>
      <c r="X132" s="239">
        <f t="shared" si="70"/>
        <v>3544.5</v>
      </c>
      <c r="Y132" s="239">
        <f t="shared" si="70"/>
        <v>4310.166666666667</v>
      </c>
      <c r="Z132" s="239">
        <f t="shared" si="70"/>
        <v>4761.1124999999993</v>
      </c>
      <c r="AA132" s="239">
        <f t="shared" si="70"/>
        <v>5108.4124999999995</v>
      </c>
      <c r="AB132" s="239">
        <f t="shared" si="70"/>
        <v>5191.8499999999995</v>
      </c>
      <c r="AC132" s="239">
        <f t="shared" si="70"/>
        <v>5381.3291666666673</v>
      </c>
      <c r="AD132" s="239">
        <f t="shared" si="70"/>
        <v>5389.35</v>
      </c>
      <c r="AE132" s="239">
        <f t="shared" si="70"/>
        <v>5389.35</v>
      </c>
      <c r="AF132" s="239">
        <f t="shared" si="70"/>
        <v>5438.8291666666673</v>
      </c>
      <c r="AG132" s="239">
        <f t="shared" si="70"/>
        <v>5446.85</v>
      </c>
      <c r="AH132" s="239">
        <f t="shared" si="70"/>
        <v>5446.85</v>
      </c>
      <c r="AI132" s="233"/>
      <c r="AJ132" s="233"/>
      <c r="AK132" s="233"/>
      <c r="AL132" s="233"/>
    </row>
    <row r="133" spans="1:38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7">
        <f t="shared" ref="N133:W134" si="71">N132-M132</f>
        <v>0</v>
      </c>
      <c r="O133" s="257">
        <f t="shared" si="71"/>
        <v>6.25</v>
      </c>
      <c r="P133" s="257">
        <f t="shared" si="71"/>
        <v>88.75</v>
      </c>
      <c r="Q133" s="257">
        <f t="shared" si="71"/>
        <v>111.5</v>
      </c>
      <c r="R133" s="257">
        <f t="shared" si="71"/>
        <v>41.5</v>
      </c>
      <c r="S133" s="257">
        <f t="shared" si="71"/>
        <v>35.212500000000034</v>
      </c>
      <c r="T133" s="257">
        <f t="shared" si="71"/>
        <v>114.78749999999997</v>
      </c>
      <c r="U133" s="257">
        <f t="shared" si="71"/>
        <v>75</v>
      </c>
      <c r="V133" s="257">
        <f t="shared" si="71"/>
        <v>291.66666666666663</v>
      </c>
      <c r="W133" s="257">
        <f t="shared" si="71"/>
        <v>1207.916666666667</v>
      </c>
      <c r="X133" s="257">
        <f>X132-W132</f>
        <v>1411.9166666666665</v>
      </c>
      <c r="Y133" s="255"/>
      <c r="Z133" s="255"/>
      <c r="AA133" s="255"/>
      <c r="AB133" s="255"/>
      <c r="AC133" s="255"/>
      <c r="AD133" s="255"/>
      <c r="AE133" s="255"/>
      <c r="AF133" s="255"/>
      <c r="AG133" s="255"/>
      <c r="AH133" s="255"/>
      <c r="AI133" s="233"/>
      <c r="AJ133" s="233"/>
      <c r="AK133" s="233"/>
      <c r="AL133" s="233"/>
    </row>
    <row r="134" spans="1:38" ht="12" thickBot="1">
      <c r="A134" s="234" t="s">
        <v>230</v>
      </c>
      <c r="R134" s="222">
        <f t="shared" si="71"/>
        <v>-70</v>
      </c>
      <c r="S134" s="222">
        <f t="shared" si="71"/>
        <v>-6.2874999999999659</v>
      </c>
      <c r="T134" s="222">
        <f t="shared" si="71"/>
        <v>79.574999999999932</v>
      </c>
      <c r="U134" s="222">
        <f t="shared" si="71"/>
        <v>-39.787499999999966</v>
      </c>
      <c r="V134" s="222">
        <f t="shared" si="71"/>
        <v>216.66666666666663</v>
      </c>
      <c r="W134" s="222">
        <f t="shared" si="71"/>
        <v>916.25000000000034</v>
      </c>
      <c r="X134" s="222">
        <f>X133-W133</f>
        <v>203.99999999999955</v>
      </c>
      <c r="AI134" s="233"/>
      <c r="AJ134" s="233"/>
      <c r="AK134" s="233"/>
      <c r="AL134" s="233"/>
    </row>
    <row r="135" spans="1:38" ht="12" thickBot="1">
      <c r="A135" s="236"/>
      <c r="B135" s="237">
        <f>B2</f>
        <v>2001</v>
      </c>
      <c r="C135" s="237">
        <f t="shared" ref="C135:AH135" si="72">C2</f>
        <v>2002</v>
      </c>
      <c r="D135" s="237">
        <f t="shared" si="72"/>
        <v>2003</v>
      </c>
      <c r="E135" s="237">
        <f t="shared" si="72"/>
        <v>2004</v>
      </c>
      <c r="F135" s="237">
        <f t="shared" si="72"/>
        <v>2005</v>
      </c>
      <c r="G135" s="237">
        <f t="shared" si="72"/>
        <v>2006</v>
      </c>
      <c r="H135" s="237">
        <f t="shared" si="72"/>
        <v>2007</v>
      </c>
      <c r="I135" s="237">
        <f t="shared" si="72"/>
        <v>2008</v>
      </c>
      <c r="J135" s="237">
        <f t="shared" si="72"/>
        <v>2009</v>
      </c>
      <c r="K135" s="237">
        <f t="shared" si="72"/>
        <v>2010</v>
      </c>
      <c r="L135" s="238">
        <f t="shared" si="72"/>
        <v>2011</v>
      </c>
      <c r="M135" s="238">
        <f t="shared" si="72"/>
        <v>2012</v>
      </c>
      <c r="N135" s="238">
        <f t="shared" si="72"/>
        <v>2013</v>
      </c>
      <c r="O135" s="238">
        <f t="shared" si="72"/>
        <v>2014</v>
      </c>
      <c r="P135" s="238">
        <f t="shared" si="72"/>
        <v>2015</v>
      </c>
      <c r="Q135" s="238">
        <f t="shared" si="72"/>
        <v>2016</v>
      </c>
      <c r="R135" s="238">
        <f t="shared" si="72"/>
        <v>2017</v>
      </c>
      <c r="S135" s="238">
        <f t="shared" si="72"/>
        <v>2018</v>
      </c>
      <c r="T135" s="238">
        <f t="shared" si="72"/>
        <v>2019</v>
      </c>
      <c r="U135" s="238">
        <f t="shared" si="72"/>
        <v>2020</v>
      </c>
      <c r="V135" s="238">
        <f t="shared" si="72"/>
        <v>2021</v>
      </c>
      <c r="W135" s="238">
        <f t="shared" si="72"/>
        <v>2022</v>
      </c>
      <c r="X135" s="238">
        <f t="shared" si="72"/>
        <v>2023</v>
      </c>
      <c r="Y135" s="238">
        <f t="shared" si="72"/>
        <v>2024</v>
      </c>
      <c r="Z135" s="238">
        <f t="shared" si="72"/>
        <v>2025</v>
      </c>
      <c r="AA135" s="238">
        <f t="shared" si="72"/>
        <v>2026</v>
      </c>
      <c r="AB135" s="238">
        <f t="shared" si="72"/>
        <v>2027</v>
      </c>
      <c r="AC135" s="238">
        <f t="shared" si="72"/>
        <v>2028</v>
      </c>
      <c r="AD135" s="238">
        <f t="shared" si="72"/>
        <v>2029</v>
      </c>
      <c r="AE135" s="238">
        <f t="shared" si="72"/>
        <v>2030</v>
      </c>
      <c r="AF135" s="238">
        <f t="shared" si="72"/>
        <v>2031</v>
      </c>
      <c r="AG135" s="238">
        <f t="shared" si="72"/>
        <v>2032</v>
      </c>
      <c r="AH135" s="238">
        <f t="shared" si="72"/>
        <v>2033</v>
      </c>
      <c r="AI135" s="233"/>
      <c r="AJ135" s="233"/>
      <c r="AK135" s="233"/>
      <c r="AL135" s="233"/>
    </row>
    <row r="136" spans="1:38">
      <c r="A136" s="68" t="s">
        <v>167</v>
      </c>
      <c r="L136" s="253"/>
      <c r="M136" s="258">
        <f t="shared" ref="M136:AH146" si="73">(M24/(M151-M150)*365)/M120</f>
        <v>0.31032358870967736</v>
      </c>
      <c r="N136" s="258">
        <f t="shared" si="73"/>
        <v>9.4119959677419346E-2</v>
      </c>
      <c r="O136" s="258">
        <f t="shared" si="73"/>
        <v>0.76009778225806457</v>
      </c>
      <c r="P136" s="258">
        <f t="shared" si="73"/>
        <v>0.8082637571157496</v>
      </c>
      <c r="Q136" s="258">
        <f t="shared" si="73"/>
        <v>0.52045476594712592</v>
      </c>
      <c r="R136" s="258">
        <f t="shared" si="73"/>
        <v>0.53563923149905124</v>
      </c>
      <c r="S136" s="258">
        <f t="shared" si="73"/>
        <v>0.39481064199873495</v>
      </c>
      <c r="T136" s="258">
        <f t="shared" si="73"/>
        <v>0.76990143369175634</v>
      </c>
      <c r="U136" s="258">
        <f t="shared" si="73"/>
        <v>0.88321222106601915</v>
      </c>
      <c r="V136" s="258">
        <f t="shared" si="73"/>
        <v>0.88485074018188492</v>
      </c>
      <c r="W136" s="258">
        <f t="shared" si="73"/>
        <v>0.74387336405529958</v>
      </c>
      <c r="X136" s="258">
        <f t="shared" si="73"/>
        <v>0.65856177865740195</v>
      </c>
      <c r="Y136" s="258">
        <f t="shared" si="73"/>
        <v>0.72428537974524743</v>
      </c>
      <c r="Z136" s="259">
        <f t="shared" si="73"/>
        <v>0.55764775398964672</v>
      </c>
      <c r="AA136" s="259">
        <f t="shared" si="73"/>
        <v>0.41426018884117516</v>
      </c>
      <c r="AB136" s="259">
        <f t="shared" si="73"/>
        <v>0.43344529078455446</v>
      </c>
      <c r="AC136" s="259">
        <f t="shared" si="73"/>
        <v>0.4290961680519283</v>
      </c>
      <c r="AD136" s="259">
        <f t="shared" si="73"/>
        <v>0.42889315376487303</v>
      </c>
      <c r="AE136" s="259">
        <f t="shared" si="73"/>
        <v>0.44941253953719101</v>
      </c>
      <c r="AF136" s="259">
        <f t="shared" si="73"/>
        <v>0.48671580916251195</v>
      </c>
      <c r="AG136" s="259">
        <f t="shared" si="73"/>
        <v>0.57080366255678994</v>
      </c>
      <c r="AH136" s="259">
        <f t="shared" si="73"/>
        <v>0.56827715725496009</v>
      </c>
    </row>
    <row r="137" spans="1:38">
      <c r="A137" s="68" t="s">
        <v>168</v>
      </c>
      <c r="L137" s="253"/>
      <c r="M137" s="258">
        <f t="shared" si="73"/>
        <v>0.25085883620689653</v>
      </c>
      <c r="N137" s="258">
        <f t="shared" si="73"/>
        <v>0.10534486607142857</v>
      </c>
      <c r="O137" s="258">
        <f t="shared" si="73"/>
        <v>1.0015502232142857</v>
      </c>
      <c r="P137" s="258">
        <f t="shared" si="73"/>
        <v>0.68915476190476199</v>
      </c>
      <c r="Q137" s="258">
        <f t="shared" si="73"/>
        <v>0.33419332752396363</v>
      </c>
      <c r="R137" s="258">
        <f t="shared" si="73"/>
        <v>0.67232974439775917</v>
      </c>
      <c r="S137" s="258">
        <f t="shared" si="73"/>
        <v>0.6902858018207283</v>
      </c>
      <c r="T137" s="258">
        <f t="shared" si="73"/>
        <v>0.93852470558115719</v>
      </c>
      <c r="U137" s="258">
        <f t="shared" si="73"/>
        <v>0.84135860833024345</v>
      </c>
      <c r="V137" s="258">
        <f t="shared" si="73"/>
        <v>0.87799078923604834</v>
      </c>
      <c r="W137" s="258">
        <f t="shared" si="73"/>
        <v>0.71942244897959184</v>
      </c>
      <c r="X137" s="258">
        <f t="shared" si="73"/>
        <v>0.62660507277956956</v>
      </c>
      <c r="Y137" s="258">
        <f t="shared" si="73"/>
        <v>0.77082930274556782</v>
      </c>
      <c r="Z137" s="259">
        <f t="shared" si="73"/>
        <v>0.52501927701903683</v>
      </c>
      <c r="AA137" s="259">
        <f t="shared" si="73"/>
        <v>0.49508349566996973</v>
      </c>
      <c r="AB137" s="259">
        <f t="shared" si="73"/>
        <v>0.52436037553284331</v>
      </c>
      <c r="AC137" s="259">
        <f t="shared" si="73"/>
        <v>0.49854669160576104</v>
      </c>
      <c r="AD137" s="259">
        <f t="shared" si="73"/>
        <v>0.51767076754533803</v>
      </c>
      <c r="AE137" s="259">
        <f t="shared" si="73"/>
        <v>0.54241156979372718</v>
      </c>
      <c r="AF137" s="259">
        <f t="shared" si="73"/>
        <v>0.5855879946828686</v>
      </c>
      <c r="AG137" s="259">
        <f t="shared" si="73"/>
        <v>0.66592218147065152</v>
      </c>
      <c r="AH137" s="259">
        <f t="shared" si="73"/>
        <v>0.68624361487773611</v>
      </c>
    </row>
    <row r="138" spans="1:38">
      <c r="A138" s="68" t="s">
        <v>169</v>
      </c>
      <c r="L138" s="253"/>
      <c r="M138" s="258">
        <f t="shared" si="73"/>
        <v>0.39399395161290324</v>
      </c>
      <c r="N138" s="258">
        <f t="shared" si="73"/>
        <v>0.13790524193548387</v>
      </c>
      <c r="O138" s="258">
        <f t="shared" si="73"/>
        <v>1.1003719758064514</v>
      </c>
      <c r="P138" s="258">
        <f t="shared" si="73"/>
        <v>0.74385199240986721</v>
      </c>
      <c r="Q138" s="258">
        <f t="shared" si="73"/>
        <v>0.68523512777545037</v>
      </c>
      <c r="R138" s="258">
        <f t="shared" si="73"/>
        <v>0.45760634092346619</v>
      </c>
      <c r="S138" s="258">
        <f t="shared" si="73"/>
        <v>0.72342030360531318</v>
      </c>
      <c r="T138" s="258">
        <f t="shared" si="73"/>
        <v>0.75413920684472202</v>
      </c>
      <c r="U138" s="258">
        <f t="shared" si="73"/>
        <v>0.95432159787258641</v>
      </c>
      <c r="V138" s="258">
        <f t="shared" si="73"/>
        <v>0.8479652134904776</v>
      </c>
      <c r="W138" s="258">
        <f t="shared" si="73"/>
        <v>0.73358608294930883</v>
      </c>
      <c r="X138" s="258">
        <f t="shared" si="73"/>
        <v>0.71514756243972533</v>
      </c>
      <c r="Y138" s="258">
        <f t="shared" si="73"/>
        <v>0.76728545501685252</v>
      </c>
      <c r="Z138" s="259">
        <f t="shared" si="73"/>
        <v>0.58061179863672929</v>
      </c>
      <c r="AA138" s="259">
        <f t="shared" si="73"/>
        <v>0.46739650805564026</v>
      </c>
      <c r="AB138" s="259">
        <f t="shared" si="73"/>
        <v>0.5050838459596475</v>
      </c>
      <c r="AC138" s="259">
        <f t="shared" si="73"/>
        <v>0.49651341237023383</v>
      </c>
      <c r="AD138" s="259">
        <f t="shared" si="73"/>
        <v>0.4993827867065132</v>
      </c>
      <c r="AE138" s="259">
        <f t="shared" si="73"/>
        <v>0.52393717741490076</v>
      </c>
      <c r="AF138" s="259">
        <f t="shared" si="73"/>
        <v>0.56147305489571964</v>
      </c>
      <c r="AG138" s="259">
        <f t="shared" si="73"/>
        <v>0.66585444513599312</v>
      </c>
      <c r="AH138" s="259">
        <f t="shared" si="73"/>
        <v>0.66282563791972038</v>
      </c>
    </row>
    <row r="139" spans="1:38">
      <c r="A139" s="68" t="s">
        <v>170</v>
      </c>
      <c r="L139" s="253"/>
      <c r="M139" s="258">
        <f t="shared" si="73"/>
        <v>0.27010000000000001</v>
      </c>
      <c r="N139" s="258">
        <f t="shared" si="73"/>
        <v>0.12729374999999998</v>
      </c>
      <c r="O139" s="258">
        <f t="shared" si="73"/>
        <v>1.0399458333333333</v>
      </c>
      <c r="P139" s="258">
        <f t="shared" si="73"/>
        <v>0.75065947712418291</v>
      </c>
      <c r="Q139" s="258">
        <f t="shared" si="73"/>
        <v>0.77651101101101105</v>
      </c>
      <c r="R139" s="258">
        <f t="shared" si="73"/>
        <v>0.60842279411764699</v>
      </c>
      <c r="S139" s="258">
        <f t="shared" si="73"/>
        <v>0.76790155228758172</v>
      </c>
      <c r="T139" s="258">
        <f t="shared" si="73"/>
        <v>0.84069922341696546</v>
      </c>
      <c r="U139" s="258">
        <f t="shared" si="73"/>
        <v>0.84248715651135009</v>
      </c>
      <c r="V139" s="258">
        <f t="shared" si="73"/>
        <v>0.6653575351870924</v>
      </c>
      <c r="W139" s="258">
        <f t="shared" si="73"/>
        <v>0.75427636142906695</v>
      </c>
      <c r="X139" s="258">
        <f t="shared" si="73"/>
        <v>0.74646842586943252</v>
      </c>
      <c r="Y139" s="258">
        <f t="shared" si="73"/>
        <v>0.77002712521191585</v>
      </c>
      <c r="Z139" s="259">
        <f t="shared" si="73"/>
        <v>0.52646395801642232</v>
      </c>
      <c r="AA139" s="259">
        <f t="shared" si="73"/>
        <v>0.46232473098924859</v>
      </c>
      <c r="AB139" s="259">
        <f t="shared" si="73"/>
        <v>0.50094609340001706</v>
      </c>
      <c r="AC139" s="259">
        <f t="shared" si="73"/>
        <v>0.49072451871362044</v>
      </c>
      <c r="AD139" s="259">
        <f t="shared" si="73"/>
        <v>0.49430017545678412</v>
      </c>
      <c r="AE139" s="259">
        <f t="shared" si="73"/>
        <v>0.51801999328599069</v>
      </c>
      <c r="AF139" s="259">
        <f t="shared" si="73"/>
        <v>0.55580535881274085</v>
      </c>
      <c r="AG139" s="259">
        <f t="shared" si="73"/>
        <v>0.65933517729819913</v>
      </c>
      <c r="AH139" s="259">
        <f t="shared" si="73"/>
        <v>0.65591284921820014</v>
      </c>
    </row>
    <row r="140" spans="1:38">
      <c r="A140" s="68" t="s">
        <v>171</v>
      </c>
      <c r="L140" s="253"/>
      <c r="M140" s="258">
        <f t="shared" si="73"/>
        <v>0.27713508064516129</v>
      </c>
      <c r="N140" s="258">
        <f t="shared" si="73"/>
        <v>0.20545967741935484</v>
      </c>
      <c r="O140" s="258">
        <f t="shared" si="73"/>
        <v>1.1935352822580647</v>
      </c>
      <c r="P140" s="258">
        <f t="shared" si="73"/>
        <v>0.7268140417457305</v>
      </c>
      <c r="Q140" s="258">
        <f t="shared" si="73"/>
        <v>0.72135024328707875</v>
      </c>
      <c r="R140" s="258">
        <f t="shared" si="73"/>
        <v>0.70394093927893753</v>
      </c>
      <c r="S140" s="258">
        <f t="shared" si="73"/>
        <v>0.60583577712609971</v>
      </c>
      <c r="T140" s="258">
        <f t="shared" si="73"/>
        <v>0.8521097814776275</v>
      </c>
      <c r="U140" s="258">
        <f t="shared" si="73"/>
        <v>0.97951583998150082</v>
      </c>
      <c r="V140" s="258">
        <f t="shared" si="73"/>
        <v>0.80139696355602796</v>
      </c>
      <c r="W140" s="258">
        <f t="shared" si="73"/>
        <v>0.76409496827211432</v>
      </c>
      <c r="X140" s="258">
        <f t="shared" si="73"/>
        <v>0.81119093074061677</v>
      </c>
      <c r="Y140" s="259">
        <f t="shared" si="73"/>
        <v>0.56722720447734887</v>
      </c>
      <c r="Z140" s="259">
        <f t="shared" si="73"/>
        <v>0.49886951508606675</v>
      </c>
      <c r="AA140" s="259">
        <f t="shared" si="73"/>
        <v>0.49568476684480484</v>
      </c>
      <c r="AB140" s="259">
        <f t="shared" si="73"/>
        <v>0.54261721468122837</v>
      </c>
      <c r="AC140" s="259">
        <f t="shared" si="73"/>
        <v>0.53023493892318507</v>
      </c>
      <c r="AD140" s="259">
        <f t="shared" si="73"/>
        <v>0.53307053139900873</v>
      </c>
      <c r="AE140" s="259">
        <f t="shared" si="73"/>
        <v>0.56005538021785428</v>
      </c>
      <c r="AF140" s="259">
        <f t="shared" si="73"/>
        <v>0.60080099569236545</v>
      </c>
      <c r="AG140" s="259">
        <f t="shared" si="73"/>
        <v>0.71264244092584328</v>
      </c>
      <c r="AH140" s="259">
        <f t="shared" si="73"/>
        <v>0.70867171886515401</v>
      </c>
    </row>
    <row r="141" spans="1:38">
      <c r="A141" s="68" t="s">
        <v>172</v>
      </c>
      <c r="L141" s="253"/>
      <c r="M141" s="258">
        <f t="shared" si="73"/>
        <v>0.27321770833333331</v>
      </c>
      <c r="N141" s="258">
        <f t="shared" si="73"/>
        <v>0.55175833333333335</v>
      </c>
      <c r="O141" s="258">
        <f t="shared" si="73"/>
        <v>1.1911927083333333</v>
      </c>
      <c r="P141" s="258">
        <f t="shared" si="73"/>
        <v>0.68801307189542482</v>
      </c>
      <c r="Q141" s="258">
        <f t="shared" si="73"/>
        <v>0.6730134803921568</v>
      </c>
      <c r="R141" s="258">
        <f t="shared" si="73"/>
        <v>0.52922017973856217</v>
      </c>
      <c r="S141" s="258">
        <f t="shared" si="73"/>
        <v>0.35203738317757011</v>
      </c>
      <c r="T141" s="258">
        <f t="shared" si="73"/>
        <v>0.86695131421744331</v>
      </c>
      <c r="U141" s="258">
        <f t="shared" si="73"/>
        <v>1.1601505376344086</v>
      </c>
      <c r="V141" s="258">
        <f t="shared" si="73"/>
        <v>0.82462221002561287</v>
      </c>
      <c r="W141" s="258">
        <f t="shared" si="73"/>
        <v>0.77373001198424918</v>
      </c>
      <c r="X141" s="258">
        <f t="shared" si="73"/>
        <v>0.75707576576576574</v>
      </c>
      <c r="Y141" s="259">
        <f t="shared" si="73"/>
        <v>0.70209782084269279</v>
      </c>
      <c r="Z141" s="259">
        <f t="shared" si="73"/>
        <v>0.4975835201650966</v>
      </c>
      <c r="AA141" s="259">
        <f t="shared" si="73"/>
        <v>0.51081702655574246</v>
      </c>
      <c r="AB141" s="259">
        <f t="shared" si="73"/>
        <v>0.55875226076568396</v>
      </c>
      <c r="AC141" s="259">
        <f t="shared" si="73"/>
        <v>0.54995153566263155</v>
      </c>
      <c r="AD141" s="259">
        <f t="shared" si="73"/>
        <v>0.55303045637986303</v>
      </c>
      <c r="AE141" s="259">
        <f t="shared" si="73"/>
        <v>0.57952926736143817</v>
      </c>
      <c r="AF141" s="259">
        <f t="shared" si="73"/>
        <v>0.62173553601535414</v>
      </c>
      <c r="AG141" s="259">
        <f t="shared" si="73"/>
        <v>0.7373813762671878</v>
      </c>
      <c r="AH141" s="259">
        <f t="shared" si="73"/>
        <v>0.73389962494366423</v>
      </c>
    </row>
    <row r="142" spans="1:38">
      <c r="A142" s="68" t="s">
        <v>173</v>
      </c>
      <c r="L142" s="253"/>
      <c r="M142" s="258">
        <f t="shared" si="73"/>
        <v>0.46206350806451618</v>
      </c>
      <c r="N142" s="258">
        <f t="shared" si="73"/>
        <v>1.1562258064516129</v>
      </c>
      <c r="O142" s="258">
        <f t="shared" si="73"/>
        <v>1.0300947580645161</v>
      </c>
      <c r="P142" s="258">
        <f t="shared" si="73"/>
        <v>0.71665591397849471</v>
      </c>
      <c r="Q142" s="258">
        <f t="shared" si="73"/>
        <v>0.56331435800126495</v>
      </c>
      <c r="R142" s="258">
        <f t="shared" si="73"/>
        <v>0.56712365591397851</v>
      </c>
      <c r="S142" s="258">
        <f t="shared" si="73"/>
        <v>0.46367477130476653</v>
      </c>
      <c r="T142" s="258">
        <f t="shared" si="73"/>
        <v>0.97658284194704581</v>
      </c>
      <c r="U142" s="258">
        <f t="shared" si="73"/>
        <v>0.88942791523123488</v>
      </c>
      <c r="V142" s="258">
        <f t="shared" si="73"/>
        <v>1.0255051166743387</v>
      </c>
      <c r="W142" s="258">
        <f t="shared" si="73"/>
        <v>0.70191849422797292</v>
      </c>
      <c r="X142" s="258">
        <f t="shared" si="73"/>
        <v>0.67896789869713647</v>
      </c>
      <c r="Y142" s="259">
        <f t="shared" si="73"/>
        <v>0.74935228781096963</v>
      </c>
      <c r="Z142" s="259">
        <f t="shared" si="73"/>
        <v>0.46855562573988774</v>
      </c>
      <c r="AA142" s="259">
        <f t="shared" si="73"/>
        <v>0.48147772109074377</v>
      </c>
      <c r="AB142" s="259">
        <f t="shared" si="73"/>
        <v>0.52596639086569075</v>
      </c>
      <c r="AC142" s="259">
        <f t="shared" si="73"/>
        <v>0.51728265491831515</v>
      </c>
      <c r="AD142" s="259">
        <f t="shared" si="73"/>
        <v>0.52205273567123667</v>
      </c>
      <c r="AE142" s="259">
        <f t="shared" si="73"/>
        <v>0.54625129584599752</v>
      </c>
      <c r="AF142" s="259">
        <f t="shared" si="73"/>
        <v>0.58601439071624062</v>
      </c>
      <c r="AG142" s="259">
        <f t="shared" si="73"/>
        <v>0.69505502474389058</v>
      </c>
      <c r="AH142" s="259">
        <f t="shared" si="73"/>
        <v>0.69171439487671604</v>
      </c>
    </row>
    <row r="143" spans="1:38">
      <c r="A143" s="68" t="s">
        <v>174</v>
      </c>
      <c r="L143" s="253"/>
      <c r="M143" s="258">
        <f t="shared" si="73"/>
        <v>0.40333971774193544</v>
      </c>
      <c r="N143" s="258">
        <f t="shared" si="73"/>
        <v>1.1226693548387097</v>
      </c>
      <c r="O143" s="258">
        <f t="shared" si="73"/>
        <v>0.15034173387096778</v>
      </c>
      <c r="P143" s="258">
        <f t="shared" si="73"/>
        <v>0.69721695129664762</v>
      </c>
      <c r="Q143" s="258">
        <f t="shared" si="73"/>
        <v>0.71568627450980393</v>
      </c>
      <c r="R143" s="258">
        <f t="shared" si="73"/>
        <v>0.71199240986717272</v>
      </c>
      <c r="S143" s="258">
        <f t="shared" si="73"/>
        <v>0.41309567950279846</v>
      </c>
      <c r="T143" s="258">
        <f t="shared" si="73"/>
        <v>0.63681928546652788</v>
      </c>
      <c r="U143" s="258">
        <f t="shared" si="73"/>
        <v>0.76329075078504138</v>
      </c>
      <c r="V143" s="258">
        <f t="shared" si="73"/>
        <v>0.97714174427251155</v>
      </c>
      <c r="W143" s="258">
        <f t="shared" si="73"/>
        <v>0.63104159095204171</v>
      </c>
      <c r="X143" s="258">
        <f t="shared" si="73"/>
        <v>0.77403561102208596</v>
      </c>
      <c r="Y143" s="259">
        <f t="shared" si="73"/>
        <v>0.66704307724957557</v>
      </c>
      <c r="Z143" s="259">
        <f t="shared" si="73"/>
        <v>0.47613371702097251</v>
      </c>
      <c r="AA143" s="259">
        <f t="shared" si="73"/>
        <v>0.49384527967735481</v>
      </c>
      <c r="AB143" s="259">
        <f t="shared" si="73"/>
        <v>0.54061339245247475</v>
      </c>
      <c r="AC143" s="259">
        <f t="shared" si="73"/>
        <v>0.53225460720975781</v>
      </c>
      <c r="AD143" s="259">
        <f t="shared" si="73"/>
        <v>0.53711464944130083</v>
      </c>
      <c r="AE143" s="259">
        <f t="shared" si="73"/>
        <v>0.56237203045150175</v>
      </c>
      <c r="AF143" s="259">
        <f t="shared" si="73"/>
        <v>0.60305556390894499</v>
      </c>
      <c r="AG143" s="259">
        <f t="shared" si="73"/>
        <v>0.71478841972242002</v>
      </c>
      <c r="AH143" s="259">
        <f t="shared" si="73"/>
        <v>0.71164025010001342</v>
      </c>
    </row>
    <row r="144" spans="1:38">
      <c r="A144" s="68" t="s">
        <v>175</v>
      </c>
      <c r="L144" s="258">
        <f t="shared" ref="L144:M146" si="74">(L32/(L159-L158)*365)/L128</f>
        <v>1.7942791666666664</v>
      </c>
      <c r="M144" s="258">
        <f t="shared" si="74"/>
        <v>0.28431979166666665</v>
      </c>
      <c r="N144" s="258">
        <f t="shared" si="73"/>
        <v>1.3414510416666665</v>
      </c>
      <c r="O144" s="258">
        <f t="shared" si="73"/>
        <v>0.45237187500000003</v>
      </c>
      <c r="P144" s="258">
        <f t="shared" si="73"/>
        <v>0.66062614379084961</v>
      </c>
      <c r="Q144" s="258">
        <f t="shared" si="73"/>
        <v>0.57299632352941177</v>
      </c>
      <c r="R144" s="258">
        <f t="shared" si="73"/>
        <v>0.65506168300653589</v>
      </c>
      <c r="S144" s="258">
        <f t="shared" si="73"/>
        <v>0.8081373154823206</v>
      </c>
      <c r="T144" s="258">
        <f t="shared" si="73"/>
        <v>0.88725089605734764</v>
      </c>
      <c r="U144" s="258">
        <f t="shared" si="73"/>
        <v>0.79319083107497734</v>
      </c>
      <c r="V144" s="258">
        <f t="shared" si="73"/>
        <v>0.82080259787779009</v>
      </c>
      <c r="W144" s="258">
        <f t="shared" si="73"/>
        <v>0.7574805467928496</v>
      </c>
      <c r="X144" s="258">
        <f t="shared" si="73"/>
        <v>0.82333909287257023</v>
      </c>
      <c r="Y144" s="259">
        <f t="shared" si="73"/>
        <v>0.68517974530567682</v>
      </c>
      <c r="Z144" s="259">
        <f t="shared" si="73"/>
        <v>0.49902811660093233</v>
      </c>
      <c r="AA144" s="259">
        <f t="shared" si="73"/>
        <v>0.51610506172955617</v>
      </c>
      <c r="AB144" s="259">
        <f t="shared" si="73"/>
        <v>0.56583933193716873</v>
      </c>
      <c r="AC144" s="259">
        <f t="shared" si="73"/>
        <v>0.5567771146171151</v>
      </c>
      <c r="AD144" s="259">
        <f t="shared" si="73"/>
        <v>0.56149128002660398</v>
      </c>
      <c r="AE144" s="259">
        <f t="shared" si="73"/>
        <v>0.58847347797414051</v>
      </c>
      <c r="AF144" s="259">
        <f t="shared" si="73"/>
        <v>0.63115533684041369</v>
      </c>
      <c r="AG144" s="259">
        <f t="shared" si="73"/>
        <v>0.74824165265847775</v>
      </c>
      <c r="AH144" s="259">
        <f t="shared" si="73"/>
        <v>0.74462182237105434</v>
      </c>
    </row>
    <row r="145" spans="1:35">
      <c r="A145" s="68" t="s">
        <v>176</v>
      </c>
      <c r="L145" s="258">
        <f t="shared" si="74"/>
        <v>2.0363467741935484</v>
      </c>
      <c r="M145" s="258">
        <f t="shared" si="74"/>
        <v>0.28361088709677418</v>
      </c>
      <c r="N145" s="258">
        <f t="shared" si="73"/>
        <v>1.3931814516129031</v>
      </c>
      <c r="O145" s="258">
        <f t="shared" si="73"/>
        <v>1.0833729838709678</v>
      </c>
      <c r="P145" s="258">
        <f t="shared" si="73"/>
        <v>0.61936875395319413</v>
      </c>
      <c r="Q145" s="258">
        <f t="shared" si="73"/>
        <v>0.59563567362428838</v>
      </c>
      <c r="R145" s="258">
        <f t="shared" si="73"/>
        <v>0.73147177419354836</v>
      </c>
      <c r="S145" s="258">
        <f t="shared" si="73"/>
        <v>0.89296601080077531</v>
      </c>
      <c r="T145" s="258">
        <f t="shared" si="73"/>
        <v>1.0248401549312058</v>
      </c>
      <c r="U145" s="258">
        <f t="shared" si="73"/>
        <v>0.40252425911355888</v>
      </c>
      <c r="V145" s="258">
        <f t="shared" si="73"/>
        <v>0.98878841381943117</v>
      </c>
      <c r="W145" s="258">
        <f t="shared" si="73"/>
        <v>0.68627258718690476</v>
      </c>
      <c r="X145" s="258">
        <f t="shared" si="73"/>
        <v>0.6433404701966261</v>
      </c>
      <c r="Y145" s="259">
        <f t="shared" si="73"/>
        <v>0.80484032368485203</v>
      </c>
      <c r="Z145" s="259">
        <f t="shared" si="73"/>
        <v>0.52426218686642378</v>
      </c>
      <c r="AA145" s="259">
        <f t="shared" si="73"/>
        <v>0.54355099943455709</v>
      </c>
      <c r="AB145" s="259">
        <f t="shared" si="73"/>
        <v>0.59502146295380387</v>
      </c>
      <c r="AC145" s="259">
        <f t="shared" si="73"/>
        <v>0.58621104410541747</v>
      </c>
      <c r="AD145" s="259">
        <f t="shared" si="73"/>
        <v>0.59032839095372547</v>
      </c>
      <c r="AE145" s="259">
        <f t="shared" si="73"/>
        <v>0.61872557534410899</v>
      </c>
      <c r="AF145" s="259">
        <f t="shared" si="73"/>
        <v>0.66375935598555502</v>
      </c>
      <c r="AG145" s="259">
        <f t="shared" si="73"/>
        <v>0.78729826567122729</v>
      </c>
      <c r="AH145" s="259">
        <f t="shared" si="73"/>
        <v>0.78334160981921952</v>
      </c>
    </row>
    <row r="146" spans="1:35">
      <c r="A146" s="68" t="s">
        <v>177</v>
      </c>
      <c r="L146" s="258">
        <f t="shared" si="74"/>
        <v>0.53066944444444442</v>
      </c>
      <c r="M146" s="258">
        <f t="shared" si="74"/>
        <v>0.42438854166666673</v>
      </c>
      <c r="N146" s="258">
        <f t="shared" si="73"/>
        <v>1.1922572916666669</v>
      </c>
      <c r="O146" s="258">
        <f t="shared" si="73"/>
        <v>1.082701801801802</v>
      </c>
      <c r="P146" s="258">
        <f t="shared" si="73"/>
        <v>0.6038483660130719</v>
      </c>
      <c r="Q146" s="258">
        <f t="shared" si="73"/>
        <v>0.81591217320261444</v>
      </c>
      <c r="R146" s="258">
        <f t="shared" si="73"/>
        <v>0.69114419934640525</v>
      </c>
      <c r="S146" s="258">
        <f t="shared" si="73"/>
        <v>0.87924880525686977</v>
      </c>
      <c r="T146" s="258">
        <f t="shared" si="73"/>
        <v>0.92425238948626054</v>
      </c>
      <c r="U146" s="258">
        <f t="shared" si="73"/>
        <v>0.80870415537488705</v>
      </c>
      <c r="V146" s="258">
        <f t="shared" si="73"/>
        <v>1.1328757784333006</v>
      </c>
      <c r="W146" s="258">
        <f t="shared" si="73"/>
        <v>0.64271355111917727</v>
      </c>
      <c r="X146" s="258">
        <f t="shared" si="73"/>
        <v>0.69774287913779842</v>
      </c>
      <c r="Y146" s="259">
        <f t="shared" si="73"/>
        <v>0.74666462844611525</v>
      </c>
      <c r="Z146" s="259">
        <f t="shared" si="73"/>
        <v>0.58508057117337231</v>
      </c>
      <c r="AA146" s="259">
        <f t="shared" si="73"/>
        <v>0.67801935682445857</v>
      </c>
      <c r="AB146" s="259">
        <f t="shared" si="73"/>
        <v>0.74408253420251591</v>
      </c>
      <c r="AC146" s="259">
        <f t="shared" si="73"/>
        <v>0.73168137955024781</v>
      </c>
      <c r="AD146" s="259">
        <f t="shared" si="73"/>
        <v>0.73802545446931145</v>
      </c>
      <c r="AE146" s="259">
        <f t="shared" si="73"/>
        <v>0.77236696897311319</v>
      </c>
      <c r="AF146" s="259">
        <f t="shared" si="73"/>
        <v>0.82884436313159715</v>
      </c>
      <c r="AG146" s="259">
        <f t="shared" si="73"/>
        <v>0.98364274353956838</v>
      </c>
      <c r="AH146" s="259">
        <f t="shared" si="73"/>
        <v>0.97841330205659405</v>
      </c>
    </row>
    <row r="147" spans="1:35">
      <c r="A147" s="68" t="s">
        <v>178</v>
      </c>
      <c r="L147" s="258">
        <f>(L35/(M150-L161)*365)/L131</f>
        <v>0.63590456989247313</v>
      </c>
      <c r="M147" s="258">
        <f>(M35/(N150-M161)*365)/M131</f>
        <v>0.27926915322580648</v>
      </c>
      <c r="N147" s="258">
        <f t="shared" ref="N147:AH147" si="75">(N35/(O150-N161)*365)/N131</f>
        <v>1.0226622983870968</v>
      </c>
      <c r="O147" s="258">
        <f t="shared" si="75"/>
        <v>1.2800791090629799</v>
      </c>
      <c r="P147" s="258">
        <f t="shared" si="75"/>
        <v>0.61507463630613535</v>
      </c>
      <c r="Q147" s="258">
        <f t="shared" si="75"/>
        <v>0.78370532890575584</v>
      </c>
      <c r="R147" s="258">
        <f t="shared" si="75"/>
        <v>0.7365796963946869</v>
      </c>
      <c r="S147" s="258">
        <f t="shared" si="75"/>
        <v>0.99869638108451841</v>
      </c>
      <c r="T147" s="258">
        <f t="shared" si="75"/>
        <v>1.1140328361660308</v>
      </c>
      <c r="U147" s="258">
        <f t="shared" si="75"/>
        <v>0.92227991957338928</v>
      </c>
      <c r="V147" s="258">
        <f t="shared" si="75"/>
        <v>1.2161272822726477</v>
      </c>
      <c r="W147" s="258">
        <f t="shared" si="75"/>
        <v>0.60894093887541301</v>
      </c>
      <c r="X147" s="258">
        <f t="shared" si="75"/>
        <v>0.82317089999749082</v>
      </c>
      <c r="Y147" s="259">
        <f t="shared" si="75"/>
        <v>0.86371103332027532</v>
      </c>
      <c r="Z147" s="259">
        <f t="shared" si="75"/>
        <v>0.68719078505398512</v>
      </c>
      <c r="AA147" s="259">
        <f t="shared" si="75"/>
        <v>0.74723733552997806</v>
      </c>
      <c r="AB147" s="259">
        <f t="shared" si="75"/>
        <v>0.8149885286789198</v>
      </c>
      <c r="AC147" s="259">
        <f t="shared" si="75"/>
        <v>0.80092935745456473</v>
      </c>
      <c r="AD147" s="259">
        <f t="shared" si="75"/>
        <v>0.80803140054260547</v>
      </c>
      <c r="AE147" s="259">
        <f t="shared" si="75"/>
        <v>0.8461395665799254</v>
      </c>
      <c r="AF147" s="259">
        <f t="shared" si="75"/>
        <v>0.90864809732455654</v>
      </c>
      <c r="AG147" s="259">
        <f t="shared" si="75"/>
        <v>1.0775303290194909</v>
      </c>
      <c r="AH147" s="259">
        <f t="shared" si="75"/>
        <v>1.0717569635651558</v>
      </c>
    </row>
    <row r="148" spans="1:35">
      <c r="A148" s="68" t="s">
        <v>201</v>
      </c>
      <c r="L148" s="68"/>
      <c r="M148" s="260">
        <f t="shared" ref="M148:AG148" si="76">AVERAGE(M136:M147)</f>
        <v>0.32605173041419477</v>
      </c>
      <c r="N148" s="260">
        <f t="shared" si="76"/>
        <v>0.70419408942172301</v>
      </c>
      <c r="O148" s="260">
        <f t="shared" si="76"/>
        <v>0.94713800557289718</v>
      </c>
      <c r="P148" s="260">
        <f t="shared" si="76"/>
        <v>0.69329565562784257</v>
      </c>
      <c r="Q148" s="260">
        <f t="shared" si="76"/>
        <v>0.64650067397582711</v>
      </c>
      <c r="R148" s="260">
        <f t="shared" si="76"/>
        <v>0.63337772072314591</v>
      </c>
      <c r="S148" s="260">
        <f t="shared" si="76"/>
        <v>0.66584253528733972</v>
      </c>
      <c r="T148" s="260">
        <f t="shared" si="76"/>
        <v>0.88217533910700752</v>
      </c>
      <c r="U148" s="260">
        <f t="shared" si="76"/>
        <v>0.8533719827124332</v>
      </c>
      <c r="V148" s="260">
        <f t="shared" si="76"/>
        <v>0.92195203208559706</v>
      </c>
      <c r="W148" s="260">
        <f t="shared" si="76"/>
        <v>0.7097792455686659</v>
      </c>
      <c r="X148" s="260">
        <f t="shared" si="76"/>
        <v>0.72963719901468493</v>
      </c>
      <c r="Y148" s="261">
        <f t="shared" si="76"/>
        <v>0.73487861532142418</v>
      </c>
      <c r="Z148" s="261">
        <f t="shared" si="76"/>
        <v>0.53553723544738097</v>
      </c>
      <c r="AA148" s="261">
        <f t="shared" si="76"/>
        <v>0.52548353927026914</v>
      </c>
      <c r="AB148" s="261">
        <f t="shared" si="76"/>
        <v>0.57097639351787899</v>
      </c>
      <c r="AC148" s="261">
        <f t="shared" si="76"/>
        <v>0.56001695193189827</v>
      </c>
      <c r="AD148" s="261">
        <f t="shared" si="76"/>
        <v>0.56528264852976362</v>
      </c>
      <c r="AE148" s="261">
        <f t="shared" si="76"/>
        <v>0.59230790356499075</v>
      </c>
      <c r="AF148" s="261">
        <f t="shared" si="76"/>
        <v>0.6361329880974057</v>
      </c>
      <c r="AG148" s="261">
        <f t="shared" si="76"/>
        <v>0.75154130991747825</v>
      </c>
      <c r="AH148" s="261">
        <f>AVERAGE(AH136:AH147)</f>
        <v>0.74977657882234894</v>
      </c>
    </row>
    <row r="149" spans="1:35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55"/>
      <c r="AF149" s="255"/>
      <c r="AG149" s="255"/>
      <c r="AH149" s="255"/>
    </row>
    <row r="150" spans="1:35">
      <c r="L150" s="262">
        <v>40544</v>
      </c>
      <c r="M150" s="262">
        <v>40909</v>
      </c>
      <c r="N150" s="262">
        <v>41275</v>
      </c>
      <c r="O150" s="262">
        <v>41640</v>
      </c>
      <c r="P150" s="262">
        <v>42005</v>
      </c>
      <c r="Q150" s="262">
        <v>42370</v>
      </c>
      <c r="R150" s="262">
        <v>42736</v>
      </c>
      <c r="S150" s="262">
        <v>43101</v>
      </c>
      <c r="T150" s="262">
        <v>43466</v>
      </c>
      <c r="U150" s="262">
        <v>43831</v>
      </c>
      <c r="V150" s="262">
        <v>44197</v>
      </c>
      <c r="W150" s="262">
        <v>44562</v>
      </c>
      <c r="X150" s="262">
        <v>44927</v>
      </c>
      <c r="Y150" s="262">
        <v>45292</v>
      </c>
      <c r="Z150" s="262">
        <v>45658</v>
      </c>
      <c r="AA150" s="262">
        <v>46023</v>
      </c>
      <c r="AB150" s="262">
        <v>46388</v>
      </c>
      <c r="AC150" s="262">
        <v>46753</v>
      </c>
      <c r="AD150" s="262">
        <v>47119</v>
      </c>
      <c r="AE150" s="262">
        <v>47484</v>
      </c>
      <c r="AF150" s="262">
        <v>47849</v>
      </c>
      <c r="AG150" s="262">
        <v>48214</v>
      </c>
      <c r="AH150" s="262">
        <v>48580</v>
      </c>
      <c r="AI150" s="262">
        <v>48945</v>
      </c>
    </row>
    <row r="151" spans="1:35">
      <c r="L151" s="262">
        <v>40575</v>
      </c>
      <c r="M151" s="262">
        <v>40940</v>
      </c>
      <c r="N151" s="262">
        <v>41306</v>
      </c>
      <c r="O151" s="262">
        <v>41671</v>
      </c>
      <c r="P151" s="262">
        <v>42036</v>
      </c>
      <c r="Q151" s="262">
        <v>42401</v>
      </c>
      <c r="R151" s="262">
        <v>42767</v>
      </c>
      <c r="S151" s="262">
        <v>43132</v>
      </c>
      <c r="T151" s="262">
        <v>43497</v>
      </c>
      <c r="U151" s="262">
        <v>43862</v>
      </c>
      <c r="V151" s="262">
        <v>44228</v>
      </c>
      <c r="W151" s="262">
        <v>44593</v>
      </c>
      <c r="X151" s="262">
        <v>44958</v>
      </c>
      <c r="Y151" s="262">
        <v>45323</v>
      </c>
      <c r="Z151" s="262">
        <v>45689</v>
      </c>
      <c r="AA151" s="262">
        <v>46054</v>
      </c>
      <c r="AB151" s="262">
        <v>46419</v>
      </c>
      <c r="AC151" s="262">
        <v>46784</v>
      </c>
      <c r="AD151" s="262">
        <v>47150</v>
      </c>
      <c r="AE151" s="262">
        <v>47515</v>
      </c>
      <c r="AF151" s="262">
        <v>47880</v>
      </c>
      <c r="AG151" s="262">
        <v>48245</v>
      </c>
      <c r="AH151" s="262">
        <v>48611</v>
      </c>
    </row>
    <row r="152" spans="1:35">
      <c r="L152" s="262">
        <v>40603</v>
      </c>
      <c r="M152" s="262">
        <v>40969</v>
      </c>
      <c r="N152" s="262">
        <v>41334</v>
      </c>
      <c r="O152" s="262">
        <v>41699</v>
      </c>
      <c r="P152" s="262">
        <v>42064</v>
      </c>
      <c r="Q152" s="262">
        <v>42430</v>
      </c>
      <c r="R152" s="262">
        <v>42795</v>
      </c>
      <c r="S152" s="262">
        <v>43160</v>
      </c>
      <c r="T152" s="262">
        <v>43525</v>
      </c>
      <c r="U152" s="262">
        <v>43891</v>
      </c>
      <c r="V152" s="262">
        <v>44256</v>
      </c>
      <c r="W152" s="262">
        <v>44621</v>
      </c>
      <c r="X152" s="262">
        <v>44986</v>
      </c>
      <c r="Y152" s="262">
        <v>45352</v>
      </c>
      <c r="Z152" s="262">
        <v>45717</v>
      </c>
      <c r="AA152" s="262">
        <v>46082</v>
      </c>
      <c r="AB152" s="262">
        <v>46447</v>
      </c>
      <c r="AC152" s="262">
        <v>46813</v>
      </c>
      <c r="AD152" s="262">
        <v>47178</v>
      </c>
      <c r="AE152" s="262">
        <v>47543</v>
      </c>
      <c r="AF152" s="262">
        <v>47908</v>
      </c>
      <c r="AG152" s="262">
        <v>48274</v>
      </c>
      <c r="AH152" s="262">
        <v>48639</v>
      </c>
    </row>
    <row r="153" spans="1:35">
      <c r="L153" s="262">
        <v>40634</v>
      </c>
      <c r="M153" s="262">
        <v>41000</v>
      </c>
      <c r="N153" s="262">
        <v>41365</v>
      </c>
      <c r="O153" s="262">
        <v>41730</v>
      </c>
      <c r="P153" s="262">
        <v>42095</v>
      </c>
      <c r="Q153" s="262">
        <v>42461</v>
      </c>
      <c r="R153" s="262">
        <v>42826</v>
      </c>
      <c r="S153" s="262">
        <v>43191</v>
      </c>
      <c r="T153" s="262">
        <v>43556</v>
      </c>
      <c r="U153" s="262">
        <v>43922</v>
      </c>
      <c r="V153" s="262">
        <v>44287</v>
      </c>
      <c r="W153" s="262">
        <v>44652</v>
      </c>
      <c r="X153" s="262">
        <v>45017</v>
      </c>
      <c r="Y153" s="262">
        <v>45383</v>
      </c>
      <c r="Z153" s="262">
        <v>45748</v>
      </c>
      <c r="AA153" s="262">
        <v>46113</v>
      </c>
      <c r="AB153" s="262">
        <v>46478</v>
      </c>
      <c r="AC153" s="262">
        <v>46844</v>
      </c>
      <c r="AD153" s="262">
        <v>47209</v>
      </c>
      <c r="AE153" s="262">
        <v>47574</v>
      </c>
      <c r="AF153" s="262">
        <v>47939</v>
      </c>
      <c r="AG153" s="262">
        <v>48305</v>
      </c>
      <c r="AH153" s="262">
        <v>48670</v>
      </c>
    </row>
    <row r="154" spans="1:35">
      <c r="L154" s="262">
        <v>40664</v>
      </c>
      <c r="M154" s="262">
        <v>41030</v>
      </c>
      <c r="N154" s="262">
        <v>41395</v>
      </c>
      <c r="O154" s="262">
        <v>41760</v>
      </c>
      <c r="P154" s="262">
        <v>42125</v>
      </c>
      <c r="Q154" s="262">
        <v>42491</v>
      </c>
      <c r="R154" s="262">
        <v>42856</v>
      </c>
      <c r="S154" s="262">
        <v>43221</v>
      </c>
      <c r="T154" s="262">
        <v>43586</v>
      </c>
      <c r="U154" s="262">
        <v>43952</v>
      </c>
      <c r="V154" s="262">
        <v>44317</v>
      </c>
      <c r="W154" s="262">
        <v>44682</v>
      </c>
      <c r="X154" s="262">
        <v>45047</v>
      </c>
      <c r="Y154" s="262">
        <v>45413</v>
      </c>
      <c r="Z154" s="262">
        <v>45778</v>
      </c>
      <c r="AA154" s="262">
        <v>46143</v>
      </c>
      <c r="AB154" s="262">
        <v>46508</v>
      </c>
      <c r="AC154" s="262">
        <v>46874</v>
      </c>
      <c r="AD154" s="262">
        <v>47239</v>
      </c>
      <c r="AE154" s="262">
        <v>47604</v>
      </c>
      <c r="AF154" s="262">
        <v>47969</v>
      </c>
      <c r="AG154" s="262">
        <v>48335</v>
      </c>
      <c r="AH154" s="262">
        <v>48700</v>
      </c>
    </row>
    <row r="155" spans="1:35">
      <c r="L155" s="262">
        <v>40695</v>
      </c>
      <c r="M155" s="262">
        <v>41061</v>
      </c>
      <c r="N155" s="262">
        <v>41426</v>
      </c>
      <c r="O155" s="262">
        <v>41791</v>
      </c>
      <c r="P155" s="262">
        <v>42156</v>
      </c>
      <c r="Q155" s="262">
        <v>42522</v>
      </c>
      <c r="R155" s="262">
        <v>42887</v>
      </c>
      <c r="S155" s="262">
        <v>43252</v>
      </c>
      <c r="T155" s="262">
        <v>43617</v>
      </c>
      <c r="U155" s="262">
        <v>43983</v>
      </c>
      <c r="V155" s="262">
        <v>44348</v>
      </c>
      <c r="W155" s="262">
        <v>44713</v>
      </c>
      <c r="X155" s="262">
        <v>45078</v>
      </c>
      <c r="Y155" s="262">
        <v>45444</v>
      </c>
      <c r="Z155" s="262">
        <v>45809</v>
      </c>
      <c r="AA155" s="262">
        <v>46174</v>
      </c>
      <c r="AB155" s="262">
        <v>46539</v>
      </c>
      <c r="AC155" s="262">
        <v>46905</v>
      </c>
      <c r="AD155" s="262">
        <v>47270</v>
      </c>
      <c r="AE155" s="262">
        <v>47635</v>
      </c>
      <c r="AF155" s="262">
        <v>48000</v>
      </c>
      <c r="AG155" s="262">
        <v>48366</v>
      </c>
      <c r="AH155" s="262">
        <v>48731</v>
      </c>
    </row>
    <row r="156" spans="1:35">
      <c r="L156" s="262">
        <v>40725</v>
      </c>
      <c r="M156" s="262">
        <v>41091</v>
      </c>
      <c r="N156" s="262">
        <v>41456</v>
      </c>
      <c r="O156" s="262">
        <v>41821</v>
      </c>
      <c r="P156" s="262">
        <v>42186</v>
      </c>
      <c r="Q156" s="262">
        <v>42552</v>
      </c>
      <c r="R156" s="262">
        <v>42917</v>
      </c>
      <c r="S156" s="262">
        <v>43282</v>
      </c>
      <c r="T156" s="262">
        <v>43647</v>
      </c>
      <c r="U156" s="262">
        <v>44013</v>
      </c>
      <c r="V156" s="262">
        <v>44378</v>
      </c>
      <c r="W156" s="262">
        <v>44743</v>
      </c>
      <c r="X156" s="262">
        <v>45108</v>
      </c>
      <c r="Y156" s="262">
        <v>45474</v>
      </c>
      <c r="Z156" s="262">
        <v>45839</v>
      </c>
      <c r="AA156" s="262">
        <v>46204</v>
      </c>
      <c r="AB156" s="262">
        <v>46569</v>
      </c>
      <c r="AC156" s="262">
        <v>46935</v>
      </c>
      <c r="AD156" s="262">
        <v>47300</v>
      </c>
      <c r="AE156" s="262">
        <v>47665</v>
      </c>
      <c r="AF156" s="262">
        <v>48030</v>
      </c>
      <c r="AG156" s="262">
        <v>48396</v>
      </c>
      <c r="AH156" s="262">
        <v>48761</v>
      </c>
    </row>
    <row r="157" spans="1:35">
      <c r="L157" s="262">
        <v>40756</v>
      </c>
      <c r="M157" s="262">
        <v>41122</v>
      </c>
      <c r="N157" s="262">
        <v>41487</v>
      </c>
      <c r="O157" s="262">
        <v>41852</v>
      </c>
      <c r="P157" s="262">
        <v>42217</v>
      </c>
      <c r="Q157" s="262">
        <v>42583</v>
      </c>
      <c r="R157" s="262">
        <v>42948</v>
      </c>
      <c r="S157" s="262">
        <v>43313</v>
      </c>
      <c r="T157" s="262">
        <v>43678</v>
      </c>
      <c r="U157" s="262">
        <v>44044</v>
      </c>
      <c r="V157" s="262">
        <v>44409</v>
      </c>
      <c r="W157" s="262">
        <v>44774</v>
      </c>
      <c r="X157" s="262">
        <v>45139</v>
      </c>
      <c r="Y157" s="262">
        <v>45505</v>
      </c>
      <c r="Z157" s="262">
        <v>45870</v>
      </c>
      <c r="AA157" s="262">
        <v>46235</v>
      </c>
      <c r="AB157" s="262">
        <v>46600</v>
      </c>
      <c r="AC157" s="262">
        <v>46966</v>
      </c>
      <c r="AD157" s="262">
        <v>47331</v>
      </c>
      <c r="AE157" s="262">
        <v>47696</v>
      </c>
      <c r="AF157" s="262">
        <v>48061</v>
      </c>
      <c r="AG157" s="262">
        <v>48427</v>
      </c>
      <c r="AH157" s="262">
        <v>48792</v>
      </c>
    </row>
    <row r="158" spans="1:35">
      <c r="L158" s="262">
        <v>40787</v>
      </c>
      <c r="M158" s="262">
        <v>41153</v>
      </c>
      <c r="N158" s="262">
        <v>41518</v>
      </c>
      <c r="O158" s="262">
        <v>41883</v>
      </c>
      <c r="P158" s="262">
        <v>42248</v>
      </c>
      <c r="Q158" s="262">
        <v>42614</v>
      </c>
      <c r="R158" s="262">
        <v>42979</v>
      </c>
      <c r="S158" s="262">
        <v>43344</v>
      </c>
      <c r="T158" s="262">
        <v>43709</v>
      </c>
      <c r="U158" s="262">
        <v>44075</v>
      </c>
      <c r="V158" s="262">
        <v>44440</v>
      </c>
      <c r="W158" s="262">
        <v>44805</v>
      </c>
      <c r="X158" s="262">
        <v>45170</v>
      </c>
      <c r="Y158" s="262">
        <v>45536</v>
      </c>
      <c r="Z158" s="262">
        <v>45901</v>
      </c>
      <c r="AA158" s="262">
        <v>46266</v>
      </c>
      <c r="AB158" s="262">
        <v>46631</v>
      </c>
      <c r="AC158" s="262">
        <v>46997</v>
      </c>
      <c r="AD158" s="262">
        <v>47362</v>
      </c>
      <c r="AE158" s="262">
        <v>47727</v>
      </c>
      <c r="AF158" s="262">
        <v>48092</v>
      </c>
      <c r="AG158" s="262">
        <v>48458</v>
      </c>
      <c r="AH158" s="262">
        <v>48823</v>
      </c>
    </row>
    <row r="159" spans="1:35">
      <c r="L159" s="262">
        <v>40817</v>
      </c>
      <c r="M159" s="262">
        <v>41183</v>
      </c>
      <c r="N159" s="262">
        <v>41548</v>
      </c>
      <c r="O159" s="262">
        <v>41913</v>
      </c>
      <c r="P159" s="262">
        <v>42278</v>
      </c>
      <c r="Q159" s="262">
        <v>42644</v>
      </c>
      <c r="R159" s="262">
        <v>43009</v>
      </c>
      <c r="S159" s="262">
        <v>43374</v>
      </c>
      <c r="T159" s="262">
        <v>43739</v>
      </c>
      <c r="U159" s="262">
        <v>44105</v>
      </c>
      <c r="V159" s="262">
        <v>44470</v>
      </c>
      <c r="W159" s="262">
        <v>44835</v>
      </c>
      <c r="X159" s="262">
        <v>45200</v>
      </c>
      <c r="Y159" s="262">
        <v>45566</v>
      </c>
      <c r="Z159" s="262">
        <v>45931</v>
      </c>
      <c r="AA159" s="262">
        <v>46296</v>
      </c>
      <c r="AB159" s="262">
        <v>46661</v>
      </c>
      <c r="AC159" s="262">
        <v>47027</v>
      </c>
      <c r="AD159" s="262">
        <v>47392</v>
      </c>
      <c r="AE159" s="262">
        <v>47757</v>
      </c>
      <c r="AF159" s="262">
        <v>48122</v>
      </c>
      <c r="AG159" s="262">
        <v>48488</v>
      </c>
      <c r="AH159" s="262">
        <v>48853</v>
      </c>
    </row>
    <row r="160" spans="1:35">
      <c r="L160" s="262">
        <v>40848</v>
      </c>
      <c r="M160" s="262">
        <v>41214</v>
      </c>
      <c r="N160" s="262">
        <v>41579</v>
      </c>
      <c r="O160" s="262">
        <v>41944</v>
      </c>
      <c r="P160" s="262">
        <v>42309</v>
      </c>
      <c r="Q160" s="262">
        <v>42675</v>
      </c>
      <c r="R160" s="262">
        <v>43040</v>
      </c>
      <c r="S160" s="262">
        <v>43405</v>
      </c>
      <c r="T160" s="262">
        <v>43770</v>
      </c>
      <c r="U160" s="262">
        <v>44136</v>
      </c>
      <c r="V160" s="262">
        <v>44501</v>
      </c>
      <c r="W160" s="262">
        <v>44866</v>
      </c>
      <c r="X160" s="262">
        <v>45231</v>
      </c>
      <c r="Y160" s="262">
        <v>45597</v>
      </c>
      <c r="Z160" s="262">
        <v>45962</v>
      </c>
      <c r="AA160" s="262">
        <v>46327</v>
      </c>
      <c r="AB160" s="262">
        <v>46692</v>
      </c>
      <c r="AC160" s="262">
        <v>47058</v>
      </c>
      <c r="AD160" s="262">
        <v>47423</v>
      </c>
      <c r="AE160" s="262">
        <v>47788</v>
      </c>
      <c r="AF160" s="262">
        <v>48153</v>
      </c>
      <c r="AG160" s="262">
        <v>48519</v>
      </c>
      <c r="AH160" s="262">
        <v>48884</v>
      </c>
    </row>
    <row r="161" spans="2:34">
      <c r="L161" s="262">
        <v>40878</v>
      </c>
      <c r="M161" s="262">
        <v>41244</v>
      </c>
      <c r="N161" s="262">
        <v>41609</v>
      </c>
      <c r="O161" s="262">
        <v>41974</v>
      </c>
      <c r="P161" s="262">
        <v>42339</v>
      </c>
      <c r="Q161" s="262">
        <v>42705</v>
      </c>
      <c r="R161" s="262">
        <v>43070</v>
      </c>
      <c r="S161" s="262">
        <v>43435</v>
      </c>
      <c r="T161" s="262">
        <v>43800</v>
      </c>
      <c r="U161" s="262">
        <v>44166</v>
      </c>
      <c r="V161" s="262">
        <v>44531</v>
      </c>
      <c r="W161" s="262">
        <v>44896</v>
      </c>
      <c r="X161" s="262">
        <v>45261</v>
      </c>
      <c r="Y161" s="262">
        <v>45627</v>
      </c>
      <c r="Z161" s="262">
        <v>45992</v>
      </c>
      <c r="AA161" s="262">
        <v>46357</v>
      </c>
      <c r="AB161" s="262">
        <v>46722</v>
      </c>
      <c r="AC161" s="262">
        <v>47088</v>
      </c>
      <c r="AD161" s="262">
        <v>47453</v>
      </c>
      <c r="AE161" s="262">
        <v>47818</v>
      </c>
      <c r="AF161" s="262">
        <v>48183</v>
      </c>
      <c r="AG161" s="262">
        <v>48549</v>
      </c>
      <c r="AH161" s="262">
        <v>48914</v>
      </c>
    </row>
    <row r="164" spans="2:34" ht="12" thickBot="1"/>
    <row r="165" spans="2:34" ht="12" thickBot="1">
      <c r="B165" s="237">
        <f t="shared" ref="B165" si="77">B48</f>
        <v>0</v>
      </c>
    </row>
    <row r="179" spans="2:2">
      <c r="B179" s="255"/>
    </row>
  </sheetData>
  <mergeCells count="1">
    <mergeCell ref="AI7:AK12"/>
  </mergeCells>
  <printOptions verticalCentered="1"/>
  <pageMargins left="0.2" right="0.2" top="0.25" bottom="0.25" header="0" footer="0.1"/>
  <pageSetup scale="53" orientation="landscape" r:id="rId1"/>
  <headerFooter>
    <oddFooter>&amp;L&amp;"Arial,Regular"&amp;10&amp;D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7005-E7B7-4B77-8520-71F3502D7545}">
  <dimension ref="A1:AT477"/>
  <sheetViews>
    <sheetView zoomScaleNormal="100" workbookViewId="0">
      <pane xSplit="1" ySplit="3" topLeftCell="AB146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8.85546875" defaultRowHeight="15"/>
  <cols>
    <col min="1" max="1" width="57.85546875" customWidth="1"/>
    <col min="2" max="11" width="9.140625" style="101" customWidth="1"/>
    <col min="12" max="12" width="9.5703125" style="101" customWidth="1"/>
    <col min="13" max="23" width="9.5703125" style="101" bestFit="1" customWidth="1"/>
    <col min="24" max="24" width="11" style="98" bestFit="1" customWidth="1"/>
    <col min="25" max="26" width="9.5703125" style="98" bestFit="1" customWidth="1"/>
    <col min="27" max="34" width="9.5703125" style="98" customWidth="1"/>
    <col min="35" max="35" width="8.85546875" style="101"/>
  </cols>
  <sheetData>
    <row r="1" spans="1:46" ht="15.75" thickBot="1">
      <c r="A1" s="89" t="s">
        <v>231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</row>
    <row r="2" spans="1:46" s="87" customFormat="1" ht="17.25" thickTop="1">
      <c r="A2" s="120"/>
      <c r="B2" s="88">
        <v>2001</v>
      </c>
      <c r="C2" s="88">
        <v>2002</v>
      </c>
      <c r="D2" s="88">
        <v>2003</v>
      </c>
      <c r="E2" s="88">
        <v>2004</v>
      </c>
      <c r="F2" s="88">
        <v>2005</v>
      </c>
      <c r="G2" s="88">
        <v>2006</v>
      </c>
      <c r="H2" s="88">
        <v>2007</v>
      </c>
      <c r="I2" s="88">
        <v>2008</v>
      </c>
      <c r="J2" s="88">
        <v>2009</v>
      </c>
      <c r="K2" s="88">
        <v>2010</v>
      </c>
      <c r="L2" s="88">
        <v>2011</v>
      </c>
      <c r="M2" s="88">
        <v>2012</v>
      </c>
      <c r="N2" s="88">
        <v>2013</v>
      </c>
      <c r="O2" s="88">
        <v>2014</v>
      </c>
      <c r="P2" s="88">
        <v>2015</v>
      </c>
      <c r="Q2" s="88">
        <v>2016</v>
      </c>
      <c r="R2" s="88">
        <v>2017</v>
      </c>
      <c r="S2" s="88">
        <v>2018</v>
      </c>
      <c r="T2" s="88">
        <v>2019</v>
      </c>
      <c r="U2" s="88">
        <v>2020</v>
      </c>
      <c r="V2" s="88">
        <v>2021</v>
      </c>
      <c r="W2" s="88">
        <v>2022</v>
      </c>
      <c r="X2" s="88">
        <v>2023</v>
      </c>
      <c r="Y2" s="88">
        <v>2024</v>
      </c>
      <c r="Z2" s="88">
        <v>2025</v>
      </c>
      <c r="AA2" s="88">
        <v>2026</v>
      </c>
      <c r="AB2" s="88">
        <v>2027</v>
      </c>
      <c r="AC2" s="88">
        <v>2028</v>
      </c>
      <c r="AD2" s="88">
        <v>2029</v>
      </c>
      <c r="AE2" s="88">
        <v>2030</v>
      </c>
      <c r="AF2" s="88">
        <v>2031</v>
      </c>
      <c r="AG2" s="88">
        <v>2032</v>
      </c>
      <c r="AH2" s="88">
        <v>2033</v>
      </c>
      <c r="AI2" s="113"/>
    </row>
    <row r="3" spans="1:46" ht="16.5" hidden="1">
      <c r="A3" s="89" t="s">
        <v>232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</row>
    <row r="4" spans="1:46" ht="16.5">
      <c r="A4" s="92" t="s">
        <v>149</v>
      </c>
      <c r="B4" s="99"/>
      <c r="C4" s="99">
        <f t="shared" ref="C4:L4" si="0">B13</f>
        <v>6069.5460000000003</v>
      </c>
      <c r="D4" s="99">
        <f t="shared" si="0"/>
        <v>5631.57</v>
      </c>
      <c r="E4" s="99">
        <f t="shared" si="0"/>
        <v>5734.7640000000001</v>
      </c>
      <c r="F4" s="99">
        <f t="shared" si="0"/>
        <v>5303.424</v>
      </c>
      <c r="G4" s="99">
        <f t="shared" si="0"/>
        <v>5712.924</v>
      </c>
      <c r="H4" s="99">
        <f t="shared" si="0"/>
        <v>6033.3419999999996</v>
      </c>
      <c r="I4" s="99">
        <f t="shared" si="0"/>
        <v>5625.6480000000001</v>
      </c>
      <c r="J4" s="99">
        <f t="shared" si="0"/>
        <v>6132.5460000000003</v>
      </c>
      <c r="K4" s="99">
        <f t="shared" si="0"/>
        <v>6970.4880000000003</v>
      </c>
      <c r="L4" s="99">
        <f t="shared" si="0"/>
        <v>6900.8519999999999</v>
      </c>
      <c r="M4" s="99">
        <f>L13</f>
        <v>6266.9040000000005</v>
      </c>
      <c r="N4" s="99">
        <f t="shared" ref="N4:AH4" si="1">M13</f>
        <v>5661.9780000000001</v>
      </c>
      <c r="O4" s="99">
        <f t="shared" si="1"/>
        <v>5356.8059999999996</v>
      </c>
      <c r="P4" s="99">
        <f t="shared" si="1"/>
        <v>5724.0119999999997</v>
      </c>
      <c r="Q4" s="99">
        <f t="shared" si="1"/>
        <v>6775.692</v>
      </c>
      <c r="R4" s="99">
        <f t="shared" si="1"/>
        <v>6975.99</v>
      </c>
      <c r="S4" s="99">
        <f t="shared" si="1"/>
        <v>6116.7960000000003</v>
      </c>
      <c r="T4" s="99">
        <f t="shared" si="1"/>
        <v>5886.8040000000001</v>
      </c>
      <c r="U4" s="99">
        <f t="shared" si="1"/>
        <v>5883.4859999999999</v>
      </c>
      <c r="V4" s="99">
        <f t="shared" si="1"/>
        <v>6769.8959999999997</v>
      </c>
      <c r="W4" s="99">
        <f t="shared" si="1"/>
        <v>5461.6379999999999</v>
      </c>
      <c r="X4" s="99">
        <f t="shared" si="1"/>
        <v>4993.7579999999998</v>
      </c>
      <c r="Y4" s="99">
        <f t="shared" si="1"/>
        <v>5489.9459999999999</v>
      </c>
      <c r="Z4" s="97">
        <f t="shared" si="1"/>
        <v>5950</v>
      </c>
      <c r="AA4" s="97">
        <f t="shared" si="1"/>
        <v>5950</v>
      </c>
      <c r="AB4" s="97">
        <f t="shared" si="1"/>
        <v>5950</v>
      </c>
      <c r="AC4" s="97">
        <f t="shared" si="1"/>
        <v>5950</v>
      </c>
      <c r="AD4" s="97">
        <f t="shared" si="1"/>
        <v>5900</v>
      </c>
      <c r="AE4" s="97">
        <f t="shared" si="1"/>
        <v>5900</v>
      </c>
      <c r="AF4" s="97">
        <f t="shared" si="1"/>
        <v>5900</v>
      </c>
      <c r="AG4" s="97">
        <f t="shared" si="1"/>
        <v>5850</v>
      </c>
      <c r="AH4" s="97">
        <f t="shared" si="1"/>
        <v>5950</v>
      </c>
      <c r="AI4" s="121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</row>
    <row r="5" spans="1:46" ht="16.5">
      <c r="A5" s="92" t="s">
        <v>150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>
        <f t="shared" ref="L5:X5" si="2">L33</f>
        <v>68863.45199999999</v>
      </c>
      <c r="M5" s="99">
        <f t="shared" si="2"/>
        <v>69940.751999999993</v>
      </c>
      <c r="N5" s="99">
        <f t="shared" si="2"/>
        <v>72554.705999999976</v>
      </c>
      <c r="O5" s="99">
        <f t="shared" si="2"/>
        <v>75366.185999999987</v>
      </c>
      <c r="P5" s="99">
        <f t="shared" si="2"/>
        <v>76388.760000000009</v>
      </c>
      <c r="Q5" s="99">
        <f t="shared" si="2"/>
        <v>74312.069999999992</v>
      </c>
      <c r="R5" s="99">
        <f t="shared" si="2"/>
        <v>77022.918000000005</v>
      </c>
      <c r="S5" s="99">
        <f t="shared" si="2"/>
        <v>79226.322</v>
      </c>
      <c r="T5" s="99">
        <f t="shared" si="2"/>
        <v>78750.63</v>
      </c>
      <c r="U5" s="99">
        <f t="shared" si="2"/>
        <v>72826.23599999999</v>
      </c>
      <c r="V5" s="99">
        <f t="shared" si="2"/>
        <v>71554.896000000008</v>
      </c>
      <c r="W5" s="99">
        <f t="shared" si="2"/>
        <v>76816.361999999994</v>
      </c>
      <c r="X5" s="99">
        <f t="shared" si="2"/>
        <v>75221.538</v>
      </c>
      <c r="Y5" s="97">
        <f>MROUND(X5*1.025,100)-1500</f>
        <v>75600</v>
      </c>
      <c r="Z5" s="97">
        <f>MROUND(Y5*1.02,100)</f>
        <v>77100</v>
      </c>
      <c r="AA5" s="97">
        <f>MROUND(Z5*1.015,100)</f>
        <v>78300</v>
      </c>
      <c r="AB5" s="97">
        <f>MROUND(AA5*1.01,100)</f>
        <v>79100</v>
      </c>
      <c r="AC5" s="97">
        <f>MROUND(AB5*1.005,100)</f>
        <v>79500</v>
      </c>
      <c r="AD5" s="97">
        <f>MROUND(AC5*1.0025,100)</f>
        <v>79700</v>
      </c>
      <c r="AE5" s="97">
        <f>MROUND(AD5*1.005,100)</f>
        <v>80100</v>
      </c>
      <c r="AF5" s="97">
        <f>MROUND(AE5*1.0075,100)</f>
        <v>80700</v>
      </c>
      <c r="AG5" s="97">
        <f>MROUND(AF5*0.995,100)</f>
        <v>80300</v>
      </c>
      <c r="AH5" s="97">
        <f>MROUND(AG5*0.995,100)</f>
        <v>79900</v>
      </c>
      <c r="AI5" s="123">
        <f>(AH5/X5)-1</f>
        <v>6.2195776959519167E-2</v>
      </c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</row>
    <row r="6" spans="1:46" ht="16.5">
      <c r="A6" s="93" t="s">
        <v>151</v>
      </c>
      <c r="B6" s="99"/>
      <c r="C6" s="124"/>
      <c r="D6" s="124"/>
      <c r="E6" s="124"/>
      <c r="F6" s="124"/>
      <c r="G6" s="124"/>
      <c r="H6" s="124"/>
      <c r="I6" s="124"/>
      <c r="J6" s="124"/>
      <c r="K6" s="124"/>
      <c r="L6" s="124">
        <f t="shared" ref="L6:X6" si="3">L49</f>
        <v>2739.828</v>
      </c>
      <c r="M6" s="124">
        <f t="shared" si="3"/>
        <v>1939.5180000000003</v>
      </c>
      <c r="N6" s="124">
        <f t="shared" si="3"/>
        <v>2371.5300000000002</v>
      </c>
      <c r="O6" s="124">
        <f t="shared" si="3"/>
        <v>2984.1</v>
      </c>
      <c r="P6" s="124">
        <f t="shared" si="3"/>
        <v>3073.4760000000006</v>
      </c>
      <c r="Q6" s="124">
        <f t="shared" si="3"/>
        <v>2252.9639999999999</v>
      </c>
      <c r="R6" s="124">
        <f t="shared" si="3"/>
        <v>2308.9499999999998</v>
      </c>
      <c r="S6" s="124">
        <f t="shared" si="3"/>
        <v>2678.2979999999998</v>
      </c>
      <c r="T6" s="124">
        <f t="shared" si="3"/>
        <v>3103.2119999999995</v>
      </c>
      <c r="U6" s="124">
        <f t="shared" si="3"/>
        <v>3351.1379999999995</v>
      </c>
      <c r="V6" s="124">
        <f t="shared" si="3"/>
        <v>4421.0039999999999</v>
      </c>
      <c r="W6" s="124">
        <f t="shared" si="3"/>
        <v>2882.3760000000002</v>
      </c>
      <c r="X6" s="124">
        <f t="shared" si="3"/>
        <v>2573.3820000000001</v>
      </c>
      <c r="Y6" s="125">
        <v>2500</v>
      </c>
      <c r="Z6" s="125">
        <v>2750</v>
      </c>
      <c r="AA6" s="125">
        <v>3000</v>
      </c>
      <c r="AB6" s="125">
        <v>3250</v>
      </c>
      <c r="AC6" s="125">
        <v>3500</v>
      </c>
      <c r="AD6" s="125">
        <v>3750</v>
      </c>
      <c r="AE6" s="125">
        <v>4000</v>
      </c>
      <c r="AF6" s="125">
        <v>4250</v>
      </c>
      <c r="AG6" s="125">
        <v>4500</v>
      </c>
      <c r="AH6" s="125">
        <v>4750</v>
      </c>
      <c r="AI6" s="125">
        <v>25</v>
      </c>
    </row>
    <row r="7" spans="1:46" ht="16.5">
      <c r="A7" s="94" t="s">
        <v>233</v>
      </c>
      <c r="B7" s="126">
        <f>SUM(B4:B6)</f>
        <v>0</v>
      </c>
      <c r="C7" s="126">
        <f t="shared" ref="C7:AH7" si="4">SUM(C4:C6)</f>
        <v>6069.5460000000003</v>
      </c>
      <c r="D7" s="126">
        <f t="shared" si="4"/>
        <v>5631.57</v>
      </c>
      <c r="E7" s="126">
        <f t="shared" si="4"/>
        <v>5734.7640000000001</v>
      </c>
      <c r="F7" s="126">
        <f t="shared" si="4"/>
        <v>5303.424</v>
      </c>
      <c r="G7" s="126">
        <f t="shared" si="4"/>
        <v>5712.924</v>
      </c>
      <c r="H7" s="126">
        <f t="shared" si="4"/>
        <v>6033.3419999999996</v>
      </c>
      <c r="I7" s="126">
        <f t="shared" si="4"/>
        <v>5625.6480000000001</v>
      </c>
      <c r="J7" s="126">
        <f t="shared" si="4"/>
        <v>6132.5460000000003</v>
      </c>
      <c r="K7" s="126">
        <f t="shared" si="4"/>
        <v>6970.4880000000003</v>
      </c>
      <c r="L7" s="126">
        <f t="shared" si="4"/>
        <v>78504.131999999983</v>
      </c>
      <c r="M7" s="126">
        <f t="shared" si="4"/>
        <v>78147.173999999985</v>
      </c>
      <c r="N7" s="126">
        <f t="shared" si="4"/>
        <v>80588.213999999978</v>
      </c>
      <c r="O7" s="126">
        <f t="shared" si="4"/>
        <v>83707.09199999999</v>
      </c>
      <c r="P7" s="126">
        <f t="shared" si="4"/>
        <v>85186.248000000007</v>
      </c>
      <c r="Q7" s="126">
        <f t="shared" si="4"/>
        <v>83340.725999999995</v>
      </c>
      <c r="R7" s="126">
        <f t="shared" si="4"/>
        <v>86307.858000000007</v>
      </c>
      <c r="S7" s="126">
        <f>SUM(S4:S6)</f>
        <v>88021.415999999997</v>
      </c>
      <c r="T7" s="126">
        <f t="shared" si="4"/>
        <v>87740.646000000008</v>
      </c>
      <c r="U7" s="126">
        <f t="shared" si="4"/>
        <v>82060.86</v>
      </c>
      <c r="V7" s="126">
        <f t="shared" si="4"/>
        <v>82745.796000000002</v>
      </c>
      <c r="W7" s="126">
        <f t="shared" si="4"/>
        <v>85160.376000000004</v>
      </c>
      <c r="X7" s="126">
        <f t="shared" si="4"/>
        <v>82788.678</v>
      </c>
      <c r="Y7" s="127">
        <f t="shared" si="4"/>
        <v>83589.945999999996</v>
      </c>
      <c r="Z7" s="127">
        <f t="shared" si="4"/>
        <v>85800</v>
      </c>
      <c r="AA7" s="127">
        <f t="shared" si="4"/>
        <v>87250</v>
      </c>
      <c r="AB7" s="127">
        <f t="shared" si="4"/>
        <v>88300</v>
      </c>
      <c r="AC7" s="127">
        <f t="shared" si="4"/>
        <v>88950</v>
      </c>
      <c r="AD7" s="127">
        <f t="shared" si="4"/>
        <v>89350</v>
      </c>
      <c r="AE7" s="127">
        <f t="shared" si="4"/>
        <v>90000</v>
      </c>
      <c r="AF7" s="127">
        <f t="shared" si="4"/>
        <v>90850</v>
      </c>
      <c r="AG7" s="127">
        <f t="shared" si="4"/>
        <v>90650</v>
      </c>
      <c r="AH7" s="127">
        <f t="shared" si="4"/>
        <v>90600</v>
      </c>
      <c r="AI7" s="123">
        <f t="shared" ref="AI7:AI13" si="5">(AH7/X7)-1</f>
        <v>9.4352539365346599E-2</v>
      </c>
    </row>
    <row r="8" spans="1:46" ht="16.5">
      <c r="A8" s="94" t="s">
        <v>234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>
        <f>S12-S11</f>
        <v>62380.625999999989</v>
      </c>
      <c r="T8" s="126">
        <f t="shared" ref="T8:X8" si="6">T12-T11</f>
        <v>61837.650000000009</v>
      </c>
      <c r="U8" s="126">
        <f t="shared" si="6"/>
        <v>57048.180000000008</v>
      </c>
      <c r="V8" s="126">
        <f>V12-V11</f>
        <v>60890.213999999993</v>
      </c>
      <c r="W8" s="126">
        <f t="shared" si="6"/>
        <v>61711.314000000006</v>
      </c>
      <c r="X8" s="126">
        <f t="shared" si="6"/>
        <v>60296.46</v>
      </c>
      <c r="Y8" s="127">
        <f>FORECAST(Y7,N8:X8,N7:X7)</f>
        <v>60042.898385357737</v>
      </c>
      <c r="Z8" s="127">
        <f t="shared" ref="Z8:AH8" si="7">FORECAST(Z7,O8:Y8,O7:Y7)</f>
        <v>61280.313237640599</v>
      </c>
      <c r="AA8" s="127">
        <f t="shared" si="7"/>
        <v>62092.171923360547</v>
      </c>
      <c r="AB8" s="127">
        <f t="shared" si="7"/>
        <v>62680.069592330183</v>
      </c>
      <c r="AC8" s="127">
        <f t="shared" si="7"/>
        <v>63044.006244549462</v>
      </c>
      <c r="AD8" s="127">
        <f t="shared" si="7"/>
        <v>63267.967261299797</v>
      </c>
      <c r="AE8" s="127">
        <f t="shared" si="7"/>
        <v>63663.529560255745</v>
      </c>
      <c r="AF8" s="127">
        <f t="shared" si="7"/>
        <v>64247.533290688953</v>
      </c>
      <c r="AG8" s="127">
        <f t="shared" si="7"/>
        <v>63876.662866275117</v>
      </c>
      <c r="AH8" s="127">
        <f t="shared" si="7"/>
        <v>63913.833555222343</v>
      </c>
      <c r="AI8" s="123">
        <f t="shared" si="5"/>
        <v>5.9993133182650205E-2</v>
      </c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</row>
    <row r="9" spans="1:46" ht="16.5">
      <c r="A9" s="92" t="s">
        <v>235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>
        <f>S97</f>
        <v>-3851.5260000000035</v>
      </c>
      <c r="T9" s="99">
        <f t="shared" ref="T9:X9" si="8">T97</f>
        <v>-3517.2900000000036</v>
      </c>
      <c r="U9" s="99">
        <f t="shared" si="8"/>
        <v>-3003.420000000001</v>
      </c>
      <c r="V9" s="99">
        <f t="shared" si="8"/>
        <v>-4307.8139999999985</v>
      </c>
      <c r="W9" s="99">
        <f t="shared" si="8"/>
        <v>-4551.4139999999998</v>
      </c>
      <c r="X9" s="99">
        <f t="shared" si="8"/>
        <v>-4196.22</v>
      </c>
      <c r="Y9" s="97">
        <v>-20000</v>
      </c>
      <c r="Z9" s="97">
        <v>-20000</v>
      </c>
      <c r="AA9" s="97">
        <v>-20000</v>
      </c>
      <c r="AB9" s="97">
        <v>-20000</v>
      </c>
      <c r="AC9" s="97">
        <v>-20000</v>
      </c>
      <c r="AD9" s="97">
        <v>-20000</v>
      </c>
      <c r="AE9" s="97">
        <v>-20000</v>
      </c>
      <c r="AF9" s="97">
        <v>-20000</v>
      </c>
      <c r="AG9" s="97">
        <v>-20000</v>
      </c>
      <c r="AH9" s="97">
        <v>-20000</v>
      </c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</row>
    <row r="10" spans="1:46" ht="16.5">
      <c r="A10" s="92" t="s">
        <v>236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>
        <f>S8+S9</f>
        <v>58529.099999999984</v>
      </c>
      <c r="T10" s="99">
        <f t="shared" ref="T10:AH10" si="9">T8+T9</f>
        <v>58320.360000000008</v>
      </c>
      <c r="U10" s="99">
        <f t="shared" si="9"/>
        <v>54044.760000000009</v>
      </c>
      <c r="V10" s="99">
        <f t="shared" si="9"/>
        <v>56582.399999999994</v>
      </c>
      <c r="W10" s="99">
        <f t="shared" si="9"/>
        <v>57159.900000000009</v>
      </c>
      <c r="X10" s="99">
        <f t="shared" si="9"/>
        <v>56100.24</v>
      </c>
      <c r="Y10" s="97">
        <f t="shared" si="9"/>
        <v>40042.898385357737</v>
      </c>
      <c r="Z10" s="97">
        <f t="shared" si="9"/>
        <v>41280.313237640599</v>
      </c>
      <c r="AA10" s="97">
        <f t="shared" si="9"/>
        <v>42092.171923360547</v>
      </c>
      <c r="AB10" s="97">
        <f t="shared" si="9"/>
        <v>42680.069592330183</v>
      </c>
      <c r="AC10" s="97">
        <f t="shared" si="9"/>
        <v>43044.006244549462</v>
      </c>
      <c r="AD10" s="97">
        <f t="shared" si="9"/>
        <v>43267.967261299797</v>
      </c>
      <c r="AE10" s="97">
        <f t="shared" si="9"/>
        <v>43663.529560255745</v>
      </c>
      <c r="AF10" s="97">
        <f t="shared" si="9"/>
        <v>44247.533290688953</v>
      </c>
      <c r="AG10" s="97">
        <f t="shared" si="9"/>
        <v>43876.662866275117</v>
      </c>
      <c r="AH10" s="97">
        <f t="shared" si="9"/>
        <v>43913.833555222343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</row>
    <row r="11" spans="1:46" ht="16.5">
      <c r="A11" s="92" t="s">
        <v>155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>
        <f t="shared" ref="L11:X11" si="10">L129</f>
        <v>0</v>
      </c>
      <c r="M11" s="99">
        <f t="shared" si="10"/>
        <v>362.27167200000002</v>
      </c>
      <c r="N11" s="99">
        <f t="shared" si="10"/>
        <v>573.66930600000001</v>
      </c>
      <c r="O11" s="99">
        <f t="shared" si="10"/>
        <v>399.68909399999995</v>
      </c>
      <c r="P11" s="99">
        <f t="shared" si="10"/>
        <v>524.35210799999993</v>
      </c>
      <c r="Q11" s="99">
        <f t="shared" si="10"/>
        <v>827.77346399999988</v>
      </c>
      <c r="R11" s="99">
        <f t="shared" si="10"/>
        <v>1226.4028979999998</v>
      </c>
      <c r="S11" s="99">
        <f t="shared" si="10"/>
        <v>19753.986000000001</v>
      </c>
      <c r="T11" s="99">
        <f t="shared" si="10"/>
        <v>20019.509999999998</v>
      </c>
      <c r="U11" s="99">
        <f t="shared" si="10"/>
        <v>18242.783999999996</v>
      </c>
      <c r="V11" s="99">
        <f t="shared" si="10"/>
        <v>16393.944</v>
      </c>
      <c r="W11" s="99">
        <f t="shared" si="10"/>
        <v>18455.303999999996</v>
      </c>
      <c r="X11" s="99">
        <f t="shared" si="10"/>
        <v>17002.272000000004</v>
      </c>
      <c r="Y11" s="97">
        <v>18000</v>
      </c>
      <c r="Z11" s="97">
        <v>1000</v>
      </c>
      <c r="AA11" s="97">
        <f t="shared" ref="AA11:AH11" si="11">FORECAST(AA6,P11:Z11,P6:Z6)</f>
        <v>12453.201612484843</v>
      </c>
      <c r="AB11" s="97">
        <f t="shared" si="11"/>
        <v>15039.938489637707</v>
      </c>
      <c r="AC11" s="97">
        <f t="shared" si="11"/>
        <v>16242.796146372908</v>
      </c>
      <c r="AD11" s="97">
        <f t="shared" si="11"/>
        <v>16304.55594232666</v>
      </c>
      <c r="AE11" s="97">
        <f t="shared" si="11"/>
        <v>16719.394433023535</v>
      </c>
      <c r="AF11" s="97">
        <f t="shared" si="11"/>
        <v>16909.150598559303</v>
      </c>
      <c r="AG11" s="97">
        <f t="shared" si="11"/>
        <v>17103.620025096978</v>
      </c>
      <c r="AH11" s="97">
        <f t="shared" si="11"/>
        <v>17796.182711252015</v>
      </c>
      <c r="AI11" s="123">
        <f t="shared" si="5"/>
        <v>4.6694389505826717E-2</v>
      </c>
      <c r="AJ11" s="128">
        <f>AH11/AH6</f>
        <v>3.7465647813162137</v>
      </c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</row>
    <row r="12" spans="1:46" ht="16.5">
      <c r="A12" s="94" t="s">
        <v>237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>
        <f>SUM(L8:L11)</f>
        <v>0</v>
      </c>
      <c r="M12" s="126">
        <f t="shared" ref="M12:AH12" si="12">SUM(M8:M11)</f>
        <v>362.27167200000002</v>
      </c>
      <c r="N12" s="126">
        <f t="shared" si="12"/>
        <v>573.66930600000001</v>
      </c>
      <c r="O12" s="126">
        <f t="shared" si="12"/>
        <v>399.68909399999995</v>
      </c>
      <c r="P12" s="126">
        <f t="shared" si="12"/>
        <v>524.35210799999993</v>
      </c>
      <c r="Q12" s="126">
        <f t="shared" si="12"/>
        <v>827.77346399999988</v>
      </c>
      <c r="R12" s="126">
        <f t="shared" si="12"/>
        <v>1226.4028979999998</v>
      </c>
      <c r="S12" s="126">
        <f>S7-S13</f>
        <v>82134.611999999994</v>
      </c>
      <c r="T12" s="126">
        <f t="shared" ref="T12:X12" si="13">T7-T13</f>
        <v>81857.16</v>
      </c>
      <c r="U12" s="126">
        <f t="shared" si="13"/>
        <v>75290.964000000007</v>
      </c>
      <c r="V12" s="126">
        <f t="shared" si="13"/>
        <v>77284.157999999996</v>
      </c>
      <c r="W12" s="126">
        <f t="shared" si="13"/>
        <v>80166.618000000002</v>
      </c>
      <c r="X12" s="126">
        <f t="shared" si="13"/>
        <v>77298.732000000004</v>
      </c>
      <c r="Y12" s="127">
        <f t="shared" si="12"/>
        <v>98085.796770715475</v>
      </c>
      <c r="Z12" s="127">
        <f t="shared" si="12"/>
        <v>83560.626475281199</v>
      </c>
      <c r="AA12" s="127">
        <f t="shared" si="12"/>
        <v>96637.54545920594</v>
      </c>
      <c r="AB12" s="127">
        <f t="shared" si="12"/>
        <v>100400.07767429807</v>
      </c>
      <c r="AC12" s="127">
        <f t="shared" si="12"/>
        <v>102330.80863547183</v>
      </c>
      <c r="AD12" s="127">
        <f t="shared" si="12"/>
        <v>102840.49046492626</v>
      </c>
      <c r="AE12" s="127">
        <f t="shared" si="12"/>
        <v>104046.45355353503</v>
      </c>
      <c r="AF12" s="127">
        <f t="shared" si="12"/>
        <v>105404.2171799372</v>
      </c>
      <c r="AG12" s="127">
        <f t="shared" si="12"/>
        <v>104856.94575764722</v>
      </c>
      <c r="AH12" s="127">
        <f t="shared" si="12"/>
        <v>105623.8498216967</v>
      </c>
      <c r="AI12" s="123">
        <f t="shared" si="5"/>
        <v>0.36643703058022603</v>
      </c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</row>
    <row r="13" spans="1:46" ht="16.5">
      <c r="A13" s="96" t="s">
        <v>207</v>
      </c>
      <c r="B13" s="126">
        <f t="shared" ref="B13:R13" si="14">B144</f>
        <v>6069.5460000000003</v>
      </c>
      <c r="C13" s="126">
        <f t="shared" si="14"/>
        <v>5631.57</v>
      </c>
      <c r="D13" s="126">
        <f t="shared" si="14"/>
        <v>5734.7640000000001</v>
      </c>
      <c r="E13" s="126">
        <f t="shared" si="14"/>
        <v>5303.424</v>
      </c>
      <c r="F13" s="126">
        <f t="shared" si="14"/>
        <v>5712.924</v>
      </c>
      <c r="G13" s="126">
        <f t="shared" si="14"/>
        <v>6033.3419999999996</v>
      </c>
      <c r="H13" s="126">
        <f t="shared" si="14"/>
        <v>5625.6480000000001</v>
      </c>
      <c r="I13" s="126">
        <f t="shared" si="14"/>
        <v>6132.5460000000003</v>
      </c>
      <c r="J13" s="126">
        <f t="shared" si="14"/>
        <v>6970.4880000000003</v>
      </c>
      <c r="K13" s="126">
        <f t="shared" si="14"/>
        <v>6900.8519999999999</v>
      </c>
      <c r="L13" s="126">
        <f t="shared" si="14"/>
        <v>6266.9040000000005</v>
      </c>
      <c r="M13" s="126">
        <f t="shared" si="14"/>
        <v>5661.9780000000001</v>
      </c>
      <c r="N13" s="126">
        <f t="shared" si="14"/>
        <v>5356.8059999999996</v>
      </c>
      <c r="O13" s="126">
        <f t="shared" si="14"/>
        <v>5724.0119999999997</v>
      </c>
      <c r="P13" s="126">
        <f t="shared" si="14"/>
        <v>6775.692</v>
      </c>
      <c r="Q13" s="126">
        <f t="shared" si="14"/>
        <v>6975.99</v>
      </c>
      <c r="R13" s="126">
        <f t="shared" si="14"/>
        <v>6116.7960000000003</v>
      </c>
      <c r="S13" s="126">
        <f>S144</f>
        <v>5886.8040000000001</v>
      </c>
      <c r="T13" s="126">
        <f t="shared" ref="T13:X13" si="15">T144</f>
        <v>5883.4859999999999</v>
      </c>
      <c r="U13" s="126">
        <f t="shared" si="15"/>
        <v>6769.8959999999997</v>
      </c>
      <c r="V13" s="126">
        <f t="shared" si="15"/>
        <v>5461.6379999999999</v>
      </c>
      <c r="W13" s="126">
        <f t="shared" si="15"/>
        <v>4993.7579999999998</v>
      </c>
      <c r="X13" s="126">
        <f t="shared" si="15"/>
        <v>5489.9459999999999</v>
      </c>
      <c r="Y13" s="127">
        <f t="shared" ref="Y13:AH13" si="16">MROUND(FORECAST(Y7,D13:X13,D7:X7),50)</f>
        <v>5950</v>
      </c>
      <c r="Z13" s="127">
        <f t="shared" si="16"/>
        <v>5950</v>
      </c>
      <c r="AA13" s="127">
        <f t="shared" si="16"/>
        <v>5950</v>
      </c>
      <c r="AB13" s="127">
        <f t="shared" si="16"/>
        <v>5950</v>
      </c>
      <c r="AC13" s="127">
        <f t="shared" si="16"/>
        <v>5900</v>
      </c>
      <c r="AD13" s="127">
        <f t="shared" si="16"/>
        <v>5900</v>
      </c>
      <c r="AE13" s="127">
        <f t="shared" si="16"/>
        <v>5900</v>
      </c>
      <c r="AF13" s="127">
        <f t="shared" si="16"/>
        <v>5850</v>
      </c>
      <c r="AG13" s="127">
        <f t="shared" si="16"/>
        <v>5950</v>
      </c>
      <c r="AH13" s="127">
        <f t="shared" si="16"/>
        <v>5950</v>
      </c>
      <c r="AI13" s="123">
        <f t="shared" si="5"/>
        <v>8.3799367061169638E-2</v>
      </c>
    </row>
    <row r="14" spans="1:46" ht="16.5">
      <c r="A14" s="95" t="s">
        <v>238</v>
      </c>
      <c r="B14" s="99"/>
      <c r="C14" s="99">
        <f>C13-B13</f>
        <v>-437.97600000000057</v>
      </c>
      <c r="D14" s="99">
        <f t="shared" ref="D14:X14" si="17">D13-C13</f>
        <v>103.19400000000041</v>
      </c>
      <c r="E14" s="99">
        <f t="shared" si="17"/>
        <v>-431.34000000000015</v>
      </c>
      <c r="F14" s="99">
        <f t="shared" si="17"/>
        <v>409.5</v>
      </c>
      <c r="G14" s="99">
        <f t="shared" si="17"/>
        <v>320.41799999999967</v>
      </c>
      <c r="H14" s="99">
        <f t="shared" si="17"/>
        <v>-407.69399999999951</v>
      </c>
      <c r="I14" s="99">
        <f t="shared" si="17"/>
        <v>506.89800000000014</v>
      </c>
      <c r="J14" s="99">
        <f t="shared" si="17"/>
        <v>837.94200000000001</v>
      </c>
      <c r="K14" s="99">
        <f t="shared" si="17"/>
        <v>-69.636000000000422</v>
      </c>
      <c r="L14" s="99">
        <f t="shared" si="17"/>
        <v>-633.94799999999941</v>
      </c>
      <c r="M14" s="99">
        <f>M13-L13</f>
        <v>-604.92600000000039</v>
      </c>
      <c r="N14" s="99">
        <f t="shared" si="17"/>
        <v>-305.17200000000048</v>
      </c>
      <c r="O14" s="99">
        <f t="shared" si="17"/>
        <v>367.20600000000013</v>
      </c>
      <c r="P14" s="99">
        <f t="shared" si="17"/>
        <v>1051.6800000000003</v>
      </c>
      <c r="Q14" s="99">
        <f t="shared" si="17"/>
        <v>200.29799999999977</v>
      </c>
      <c r="R14" s="99">
        <f t="shared" si="17"/>
        <v>-859.19399999999951</v>
      </c>
      <c r="S14" s="99">
        <f t="shared" si="17"/>
        <v>-229.99200000000019</v>
      </c>
      <c r="T14" s="99">
        <f t="shared" si="17"/>
        <v>-3.318000000000211</v>
      </c>
      <c r="U14" s="99">
        <f t="shared" si="17"/>
        <v>886.40999999999985</v>
      </c>
      <c r="V14" s="99">
        <f t="shared" si="17"/>
        <v>-1308.2579999999998</v>
      </c>
      <c r="W14" s="99">
        <f t="shared" si="17"/>
        <v>-467.88000000000011</v>
      </c>
      <c r="X14" s="99">
        <f t="shared" si="17"/>
        <v>496.1880000000001</v>
      </c>
      <c r="Y14" s="97">
        <f>Y13-X13</f>
        <v>460.05400000000009</v>
      </c>
      <c r="Z14" s="97">
        <f t="shared" ref="Z14:AH14" si="18">Z13-Y13</f>
        <v>0</v>
      </c>
      <c r="AA14" s="97">
        <f t="shared" si="18"/>
        <v>0</v>
      </c>
      <c r="AB14" s="97">
        <f t="shared" si="18"/>
        <v>0</v>
      </c>
      <c r="AC14" s="97">
        <f t="shared" si="18"/>
        <v>-50</v>
      </c>
      <c r="AD14" s="97">
        <f t="shared" si="18"/>
        <v>0</v>
      </c>
      <c r="AE14" s="97">
        <f t="shared" si="18"/>
        <v>0</v>
      </c>
      <c r="AF14" s="97">
        <f t="shared" si="18"/>
        <v>-50</v>
      </c>
      <c r="AG14" s="97">
        <f t="shared" si="18"/>
        <v>100</v>
      </c>
      <c r="AH14" s="97">
        <f t="shared" si="18"/>
        <v>0</v>
      </c>
    </row>
    <row r="15" spans="1:46" ht="16.5">
      <c r="A15" s="93" t="s">
        <v>159</v>
      </c>
      <c r="B15" s="129" t="e">
        <f t="shared" ref="B15:AH15" si="19">B13/B8</f>
        <v>#DIV/0!</v>
      </c>
      <c r="C15" s="129" t="e">
        <f>C13/C8</f>
        <v>#DIV/0!</v>
      </c>
      <c r="D15" s="129" t="e">
        <f t="shared" si="19"/>
        <v>#DIV/0!</v>
      </c>
      <c r="E15" s="129" t="e">
        <f t="shared" si="19"/>
        <v>#DIV/0!</v>
      </c>
      <c r="F15" s="129" t="e">
        <f t="shared" si="19"/>
        <v>#DIV/0!</v>
      </c>
      <c r="G15" s="129" t="e">
        <f t="shared" si="19"/>
        <v>#DIV/0!</v>
      </c>
      <c r="H15" s="129" t="e">
        <f t="shared" si="19"/>
        <v>#DIV/0!</v>
      </c>
      <c r="I15" s="129" t="e">
        <f t="shared" si="19"/>
        <v>#DIV/0!</v>
      </c>
      <c r="J15" s="129" t="e">
        <f t="shared" si="19"/>
        <v>#DIV/0!</v>
      </c>
      <c r="K15" s="129" t="e">
        <f t="shared" si="19"/>
        <v>#DIV/0!</v>
      </c>
      <c r="L15" s="129" t="e">
        <f t="shared" si="19"/>
        <v>#DIV/0!</v>
      </c>
      <c r="M15" s="129" t="e">
        <f t="shared" si="19"/>
        <v>#DIV/0!</v>
      </c>
      <c r="N15" s="129" t="e">
        <f t="shared" si="19"/>
        <v>#DIV/0!</v>
      </c>
      <c r="O15" s="129" t="e">
        <f t="shared" si="19"/>
        <v>#DIV/0!</v>
      </c>
      <c r="P15" s="129" t="e">
        <f t="shared" si="19"/>
        <v>#DIV/0!</v>
      </c>
      <c r="Q15" s="129" t="e">
        <f t="shared" si="19"/>
        <v>#DIV/0!</v>
      </c>
      <c r="R15" s="129" t="e">
        <f t="shared" si="19"/>
        <v>#DIV/0!</v>
      </c>
      <c r="S15" s="130">
        <f t="shared" si="19"/>
        <v>9.4369107485391401E-2</v>
      </c>
      <c r="T15" s="130">
        <f t="shared" si="19"/>
        <v>9.5144074847604967E-2</v>
      </c>
      <c r="U15" s="130">
        <f t="shared" si="19"/>
        <v>0.11866979805490725</v>
      </c>
      <c r="V15" s="130">
        <f t="shared" si="19"/>
        <v>8.9696482262322158E-2</v>
      </c>
      <c r="W15" s="130">
        <f t="shared" si="19"/>
        <v>8.0921271584008067E-2</v>
      </c>
      <c r="X15" s="130">
        <f t="shared" si="19"/>
        <v>9.104922577544354E-2</v>
      </c>
      <c r="Y15" s="131">
        <f t="shared" si="19"/>
        <v>9.9095815825089931E-2</v>
      </c>
      <c r="Z15" s="131">
        <f t="shared" si="19"/>
        <v>9.7094803953209782E-2</v>
      </c>
      <c r="AA15" s="131">
        <f t="shared" si="19"/>
        <v>9.5825283859356652E-2</v>
      </c>
      <c r="AB15" s="131">
        <f t="shared" si="19"/>
        <v>9.4926505964314831E-2</v>
      </c>
      <c r="AC15" s="131">
        <f t="shared" si="19"/>
        <v>9.3585423126724132E-2</v>
      </c>
      <c r="AD15" s="131">
        <f t="shared" si="19"/>
        <v>9.3254141952004113E-2</v>
      </c>
      <c r="AE15" s="131">
        <f t="shared" si="19"/>
        <v>9.2674723515224142E-2</v>
      </c>
      <c r="AF15" s="131">
        <f t="shared" si="19"/>
        <v>9.1054079438841418E-2</v>
      </c>
      <c r="AG15" s="131">
        <f t="shared" si="19"/>
        <v>9.3148259990604707E-2</v>
      </c>
      <c r="AH15" s="131">
        <f t="shared" si="19"/>
        <v>9.3094087289555649E-2</v>
      </c>
    </row>
    <row r="17" spans="1:40" ht="16.5">
      <c r="A17" s="95" t="s">
        <v>239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132"/>
      <c r="T17" s="132"/>
      <c r="U17" s="132"/>
      <c r="V17" s="133">
        <f>V5/U5-1</f>
        <v>-1.7457170242877629E-2</v>
      </c>
      <c r="W17" s="133">
        <f t="shared" ref="W17" si="20">W5/V5-1</f>
        <v>7.3530482107052153E-2</v>
      </c>
      <c r="X17" s="133">
        <f>X5/W5-1</f>
        <v>-2.0761514324252883E-2</v>
      </c>
      <c r="Y17" s="133">
        <f>Y5/X5-1</f>
        <v>5.0312983496827446E-3</v>
      </c>
      <c r="Z17" s="133">
        <f t="shared" ref="Z17:AH17" si="21">Z5/Y5-1</f>
        <v>1.9841269841269771E-2</v>
      </c>
      <c r="AA17" s="133">
        <f t="shared" si="21"/>
        <v>1.5564202334630295E-2</v>
      </c>
      <c r="AB17" s="133">
        <f t="shared" si="21"/>
        <v>1.0217113665389466E-2</v>
      </c>
      <c r="AC17" s="133">
        <f t="shared" si="21"/>
        <v>5.0568900126422012E-3</v>
      </c>
      <c r="AD17" s="133">
        <f t="shared" si="21"/>
        <v>2.515723270440251E-3</v>
      </c>
      <c r="AE17" s="133">
        <f t="shared" si="21"/>
        <v>5.0188205771644068E-3</v>
      </c>
      <c r="AF17" s="133">
        <f t="shared" si="21"/>
        <v>7.4906367041198685E-3</v>
      </c>
      <c r="AG17" s="133">
        <f t="shared" si="21"/>
        <v>-4.95662949194553E-3</v>
      </c>
      <c r="AH17" s="133">
        <f t="shared" si="21"/>
        <v>-4.9813200498132204E-3</v>
      </c>
    </row>
    <row r="18" spans="1:40" ht="16.5">
      <c r="A18" s="95" t="s">
        <v>240</v>
      </c>
      <c r="V18" s="133">
        <f>V8/U8-1</f>
        <v>6.7347179173813831E-2</v>
      </c>
      <c r="W18" s="133">
        <f t="shared" ref="W18" si="22">W8/V8-1</f>
        <v>1.3484925508719936E-2</v>
      </c>
      <c r="X18" s="133">
        <f>X8/W8-1</f>
        <v>-2.2926978997724889E-2</v>
      </c>
      <c r="Y18" s="133">
        <f t="shared" ref="Y18:AH18" si="23">Y8/X8-1</f>
        <v>-4.2052487764996371E-3</v>
      </c>
      <c r="Z18" s="133">
        <f t="shared" si="23"/>
        <v>2.0608846101017431E-2</v>
      </c>
      <c r="AA18" s="133">
        <f t="shared" si="23"/>
        <v>1.3248278979443473E-2</v>
      </c>
      <c r="AB18" s="133">
        <f t="shared" si="23"/>
        <v>9.4681447074402847E-3</v>
      </c>
      <c r="AC18" s="133">
        <f t="shared" si="23"/>
        <v>5.8062579474833509E-3</v>
      </c>
      <c r="AD18" s="133">
        <f t="shared" si="23"/>
        <v>3.5524553417747295E-3</v>
      </c>
      <c r="AE18" s="133">
        <f t="shared" si="23"/>
        <v>6.2521733521523348E-3</v>
      </c>
      <c r="AF18" s="133">
        <f t="shared" si="23"/>
        <v>9.1732854660604435E-3</v>
      </c>
      <c r="AG18" s="133">
        <f t="shared" si="23"/>
        <v>-5.7725239463408684E-3</v>
      </c>
      <c r="AH18" s="133">
        <f t="shared" si="23"/>
        <v>5.8191344505642562E-4</v>
      </c>
    </row>
    <row r="19" spans="1:40" s="87" customFormat="1" ht="15.75" thickBot="1">
      <c r="A19" s="100" t="s">
        <v>241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34"/>
      <c r="T19" s="101"/>
      <c r="U19" s="101"/>
      <c r="V19" s="101"/>
      <c r="W19" s="101"/>
      <c r="X19" s="98"/>
      <c r="Y19" s="98"/>
      <c r="Z19" s="98"/>
      <c r="AA19" s="98"/>
      <c r="AB19" s="98"/>
      <c r="AC19" s="98"/>
      <c r="AD19" s="102"/>
      <c r="AE19" s="102"/>
      <c r="AF19" s="102"/>
      <c r="AG19" s="102"/>
      <c r="AH19" s="102"/>
      <c r="AI19" s="113"/>
    </row>
    <row r="20" spans="1:40" s="100" customFormat="1" ht="15.75" thickBot="1">
      <c r="A20" s="103"/>
      <c r="B20" s="104">
        <v>2001</v>
      </c>
      <c r="C20" s="104">
        <v>2002</v>
      </c>
      <c r="D20" s="104">
        <v>2003</v>
      </c>
      <c r="E20" s="104">
        <v>2004</v>
      </c>
      <c r="F20" s="104">
        <v>2005</v>
      </c>
      <c r="G20" s="104">
        <v>2006</v>
      </c>
      <c r="H20" s="104">
        <v>2007</v>
      </c>
      <c r="I20" s="104">
        <f t="shared" ref="I20:AH20" si="24">I2</f>
        <v>2008</v>
      </c>
      <c r="J20" s="104">
        <f t="shared" si="24"/>
        <v>2009</v>
      </c>
      <c r="K20" s="104">
        <f t="shared" si="24"/>
        <v>2010</v>
      </c>
      <c r="L20" s="104">
        <f t="shared" si="24"/>
        <v>2011</v>
      </c>
      <c r="M20" s="104">
        <f t="shared" si="24"/>
        <v>2012</v>
      </c>
      <c r="N20" s="104">
        <f t="shared" si="24"/>
        <v>2013</v>
      </c>
      <c r="O20" s="104">
        <f t="shared" si="24"/>
        <v>2014</v>
      </c>
      <c r="P20" s="104">
        <f t="shared" si="24"/>
        <v>2015</v>
      </c>
      <c r="Q20" s="104">
        <f t="shared" si="24"/>
        <v>2016</v>
      </c>
      <c r="R20" s="104">
        <f t="shared" si="24"/>
        <v>2017</v>
      </c>
      <c r="S20" s="104">
        <f t="shared" si="24"/>
        <v>2018</v>
      </c>
      <c r="T20" s="104">
        <f t="shared" si="24"/>
        <v>2019</v>
      </c>
      <c r="U20" s="104">
        <f t="shared" si="24"/>
        <v>2020</v>
      </c>
      <c r="V20" s="104">
        <f t="shared" si="24"/>
        <v>2021</v>
      </c>
      <c r="W20" s="104">
        <f t="shared" si="24"/>
        <v>2022</v>
      </c>
      <c r="X20" s="104">
        <f t="shared" si="24"/>
        <v>2023</v>
      </c>
      <c r="Y20" s="104">
        <f t="shared" si="24"/>
        <v>2024</v>
      </c>
      <c r="Z20" s="104">
        <f t="shared" si="24"/>
        <v>2025</v>
      </c>
      <c r="AA20" s="104">
        <f t="shared" si="24"/>
        <v>2026</v>
      </c>
      <c r="AB20" s="104">
        <f t="shared" si="24"/>
        <v>2027</v>
      </c>
      <c r="AC20" s="104">
        <f t="shared" si="24"/>
        <v>2028</v>
      </c>
      <c r="AD20" s="104">
        <f t="shared" si="24"/>
        <v>2029</v>
      </c>
      <c r="AE20" s="104">
        <f t="shared" si="24"/>
        <v>2030</v>
      </c>
      <c r="AF20" s="104">
        <f t="shared" si="24"/>
        <v>2031</v>
      </c>
      <c r="AG20" s="104">
        <f t="shared" si="24"/>
        <v>2032</v>
      </c>
      <c r="AH20" s="104">
        <f t="shared" si="24"/>
        <v>2033</v>
      </c>
      <c r="AK20" s="105" t="s">
        <v>210</v>
      </c>
      <c r="AL20" s="105" t="s">
        <v>211</v>
      </c>
      <c r="AM20" s="105" t="s">
        <v>212</v>
      </c>
      <c r="AN20" s="100" t="s">
        <v>213</v>
      </c>
    </row>
    <row r="21" spans="1:40">
      <c r="A21" s="87" t="s">
        <v>167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06">
        <f>monthly_data!$BY447*42/1000</f>
        <v>4623.8220000000001</v>
      </c>
      <c r="L21" s="106">
        <f>monthly_data!$BY459*42/1000</f>
        <v>5602.9260000000004</v>
      </c>
      <c r="M21" s="106">
        <f>monthly_data!BY471*42/1000</f>
        <v>5859.5039999999999</v>
      </c>
      <c r="N21" s="106">
        <f>monthly_data!BY483*42/1000</f>
        <v>5832.75</v>
      </c>
      <c r="O21" s="106">
        <f>monthly_data!BY495*42/1000</f>
        <v>6100.2479999999996</v>
      </c>
      <c r="P21" s="106">
        <f>monthly_data!BY507*42/1000</f>
        <v>6295.4639999999999</v>
      </c>
      <c r="Q21" s="106">
        <f>monthly_data!BY519*42/1000</f>
        <v>5898.3959999999997</v>
      </c>
      <c r="R21" s="106">
        <f>monthly_data!$BY531*42/1000</f>
        <v>6230.6580000000004</v>
      </c>
      <c r="S21" s="106">
        <f>monthly_data!$BY543*42/1000</f>
        <v>6517.7280000000001</v>
      </c>
      <c r="T21" s="106">
        <f>monthly_data!$BY555*42/1000</f>
        <v>6834.87</v>
      </c>
      <c r="U21" s="106">
        <f>monthly_data!$BY567*42/1000</f>
        <v>6622.6859999999997</v>
      </c>
      <c r="V21" s="106">
        <f>monthly_data!$BY579*42/1000</f>
        <v>5937.33</v>
      </c>
      <c r="W21" s="106">
        <f>monthly_data!$BY591*42/1000</f>
        <v>6080.8860000000004</v>
      </c>
      <c r="X21" s="106">
        <f>monthly_data!$BY603*42/1000</f>
        <v>6123.6840000000002</v>
      </c>
      <c r="Y21" s="106">
        <f>monthly_data!$BY615*42/1000</f>
        <v>6049.4279999999999</v>
      </c>
      <c r="Z21" s="135">
        <f t="shared" ref="Z21:Z31" si="25">Z$33*(SUM(U21:Y21)/SUM(U$33:Y$33))</f>
        <v>6386.1261791574152</v>
      </c>
      <c r="AA21" s="135">
        <f t="shared" ref="AA21:AA31" si="26">AA$33*(SUM(V21:Z21)/SUM(V$33:Z$33))</f>
        <v>6362.6375197149027</v>
      </c>
      <c r="AB21" s="135">
        <f t="shared" ref="AB21:AH31" si="27">AB$33*(SUM(W21:AA21)/SUM(W$33:AA$33))</f>
        <v>6402.2866937731224</v>
      </c>
      <c r="AC21" s="135">
        <f t="shared" si="27"/>
        <v>6462.8386026407707</v>
      </c>
      <c r="AD21" s="135">
        <f t="shared" si="27"/>
        <v>6477.3263976496692</v>
      </c>
      <c r="AE21" s="135">
        <f t="shared" si="27"/>
        <v>6529.0991947527673</v>
      </c>
      <c r="AF21" s="135">
        <f t="shared" si="27"/>
        <v>6557.345612726167</v>
      </c>
      <c r="AG21" s="135">
        <f t="shared" si="27"/>
        <v>6524.7817315807124</v>
      </c>
      <c r="AH21" s="135">
        <f t="shared" si="27"/>
        <v>6497.2675093531652</v>
      </c>
      <c r="AJ21" t="s">
        <v>214</v>
      </c>
      <c r="AK21" s="106">
        <f>MAX(T21:X21)</f>
        <v>6834.87</v>
      </c>
      <c r="AL21" s="106">
        <f>MIN(T21:X21)</f>
        <v>5937.33</v>
      </c>
      <c r="AM21" s="106">
        <f>AVERAGE(T21:X21)</f>
        <v>6319.8912</v>
      </c>
      <c r="AN21" s="107">
        <f>X21/31</f>
        <v>197.53819354838711</v>
      </c>
    </row>
    <row r="22" spans="1:40">
      <c r="A22" s="87" t="s">
        <v>168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06">
        <f>monthly_data!$BY448*42/1000</f>
        <v>4301.9340000000002</v>
      </c>
      <c r="L22" s="106">
        <f>monthly_data!$BY460*42/1000</f>
        <v>4743.018</v>
      </c>
      <c r="M22" s="106">
        <f>monthly_data!BY472*42/1000</f>
        <v>5368.5659999999998</v>
      </c>
      <c r="N22" s="106">
        <f>monthly_data!BY484*42/1000</f>
        <v>5033.8680000000004</v>
      </c>
      <c r="O22" s="106">
        <f>monthly_data!BY496*42/1000</f>
        <v>5403.09</v>
      </c>
      <c r="P22" s="106">
        <f>monthly_data!BY508*42/1000</f>
        <v>5588.7719999999999</v>
      </c>
      <c r="Q22" s="106">
        <f>monthly_data!BY520*42/1000</f>
        <v>5685.3720000000003</v>
      </c>
      <c r="R22" s="106">
        <f>monthly_data!$BY532*42/1000</f>
        <v>5476.2120000000004</v>
      </c>
      <c r="S22" s="106">
        <f>monthly_data!$BY544*42/1000</f>
        <v>5390.9520000000002</v>
      </c>
      <c r="T22" s="106">
        <f>monthly_data!$BY556*42/1000</f>
        <v>5767.902</v>
      </c>
      <c r="U22" s="106">
        <f>monthly_data!$BY568*42/1000</f>
        <v>5862.0659999999998</v>
      </c>
      <c r="V22" s="106">
        <f>monthly_data!$BY580*42/1000</f>
        <v>4447.59</v>
      </c>
      <c r="W22" s="106">
        <f>monthly_data!$BY592*42/1000</f>
        <v>5506.2</v>
      </c>
      <c r="X22" s="106">
        <f>monthly_data!$BY604*42/1000</f>
        <v>5522.4539999999997</v>
      </c>
      <c r="Y22" s="106">
        <f>monthly_data!$BY616*42/1000</f>
        <v>5259.576</v>
      </c>
      <c r="Z22" s="135">
        <f t="shared" si="25"/>
        <v>5512.3443539307955</v>
      </c>
      <c r="AA22" s="135">
        <f t="shared" si="26"/>
        <v>5461.7874452020642</v>
      </c>
      <c r="AB22" s="135">
        <f t="shared" si="27"/>
        <v>5629.8680060417228</v>
      </c>
      <c r="AC22" s="135">
        <f t="shared" si="27"/>
        <v>5650.3183829588561</v>
      </c>
      <c r="AD22" s="135">
        <f t="shared" si="27"/>
        <v>5628.4840010118978</v>
      </c>
      <c r="AE22" s="135">
        <f t="shared" si="27"/>
        <v>5672.8789823483394</v>
      </c>
      <c r="AF22" s="135">
        <f t="shared" si="27"/>
        <v>5704.8078678530992</v>
      </c>
      <c r="AG22" s="135">
        <f t="shared" si="27"/>
        <v>5691.2916221227197</v>
      </c>
      <c r="AH22" s="135">
        <f t="shared" si="27"/>
        <v>5658.2255568772507</v>
      </c>
      <c r="AJ22" t="s">
        <v>215</v>
      </c>
      <c r="AK22" s="106">
        <f t="shared" ref="AK22:AK32" si="28">MAX(T22:X22)</f>
        <v>5862.0659999999998</v>
      </c>
      <c r="AL22" s="106">
        <f t="shared" ref="AL22:AL32" si="29">MIN(T22:X22)</f>
        <v>4447.59</v>
      </c>
      <c r="AM22" s="106">
        <f t="shared" ref="AM22:AM32" si="30">AVERAGE(T22:X22)</f>
        <v>5421.2424000000001</v>
      </c>
      <c r="AN22" s="107">
        <f t="shared" ref="AN22:AN32" si="31">X22/31</f>
        <v>178.14367741935482</v>
      </c>
    </row>
    <row r="23" spans="1:40">
      <c r="A23" s="87" t="s">
        <v>169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06">
        <f>monthly_data!$BY449*42/1000</f>
        <v>4993.2120000000004</v>
      </c>
      <c r="L23" s="106">
        <f>monthly_data!$BY461*42/1000</f>
        <v>5632.4939999999997</v>
      </c>
      <c r="M23" s="106">
        <f>monthly_data!BY473*42/1000</f>
        <v>5550.1319999999996</v>
      </c>
      <c r="N23" s="106">
        <f>monthly_data!BY485*42/1000</f>
        <v>5577.5159999999996</v>
      </c>
      <c r="O23" s="106">
        <f>monthly_data!BY497*42/1000</f>
        <v>6223.14</v>
      </c>
      <c r="P23" s="106">
        <f>monthly_data!BY509*42/1000</f>
        <v>6371.61</v>
      </c>
      <c r="Q23" s="106">
        <f>monthly_data!BY521*42/1000</f>
        <v>6312.4740000000002</v>
      </c>
      <c r="R23" s="106">
        <f>monthly_data!$BY533*42/1000</f>
        <v>6239.8559999999998</v>
      </c>
      <c r="S23" s="106">
        <f>monthly_data!$BY545*42/1000</f>
        <v>6278.9160000000002</v>
      </c>
      <c r="T23" s="106">
        <f>monthly_data!$BY557*42/1000</f>
        <v>6468.8819999999996</v>
      </c>
      <c r="U23" s="106">
        <f>monthly_data!$BY569*42/1000</f>
        <v>6448.7219999999998</v>
      </c>
      <c r="V23" s="106">
        <f>monthly_data!$BY581*42/1000</f>
        <v>5884.0739999999996</v>
      </c>
      <c r="W23" s="106">
        <f>monthly_data!$BY593*42/1000</f>
        <v>6515.3339999999998</v>
      </c>
      <c r="X23" s="106">
        <f>monthly_data!$BY605*42/1000</f>
        <v>6100.2060000000001</v>
      </c>
      <c r="Y23" s="106">
        <f>monthly_data!$BY617*42/1000</f>
        <v>6156.9059999999999</v>
      </c>
      <c r="Z23" s="135">
        <f t="shared" si="25"/>
        <v>6446.4824428659858</v>
      </c>
      <c r="AA23" s="135">
        <f t="shared" si="26"/>
        <v>6471.9949921029238</v>
      </c>
      <c r="AB23" s="135">
        <f t="shared" si="27"/>
        <v>6544.3968957276556</v>
      </c>
      <c r="AC23" s="135">
        <f t="shared" si="27"/>
        <v>6544.5054703647975</v>
      </c>
      <c r="AD23" s="135">
        <f t="shared" si="27"/>
        <v>6579.8089793238978</v>
      </c>
      <c r="AE23" s="135">
        <f t="shared" si="27"/>
        <v>6630.0071661388356</v>
      </c>
      <c r="AF23" s="135">
        <f t="shared" si="27"/>
        <v>6666.4899917953353</v>
      </c>
      <c r="AG23" s="135">
        <f t="shared" si="27"/>
        <v>6632.6891576523349</v>
      </c>
      <c r="AH23" s="135">
        <f t="shared" si="27"/>
        <v>6597.4886613676954</v>
      </c>
      <c r="AJ23" t="s">
        <v>216</v>
      </c>
      <c r="AK23" s="106">
        <f t="shared" si="28"/>
        <v>6515.3339999999998</v>
      </c>
      <c r="AL23" s="106">
        <f t="shared" si="29"/>
        <v>5884.0739999999996</v>
      </c>
      <c r="AM23" s="106">
        <f t="shared" si="30"/>
        <v>6283.4436000000005</v>
      </c>
      <c r="AN23" s="107">
        <f t="shared" si="31"/>
        <v>196.78083870967743</v>
      </c>
    </row>
    <row r="24" spans="1:40">
      <c r="A24" s="87" t="s">
        <v>170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06">
        <f>monthly_data!$BY450*42/1000</f>
        <v>5237.1480000000001</v>
      </c>
      <c r="L24" s="106">
        <f>monthly_data!$BY462*42/1000</f>
        <v>5277.8459999999995</v>
      </c>
      <c r="M24" s="106">
        <f>monthly_data!BY474*42/1000</f>
        <v>5483.1419999999998</v>
      </c>
      <c r="N24" s="106">
        <f>monthly_data!BY486*42/1000</f>
        <v>5564.7060000000001</v>
      </c>
      <c r="O24" s="106">
        <f>monthly_data!BY498*42/1000</f>
        <v>6284.7539999999999</v>
      </c>
      <c r="P24" s="106">
        <f>monthly_data!BY510*42/1000</f>
        <v>6289.2060000000001</v>
      </c>
      <c r="Q24" s="106">
        <f>monthly_data!BY522*42/1000</f>
        <v>5870.0879999999997</v>
      </c>
      <c r="R24" s="106">
        <f>monthly_data!$BY534*42/1000</f>
        <v>6323.7719999999999</v>
      </c>
      <c r="S24" s="106">
        <f>monthly_data!$BY546*42/1000</f>
        <v>6450.6120000000001</v>
      </c>
      <c r="T24" s="106">
        <f>monthly_data!$BY558*42/1000</f>
        <v>6374.5919999999996</v>
      </c>
      <c r="U24" s="106">
        <f>monthly_data!$BY570*42/1000</f>
        <v>6399.2879999999996</v>
      </c>
      <c r="V24" s="106">
        <f>monthly_data!$BY582*42/1000</f>
        <v>5790.8760000000002</v>
      </c>
      <c r="W24" s="106">
        <f>monthly_data!$BY594*42/1000</f>
        <v>6092.4359999999997</v>
      </c>
      <c r="X24" s="106">
        <f>monthly_data!$BY606*42/1000</f>
        <v>5993.4840000000004</v>
      </c>
      <c r="Y24" s="106">
        <f>monthly_data!$BY618*42/1000</f>
        <v>6036.0720000000001</v>
      </c>
      <c r="Z24" s="135">
        <f t="shared" si="25"/>
        <v>6282.1173826397135</v>
      </c>
      <c r="AA24" s="135">
        <f t="shared" si="26"/>
        <v>6283.0524011963544</v>
      </c>
      <c r="AB24" s="135">
        <f t="shared" si="27"/>
        <v>6337.1131083932751</v>
      </c>
      <c r="AC24" s="135">
        <f t="shared" si="27"/>
        <v>6381.8939493909957</v>
      </c>
      <c r="AD24" s="135">
        <f t="shared" si="27"/>
        <v>6407.1453610809576</v>
      </c>
      <c r="AE24" s="135">
        <f t="shared" si="27"/>
        <v>6447.7391629067151</v>
      </c>
      <c r="AF24" s="135">
        <f t="shared" si="27"/>
        <v>6480.6034268352441</v>
      </c>
      <c r="AG24" s="135">
        <f t="shared" si="27"/>
        <v>6449.4511380384802</v>
      </c>
      <c r="AH24" s="135">
        <f t="shared" si="27"/>
        <v>6420.5095172529764</v>
      </c>
      <c r="AJ24" t="s">
        <v>217</v>
      </c>
      <c r="AK24" s="106">
        <f t="shared" si="28"/>
        <v>6399.2879999999996</v>
      </c>
      <c r="AL24" s="106">
        <f t="shared" si="29"/>
        <v>5790.8760000000002</v>
      </c>
      <c r="AM24" s="106">
        <f t="shared" si="30"/>
        <v>6130.1352000000006</v>
      </c>
      <c r="AN24" s="107">
        <f t="shared" si="31"/>
        <v>193.3381935483871</v>
      </c>
    </row>
    <row r="25" spans="1:40">
      <c r="A25" s="87" t="s">
        <v>171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06">
        <f>monthly_data!$BY451*42/1000</f>
        <v>5696.04</v>
      </c>
      <c r="L25" s="106">
        <f>monthly_data!$BY463*42/1000</f>
        <v>5576.8860000000004</v>
      </c>
      <c r="M25" s="106">
        <f>monthly_data!BY475*42/1000</f>
        <v>5920.5720000000001</v>
      </c>
      <c r="N25" s="106">
        <f>monthly_data!BY487*42/1000</f>
        <v>6206.8019999999997</v>
      </c>
      <c r="O25" s="106">
        <f>monthly_data!BY499*42/1000</f>
        <v>6544.02</v>
      </c>
      <c r="P25" s="106">
        <f>monthly_data!BY511*42/1000</f>
        <v>6487.6139999999996</v>
      </c>
      <c r="Q25" s="106">
        <f>monthly_data!BY523*42/1000</f>
        <v>6198.0659999999998</v>
      </c>
      <c r="R25" s="106">
        <f>monthly_data!$BY535*42/1000</f>
        <v>6790.6019999999999</v>
      </c>
      <c r="S25" s="106">
        <f>monthly_data!$BY547*42/1000</f>
        <v>6788.7960000000003</v>
      </c>
      <c r="T25" s="106">
        <f>monthly_data!$BY559*42/1000</f>
        <v>6785.6459999999997</v>
      </c>
      <c r="U25" s="106">
        <f>monthly_data!$BY571*42/1000</f>
        <v>6273.2460000000001</v>
      </c>
      <c r="V25" s="106">
        <f>monthly_data!$BY583*42/1000</f>
        <v>6177.99</v>
      </c>
      <c r="W25" s="106">
        <f>monthly_data!$BY595*42/1000</f>
        <v>6494.25</v>
      </c>
      <c r="X25" s="106">
        <f>monthly_data!$BY607*42/1000</f>
        <v>6466.1940000000004</v>
      </c>
      <c r="Y25" s="135">
        <f>Y$33*(SUM(T25:X25)/SUM(T$33:X$33))+500</f>
        <v>6988.0455221883058</v>
      </c>
      <c r="Z25" s="135">
        <f t="shared" si="25"/>
        <v>6714.7608667524255</v>
      </c>
      <c r="AA25" s="135">
        <f t="shared" si="26"/>
        <v>6833.692140239802</v>
      </c>
      <c r="AB25" s="135">
        <f t="shared" si="27"/>
        <v>6917.3524449099677</v>
      </c>
      <c r="AC25" s="135">
        <f t="shared" si="27"/>
        <v>6998.4241977156098</v>
      </c>
      <c r="AD25" s="135">
        <f t="shared" si="27"/>
        <v>7047.8601930003779</v>
      </c>
      <c r="AE25" s="135">
        <f t="shared" si="27"/>
        <v>7021.6367701135805</v>
      </c>
      <c r="AF25" s="135">
        <f t="shared" si="27"/>
        <v>7083.1624292929982</v>
      </c>
      <c r="AG25" s="135">
        <f t="shared" si="27"/>
        <v>7055.8642285470132</v>
      </c>
      <c r="AH25" s="135">
        <f t="shared" si="27"/>
        <v>7027.3173387751667</v>
      </c>
      <c r="AJ25" t="s">
        <v>171</v>
      </c>
      <c r="AK25" s="106">
        <f t="shared" si="28"/>
        <v>6785.6459999999997</v>
      </c>
      <c r="AL25" s="106">
        <f t="shared" si="29"/>
        <v>6177.99</v>
      </c>
      <c r="AM25" s="106">
        <f t="shared" si="30"/>
        <v>6439.4651999999996</v>
      </c>
      <c r="AN25" s="107">
        <f t="shared" si="31"/>
        <v>208.58690322580645</v>
      </c>
    </row>
    <row r="26" spans="1:40">
      <c r="A26" s="87" t="s">
        <v>172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06">
        <f>monthly_data!$BY452*42/1000</f>
        <v>5553.8280000000004</v>
      </c>
      <c r="L26" s="106">
        <f>monthly_data!$BY464*42/1000</f>
        <v>5633.1660000000002</v>
      </c>
      <c r="M26" s="106">
        <f>monthly_data!BY476*42/1000</f>
        <v>5836.0680000000002</v>
      </c>
      <c r="N26" s="106">
        <f>monthly_data!BY488*42/1000</f>
        <v>6037.29</v>
      </c>
      <c r="O26" s="106">
        <f>monthly_data!BY500*42/1000</f>
        <v>6168.96</v>
      </c>
      <c r="P26" s="106">
        <f>monthly_data!BY512*42/1000</f>
        <v>6340.0680000000002</v>
      </c>
      <c r="Q26" s="106">
        <f>monthly_data!BY524*42/1000</f>
        <v>6241.5360000000001</v>
      </c>
      <c r="R26" s="106">
        <f>monthly_data!$BY536*42/1000</f>
        <v>6657.5460000000003</v>
      </c>
      <c r="S26" s="106">
        <f>monthly_data!$BY548*42/1000</f>
        <v>6817.0619999999999</v>
      </c>
      <c r="T26" s="106">
        <f>monthly_data!$BY560*42/1000</f>
        <v>6741.8819999999996</v>
      </c>
      <c r="U26" s="106">
        <f>monthly_data!$BY572*42/1000</f>
        <v>5770.38</v>
      </c>
      <c r="V26" s="106">
        <f>monthly_data!$BY584*42/1000</f>
        <v>6275.43</v>
      </c>
      <c r="W26" s="106">
        <f>monthly_data!$BY596*42/1000</f>
        <v>6547.59</v>
      </c>
      <c r="X26" s="106">
        <f>monthly_data!$BY608*42/1000</f>
        <v>6295.38</v>
      </c>
      <c r="Y26" s="135">
        <f t="shared" ref="Y26:Y31" si="32">Y$33*(SUM(T26:X26)/SUM(T$33:X$33))</f>
        <v>6373.8577220031193</v>
      </c>
      <c r="Z26" s="135">
        <f t="shared" si="25"/>
        <v>6479.1023066971493</v>
      </c>
      <c r="AA26" s="135">
        <f t="shared" si="26"/>
        <v>6652.6851347088541</v>
      </c>
      <c r="AB26" s="135">
        <f t="shared" si="27"/>
        <v>6680.2148284168779</v>
      </c>
      <c r="AC26" s="135">
        <f t="shared" si="27"/>
        <v>6701.5682350727238</v>
      </c>
      <c r="AD26" s="135">
        <f t="shared" si="27"/>
        <v>6727.7413492911401</v>
      </c>
      <c r="AE26" s="135">
        <f t="shared" si="27"/>
        <v>6763.0913881644865</v>
      </c>
      <c r="AF26" s="135">
        <f t="shared" si="27"/>
        <v>6819.9944177143543</v>
      </c>
      <c r="AG26" s="135">
        <f t="shared" si="27"/>
        <v>6779.0443511860803</v>
      </c>
      <c r="AH26" s="135">
        <f t="shared" si="27"/>
        <v>6744.7815022237328</v>
      </c>
      <c r="AJ26" t="s">
        <v>218</v>
      </c>
      <c r="AK26" s="106">
        <f t="shared" si="28"/>
        <v>6741.8819999999996</v>
      </c>
      <c r="AL26" s="106">
        <f t="shared" si="29"/>
        <v>5770.38</v>
      </c>
      <c r="AM26" s="106">
        <f t="shared" si="30"/>
        <v>6326.1324000000004</v>
      </c>
      <c r="AN26" s="107">
        <f t="shared" si="31"/>
        <v>203.0767741935484</v>
      </c>
    </row>
    <row r="27" spans="1:40">
      <c r="A27" s="87" t="s">
        <v>173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06">
        <f>monthly_data!$BY453*42/1000</f>
        <v>5760.93</v>
      </c>
      <c r="L27" s="106">
        <f>monthly_data!$BY465*42/1000</f>
        <v>6062.616</v>
      </c>
      <c r="M27" s="106">
        <f>monthly_data!BY477*42/1000</f>
        <v>6067.4040000000005</v>
      </c>
      <c r="N27" s="106">
        <f>monthly_data!BY489*42/1000</f>
        <v>6423.8159999999998</v>
      </c>
      <c r="O27" s="106">
        <f>monthly_data!BY501*42/1000</f>
        <v>6537.5940000000001</v>
      </c>
      <c r="P27" s="106">
        <f>monthly_data!BY513*42/1000</f>
        <v>6641.7539999999999</v>
      </c>
      <c r="Q27" s="106">
        <f>monthly_data!BY525*42/1000</f>
        <v>6423.3119999999999</v>
      </c>
      <c r="R27" s="106">
        <f>monthly_data!$BY537*42/1000</f>
        <v>6720.7560000000003</v>
      </c>
      <c r="S27" s="106">
        <f>monthly_data!$BY549*42/1000</f>
        <v>6844.6980000000003</v>
      </c>
      <c r="T27" s="106">
        <f>monthly_data!$BY561*42/1000</f>
        <v>6830.04</v>
      </c>
      <c r="U27" s="106">
        <f>monthly_data!$BY573*42/1000</f>
        <v>6305.25</v>
      </c>
      <c r="V27" s="106">
        <f>monthly_data!$BY585*42/1000</f>
        <v>6322.3860000000004</v>
      </c>
      <c r="W27" s="106">
        <f>monthly_data!$BY597*42/1000</f>
        <v>6672.0780000000004</v>
      </c>
      <c r="X27" s="106">
        <f>monthly_data!$BY609*42/1000</f>
        <v>6501.7259999999997</v>
      </c>
      <c r="Y27" s="135">
        <f t="shared" si="32"/>
        <v>6575.5313871834351</v>
      </c>
      <c r="Z27" s="135">
        <f t="shared" si="25"/>
        <v>6710.0451300347522</v>
      </c>
      <c r="AA27" s="135">
        <f t="shared" si="26"/>
        <v>6821.3166597486079</v>
      </c>
      <c r="AB27" s="135">
        <f t="shared" si="27"/>
        <v>6872.6962702596093</v>
      </c>
      <c r="AC27" s="135">
        <f t="shared" si="27"/>
        <v>6907.9049976554888</v>
      </c>
      <c r="AD27" s="135">
        <f t="shared" si="27"/>
        <v>6932.3236839247611</v>
      </c>
      <c r="AE27" s="135">
        <f t="shared" si="27"/>
        <v>6967.151049032308</v>
      </c>
      <c r="AF27" s="135">
        <f t="shared" si="27"/>
        <v>7018.5590817043012</v>
      </c>
      <c r="AG27" s="135">
        <f t="shared" si="27"/>
        <v>6981.4592761986733</v>
      </c>
      <c r="AH27" s="135">
        <f t="shared" si="27"/>
        <v>6947.5670928613317</v>
      </c>
      <c r="AJ27" t="s">
        <v>219</v>
      </c>
      <c r="AK27" s="106">
        <f t="shared" si="28"/>
        <v>6830.04</v>
      </c>
      <c r="AL27" s="106">
        <f t="shared" si="29"/>
        <v>6305.25</v>
      </c>
      <c r="AM27" s="106">
        <f t="shared" si="30"/>
        <v>6526.2960000000003</v>
      </c>
      <c r="AN27" s="108">
        <f t="shared" si="31"/>
        <v>209.73309677419354</v>
      </c>
    </row>
    <row r="28" spans="1:40">
      <c r="A28" s="87" t="s">
        <v>174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06">
        <f>monthly_data!$BY454*42/1000</f>
        <v>5733.924</v>
      </c>
      <c r="L28" s="106">
        <f>monthly_data!$BY466*42/1000</f>
        <v>6077.4</v>
      </c>
      <c r="M28" s="106">
        <f>monthly_data!BY478*42/1000</f>
        <v>5988.8220000000001</v>
      </c>
      <c r="N28" s="106">
        <f>monthly_data!BY490*42/1000</f>
        <v>6418.8180000000002</v>
      </c>
      <c r="O28" s="106">
        <f>monthly_data!BY502*42/1000</f>
        <v>6565.2719999999999</v>
      </c>
      <c r="P28" s="106">
        <f>monthly_data!BY514*42/1000</f>
        <v>6648.768</v>
      </c>
      <c r="Q28" s="106">
        <f>monthly_data!BY526*42/1000</f>
        <v>6430.83</v>
      </c>
      <c r="R28" s="106">
        <f>monthly_data!$BY538*42/1000</f>
        <v>6567.3720000000003</v>
      </c>
      <c r="S28" s="106">
        <f>monthly_data!$BY550*42/1000</f>
        <v>6991.0680000000002</v>
      </c>
      <c r="T28" s="106">
        <f>monthly_data!$BY562*42/1000</f>
        <v>6856.9620000000004</v>
      </c>
      <c r="U28" s="106">
        <f>monthly_data!$BY574*42/1000</f>
        <v>6279.21</v>
      </c>
      <c r="V28" s="106">
        <f>monthly_data!$BY586*42/1000</f>
        <v>6173.58</v>
      </c>
      <c r="W28" s="106">
        <f>monthly_data!$BY598*42/1000</f>
        <v>6695.3879999999999</v>
      </c>
      <c r="X28" s="106">
        <f>monthly_data!$BY610*42/1000</f>
        <v>6558.09</v>
      </c>
      <c r="Y28" s="135">
        <f t="shared" si="32"/>
        <v>6561.7784094706476</v>
      </c>
      <c r="Z28" s="135">
        <f t="shared" si="25"/>
        <v>6687.4707049132558</v>
      </c>
      <c r="AA28" s="135">
        <f t="shared" si="26"/>
        <v>6799.3723883469193</v>
      </c>
      <c r="AB28" s="135">
        <f t="shared" si="27"/>
        <v>6877.1159999206557</v>
      </c>
      <c r="AC28" s="135">
        <f t="shared" si="27"/>
        <v>6908.4232879315268</v>
      </c>
      <c r="AD28" s="135">
        <f t="shared" si="27"/>
        <v>6921.413282878505</v>
      </c>
      <c r="AE28" s="135">
        <f t="shared" si="27"/>
        <v>6956.8784167784315</v>
      </c>
      <c r="AF28" s="135">
        <f t="shared" si="27"/>
        <v>7010.7903010627224</v>
      </c>
      <c r="AG28" s="135">
        <f t="shared" si="27"/>
        <v>6976.627635861485</v>
      </c>
      <c r="AH28" s="135">
        <f t="shared" si="27"/>
        <v>6940.9273561542896</v>
      </c>
      <c r="AJ28" t="s">
        <v>220</v>
      </c>
      <c r="AK28" s="106">
        <f t="shared" si="28"/>
        <v>6856.9620000000004</v>
      </c>
      <c r="AL28" s="106">
        <f t="shared" si="29"/>
        <v>6173.58</v>
      </c>
      <c r="AM28" s="106">
        <f t="shared" si="30"/>
        <v>6512.6459999999997</v>
      </c>
      <c r="AN28" s="108">
        <f t="shared" si="31"/>
        <v>211.55129032258066</v>
      </c>
    </row>
    <row r="29" spans="1:40">
      <c r="A29" s="87" t="s">
        <v>175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06">
        <f>monthly_data!$BY455*42/1000</f>
        <v>5470.1639999999998</v>
      </c>
      <c r="L29" s="106">
        <f>monthly_data!$BY467*42/1000</f>
        <v>5766.348</v>
      </c>
      <c r="M29" s="106">
        <f>monthly_data!BY479*42/1000</f>
        <v>5752.53</v>
      </c>
      <c r="N29" s="106">
        <f>monthly_data!BY491*42/1000</f>
        <v>6159.3419999999996</v>
      </c>
      <c r="O29" s="106">
        <f>monthly_data!BY503*42/1000</f>
        <v>6224.1480000000001</v>
      </c>
      <c r="P29" s="106">
        <f>monthly_data!BY515*42/1000</f>
        <v>6376.6080000000002</v>
      </c>
      <c r="Q29" s="106">
        <f>monthly_data!BY527*42/1000</f>
        <v>6159.0479999999998</v>
      </c>
      <c r="R29" s="106">
        <f>monthly_data!$BY539*42/1000</f>
        <v>5745.2640000000001</v>
      </c>
      <c r="S29" s="106">
        <f>monthly_data!$BY551*42/1000</f>
        <v>6589.8</v>
      </c>
      <c r="T29" s="106">
        <f>monthly_data!$BY563*42/1000</f>
        <v>6344.1</v>
      </c>
      <c r="U29" s="106">
        <f>monthly_data!$BY575*42/1000</f>
        <v>5661.81</v>
      </c>
      <c r="V29" s="106">
        <f>monthly_data!$BY587*42/1000</f>
        <v>5739.51</v>
      </c>
      <c r="W29" s="106">
        <f>monthly_data!$BY599*42/1000</f>
        <v>6530.8739999999998</v>
      </c>
      <c r="X29" s="106">
        <f>monthly_data!$BY611*42/1000</f>
        <v>6203.5259999999998</v>
      </c>
      <c r="Y29" s="135">
        <f t="shared" si="32"/>
        <v>6141.9528959673726</v>
      </c>
      <c r="Z29" s="135">
        <f t="shared" si="25"/>
        <v>6274.9708468653953</v>
      </c>
      <c r="AA29" s="135">
        <f t="shared" si="26"/>
        <v>6427.8463679751285</v>
      </c>
      <c r="AB29" s="135">
        <f t="shared" si="27"/>
        <v>6521.3190542369421</v>
      </c>
      <c r="AC29" s="135">
        <f t="shared" si="27"/>
        <v>6513.4807118439985</v>
      </c>
      <c r="AD29" s="135">
        <f t="shared" si="27"/>
        <v>6521.5649876489751</v>
      </c>
      <c r="AE29" s="135">
        <f t="shared" si="27"/>
        <v>6563.2727347790005</v>
      </c>
      <c r="AF29" s="135">
        <f t="shared" si="27"/>
        <v>6621.0787678806719</v>
      </c>
      <c r="AG29" s="135">
        <f t="shared" si="27"/>
        <v>6587.5207100678635</v>
      </c>
      <c r="AH29" s="135">
        <f t="shared" si="27"/>
        <v>6548.2706499785627</v>
      </c>
      <c r="AJ29" t="s">
        <v>221</v>
      </c>
      <c r="AK29" s="106">
        <f t="shared" si="28"/>
        <v>6530.8739999999998</v>
      </c>
      <c r="AL29" s="106">
        <f t="shared" si="29"/>
        <v>5661.81</v>
      </c>
      <c r="AM29" s="106">
        <f t="shared" si="30"/>
        <v>6095.9639999999999</v>
      </c>
      <c r="AN29" s="108">
        <f t="shared" si="31"/>
        <v>200.11374193548386</v>
      </c>
    </row>
    <row r="30" spans="1:40">
      <c r="A30" s="87" t="s">
        <v>176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06">
        <f>monthly_data!$BY456*42/1000</f>
        <v>5618.55</v>
      </c>
      <c r="L30" s="106">
        <f>monthly_data!$BY468*42/1000</f>
        <v>5909.4</v>
      </c>
      <c r="M30" s="106">
        <f>monthly_data!BY480*42/1000</f>
        <v>5871.81</v>
      </c>
      <c r="N30" s="106">
        <f>monthly_data!BY492*42/1000</f>
        <v>6268.8779999999997</v>
      </c>
      <c r="O30" s="106">
        <f>monthly_data!BY504*42/1000</f>
        <v>6069.924</v>
      </c>
      <c r="P30" s="106">
        <f>monthly_data!BY516*42/1000</f>
        <v>6271.1040000000003</v>
      </c>
      <c r="Q30" s="106">
        <f>monthly_data!BY528*42/1000</f>
        <v>6007.5959999999995</v>
      </c>
      <c r="R30" s="106">
        <f>monthly_data!$BY540*42/1000</f>
        <v>6473.5860000000002</v>
      </c>
      <c r="S30" s="106">
        <f>monthly_data!$BY552*42/1000</f>
        <v>6556.0739999999996</v>
      </c>
      <c r="T30" s="106">
        <f>monthly_data!$BY564*42/1000</f>
        <v>6241.7039999999997</v>
      </c>
      <c r="U30" s="106">
        <f>monthly_data!$BY576*42/1000</f>
        <v>5473.8180000000002</v>
      </c>
      <c r="V30" s="106">
        <f>monthly_data!$BY588*42/1000</f>
        <v>6154.89</v>
      </c>
      <c r="W30" s="106">
        <f>monthly_data!$BY600*42/1000</f>
        <v>6610.4639999999999</v>
      </c>
      <c r="X30" s="106">
        <f>monthly_data!$BY612*42/1000</f>
        <v>6180.6779999999999</v>
      </c>
      <c r="Y30" s="135">
        <f t="shared" si="32"/>
        <v>6178.5739018524373</v>
      </c>
      <c r="Z30" s="135">
        <f t="shared" si="25"/>
        <v>6341.4456785985694</v>
      </c>
      <c r="AA30" s="135">
        <f t="shared" si="26"/>
        <v>6547.5392166405281</v>
      </c>
      <c r="AB30" s="135">
        <f t="shared" si="27"/>
        <v>6579.0440921118779</v>
      </c>
      <c r="AC30" s="135">
        <f t="shared" si="27"/>
        <v>6566.6426118429736</v>
      </c>
      <c r="AD30" s="135">
        <f t="shared" si="27"/>
        <v>6589.8246058352088</v>
      </c>
      <c r="AE30" s="135">
        <f t="shared" si="27"/>
        <v>6637.5975260930554</v>
      </c>
      <c r="AF30" s="135">
        <f t="shared" si="27"/>
        <v>6696.9909196840399</v>
      </c>
      <c r="AG30" s="135">
        <f t="shared" si="27"/>
        <v>6653.7935614433545</v>
      </c>
      <c r="AH30" s="135">
        <f t="shared" si="27"/>
        <v>6615.7218412925322</v>
      </c>
      <c r="AJ30" t="s">
        <v>222</v>
      </c>
      <c r="AK30" s="106">
        <f t="shared" si="28"/>
        <v>6610.4639999999999</v>
      </c>
      <c r="AL30" s="106">
        <f t="shared" si="29"/>
        <v>5473.8180000000002</v>
      </c>
      <c r="AM30" s="106">
        <f t="shared" si="30"/>
        <v>6132.3108000000002</v>
      </c>
      <c r="AN30" s="108">
        <f t="shared" si="31"/>
        <v>199.37670967741934</v>
      </c>
    </row>
    <row r="31" spans="1:40">
      <c r="A31" s="87" t="s">
        <v>177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06">
        <f>monthly_data!$BY457*42/1000</f>
        <v>5673.6540000000005</v>
      </c>
      <c r="L31" s="106">
        <f>monthly_data!$BY469*42/1000</f>
        <v>6177.0240000000003</v>
      </c>
      <c r="M31" s="106">
        <f>monthly_data!BY481*42/1000</f>
        <v>5882.6880000000001</v>
      </c>
      <c r="N31" s="106">
        <f>monthly_data!BY493*42/1000</f>
        <v>6362.58</v>
      </c>
      <c r="O31" s="106">
        <f>monthly_data!BY505*42/1000</f>
        <v>6314.6580000000004</v>
      </c>
      <c r="P31" s="106">
        <f>monthly_data!BY517*42/1000</f>
        <v>6512.982</v>
      </c>
      <c r="Q31" s="106">
        <f>monthly_data!BY529*42/1000</f>
        <v>6383.1180000000004</v>
      </c>
      <c r="R31" s="106">
        <f>monthly_data!$BY541*42/1000</f>
        <v>6756.2460000000001</v>
      </c>
      <c r="S31" s="106">
        <f>monthly_data!$BY553*42/1000</f>
        <v>6741.1260000000002</v>
      </c>
      <c r="T31" s="106">
        <f>monthly_data!$BY565*42/1000</f>
        <v>6591.1859999999997</v>
      </c>
      <c r="U31" s="106">
        <f>monthly_data!$BY577*42/1000</f>
        <v>5697.72</v>
      </c>
      <c r="V31" s="106">
        <f>monthly_data!$BY589*42/1000</f>
        <v>6237.2939999999999</v>
      </c>
      <c r="W31" s="106">
        <f>monthly_data!$BY601*42/1000</f>
        <v>6726.384</v>
      </c>
      <c r="X31" s="106">
        <f>monthly_data!$BY613*42/1000</f>
        <v>6449.0159999999996</v>
      </c>
      <c r="Y31" s="135">
        <f t="shared" si="32"/>
        <v>6388.152355453517</v>
      </c>
      <c r="Z31" s="135">
        <f t="shared" si="25"/>
        <v>6527.997917067496</v>
      </c>
      <c r="AA31" s="135">
        <f t="shared" si="26"/>
        <v>6727.0714014370751</v>
      </c>
      <c r="AB31" s="135">
        <f t="shared" si="27"/>
        <v>6777.2744535464626</v>
      </c>
      <c r="AC31" s="135">
        <f t="shared" si="27"/>
        <v>6781.6770059103519</v>
      </c>
      <c r="AD31" s="135">
        <f t="shared" si="27"/>
        <v>6792.1283335040234</v>
      </c>
      <c r="AE31" s="135">
        <f t="shared" si="27"/>
        <v>6837.3191359623543</v>
      </c>
      <c r="AF31" s="135">
        <f t="shared" si="27"/>
        <v>6899.3659078902792</v>
      </c>
      <c r="AG31" s="135">
        <f t="shared" si="27"/>
        <v>6858.5505296820884</v>
      </c>
      <c r="AH31" s="135">
        <f t="shared" si="27"/>
        <v>6820.1508092546428</v>
      </c>
      <c r="AJ31" t="s">
        <v>223</v>
      </c>
      <c r="AK31" s="106">
        <f t="shared" si="28"/>
        <v>6726.384</v>
      </c>
      <c r="AL31" s="106">
        <f t="shared" si="29"/>
        <v>5697.72</v>
      </c>
      <c r="AM31" s="106">
        <f t="shared" si="30"/>
        <v>6340.3199999999988</v>
      </c>
      <c r="AN31" s="108">
        <f t="shared" si="31"/>
        <v>208.03277419354836</v>
      </c>
    </row>
    <row r="32" spans="1:40">
      <c r="A32" s="87" t="s">
        <v>178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06">
        <f>monthly_data!$BY458*42/1000</f>
        <v>6079.92</v>
      </c>
      <c r="L32" s="106">
        <f>monthly_data!$BY470*42/1000</f>
        <v>6404.3280000000004</v>
      </c>
      <c r="M32" s="106">
        <f>monthly_data!BY482*42/1000</f>
        <v>6359.5140000000001</v>
      </c>
      <c r="N32" s="106">
        <f>monthly_data!BY494*42/1000</f>
        <v>6668.34</v>
      </c>
      <c r="O32" s="106">
        <f>monthly_data!BY506*42/1000</f>
        <v>6930.3779999999997</v>
      </c>
      <c r="P32" s="106">
        <f>monthly_data!BY518*42/1000</f>
        <v>6564.81</v>
      </c>
      <c r="Q32" s="106">
        <f>monthly_data!BY530*42/1000</f>
        <v>6702.2340000000004</v>
      </c>
      <c r="R32" s="106">
        <f>monthly_data!$BY542*42/1000</f>
        <v>7041.0479999999998</v>
      </c>
      <c r="S32" s="106">
        <f>monthly_data!$BY554*42/1000</f>
        <v>7259.49</v>
      </c>
      <c r="T32" s="106">
        <f>monthly_data!$BY566*42/1000</f>
        <v>6912.8639999999996</v>
      </c>
      <c r="U32" s="106">
        <f>monthly_data!$BY578*42/1000</f>
        <v>6032.04</v>
      </c>
      <c r="V32" s="106">
        <f>monthly_data!$BY590*42/1000</f>
        <v>6413.9459999999999</v>
      </c>
      <c r="W32" s="106">
        <f>monthly_data!$BY602*42/1000</f>
        <v>6344.4780000000001</v>
      </c>
      <c r="X32" s="106">
        <f>monthly_data!$BY614*42/1000</f>
        <v>6827.1</v>
      </c>
      <c r="Y32" s="135">
        <f>Y33-SUM(Y21:Y31)</f>
        <v>6890.1258058811509</v>
      </c>
      <c r="Z32" s="135">
        <f t="shared" ref="Z32" si="33">Z33-SUM(Z21:Z31)</f>
        <v>6737.1361904770456</v>
      </c>
      <c r="AA32" s="135">
        <f t="shared" ref="AA32:AH32" si="34">AA33-SUM(AA21:AA31)</f>
        <v>6911.0043326868326</v>
      </c>
      <c r="AB32" s="135">
        <f t="shared" si="34"/>
        <v>6961.3181526618282</v>
      </c>
      <c r="AC32" s="135">
        <f t="shared" si="34"/>
        <v>7082.3225466719014</v>
      </c>
      <c r="AD32" s="135">
        <f t="shared" si="34"/>
        <v>7074.3788248505734</v>
      </c>
      <c r="AE32" s="135">
        <f t="shared" si="34"/>
        <v>7073.3284729301231</v>
      </c>
      <c r="AF32" s="135">
        <f t="shared" si="34"/>
        <v>7140.8112755607872</v>
      </c>
      <c r="AG32" s="135">
        <f t="shared" si="34"/>
        <v>7108.9260576192028</v>
      </c>
      <c r="AH32" s="135">
        <f t="shared" si="34"/>
        <v>7081.7721646086575</v>
      </c>
      <c r="AJ32" t="s">
        <v>224</v>
      </c>
      <c r="AK32" s="106">
        <f t="shared" si="28"/>
        <v>6912.8639999999996</v>
      </c>
      <c r="AL32" s="106">
        <f t="shared" si="29"/>
        <v>6032.04</v>
      </c>
      <c r="AM32" s="106">
        <f t="shared" si="30"/>
        <v>6506.0856000000003</v>
      </c>
      <c r="AN32" s="108">
        <f t="shared" si="31"/>
        <v>220.22903225806454</v>
      </c>
    </row>
    <row r="33" spans="1:40">
      <c r="A33" s="109" t="s">
        <v>179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>
        <f>SUM(K21:K32)</f>
        <v>64743.126000000004</v>
      </c>
      <c r="L33" s="112">
        <f>SUM(L21:L32)</f>
        <v>68863.45199999999</v>
      </c>
      <c r="M33" s="112">
        <f t="shared" ref="M33:X33" si="35">SUM(M21:M32)</f>
        <v>69940.751999999993</v>
      </c>
      <c r="N33" s="112">
        <f t="shared" si="35"/>
        <v>72554.705999999976</v>
      </c>
      <c r="O33" s="112">
        <f t="shared" si="35"/>
        <v>75366.185999999987</v>
      </c>
      <c r="P33" s="112">
        <f t="shared" si="35"/>
        <v>76388.760000000009</v>
      </c>
      <c r="Q33" s="112">
        <f t="shared" si="35"/>
        <v>74312.069999999992</v>
      </c>
      <c r="R33" s="112">
        <f t="shared" si="35"/>
        <v>77022.918000000005</v>
      </c>
      <c r="S33" s="112">
        <f t="shared" si="35"/>
        <v>79226.322</v>
      </c>
      <c r="T33" s="112">
        <f t="shared" si="35"/>
        <v>78750.63</v>
      </c>
      <c r="U33" s="112">
        <f t="shared" si="35"/>
        <v>72826.23599999999</v>
      </c>
      <c r="V33" s="112">
        <f t="shared" si="35"/>
        <v>71554.896000000008</v>
      </c>
      <c r="W33" s="112">
        <f t="shared" si="35"/>
        <v>76816.361999999994</v>
      </c>
      <c r="X33" s="112">
        <f t="shared" si="35"/>
        <v>75221.538</v>
      </c>
      <c r="Y33" s="136">
        <f t="shared" ref="Y33:AH33" si="36">Y5</f>
        <v>75600</v>
      </c>
      <c r="Z33" s="136">
        <f t="shared" si="36"/>
        <v>77100</v>
      </c>
      <c r="AA33" s="136">
        <f t="shared" si="36"/>
        <v>78300</v>
      </c>
      <c r="AB33" s="136">
        <f t="shared" si="36"/>
        <v>79100</v>
      </c>
      <c r="AC33" s="136">
        <f t="shared" si="36"/>
        <v>79500</v>
      </c>
      <c r="AD33" s="136">
        <f t="shared" si="36"/>
        <v>79700</v>
      </c>
      <c r="AE33" s="136">
        <f t="shared" si="36"/>
        <v>80100</v>
      </c>
      <c r="AF33" s="136">
        <f t="shared" si="36"/>
        <v>80700</v>
      </c>
      <c r="AG33" s="136">
        <f t="shared" si="36"/>
        <v>80300</v>
      </c>
      <c r="AH33" s="136">
        <f t="shared" si="36"/>
        <v>79900</v>
      </c>
      <c r="AJ33" t="s">
        <v>201</v>
      </c>
      <c r="AK33" s="106">
        <f>AVERAGE(AK21:AK32)</f>
        <v>6633.8895000000011</v>
      </c>
      <c r="AL33" s="106">
        <f t="shared" ref="AL33:AN33" si="37">AVERAGE(AL21:AL32)</f>
        <v>5779.3715000000002</v>
      </c>
      <c r="AM33" s="106">
        <f t="shared" si="37"/>
        <v>6252.8277000000007</v>
      </c>
      <c r="AN33" s="107">
        <f t="shared" si="37"/>
        <v>202.20843548387097</v>
      </c>
    </row>
    <row r="34" spans="1:40">
      <c r="X34" s="137">
        <f>X33/W33-1</f>
        <v>-2.0761514324252883E-2</v>
      </c>
      <c r="Y34" s="137">
        <f>Y33/X33-1</f>
        <v>5.0312983496827446E-3</v>
      </c>
      <c r="Z34" s="137">
        <f>Z33/Y33-1</f>
        <v>1.9841269841269771E-2</v>
      </c>
    </row>
    <row r="35" spans="1:40" s="87" customFormat="1" ht="15.75" thickBot="1">
      <c r="A35" s="100" t="s">
        <v>242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98"/>
      <c r="Y35" s="98"/>
      <c r="Z35" s="98"/>
      <c r="AA35" s="98"/>
      <c r="AB35" s="98"/>
      <c r="AC35" s="98"/>
      <c r="AD35" s="102"/>
      <c r="AE35" s="102"/>
      <c r="AF35" s="102"/>
      <c r="AG35" s="102"/>
      <c r="AH35" s="102"/>
      <c r="AI35" s="113"/>
    </row>
    <row r="36" spans="1:40" s="100" customFormat="1" ht="15.75" thickBot="1">
      <c r="A36" s="103"/>
      <c r="B36" s="104">
        <v>2001</v>
      </c>
      <c r="C36" s="104">
        <v>2002</v>
      </c>
      <c r="D36" s="104">
        <v>2003</v>
      </c>
      <c r="E36" s="104">
        <v>2004</v>
      </c>
      <c r="F36" s="104">
        <v>2005</v>
      </c>
      <c r="G36" s="104">
        <v>2006</v>
      </c>
      <c r="H36" s="104">
        <v>2007</v>
      </c>
      <c r="I36" s="104">
        <v>2008</v>
      </c>
      <c r="J36" s="104">
        <v>2009</v>
      </c>
      <c r="K36" s="104">
        <v>2010</v>
      </c>
      <c r="L36" s="104">
        <v>2011</v>
      </c>
      <c r="M36" s="104">
        <f t="shared" ref="M36:AH36" si="38">M2</f>
        <v>2012</v>
      </c>
      <c r="N36" s="104">
        <f t="shared" si="38"/>
        <v>2013</v>
      </c>
      <c r="O36" s="104">
        <f t="shared" si="38"/>
        <v>2014</v>
      </c>
      <c r="P36" s="104">
        <f t="shared" si="38"/>
        <v>2015</v>
      </c>
      <c r="Q36" s="104">
        <f t="shared" si="38"/>
        <v>2016</v>
      </c>
      <c r="R36" s="104">
        <f t="shared" si="38"/>
        <v>2017</v>
      </c>
      <c r="S36" s="104">
        <f t="shared" si="38"/>
        <v>2018</v>
      </c>
      <c r="T36" s="104">
        <f t="shared" si="38"/>
        <v>2019</v>
      </c>
      <c r="U36" s="104">
        <f t="shared" si="38"/>
        <v>2020</v>
      </c>
      <c r="V36" s="104">
        <f t="shared" si="38"/>
        <v>2021</v>
      </c>
      <c r="W36" s="104">
        <f t="shared" si="38"/>
        <v>2022</v>
      </c>
      <c r="X36" s="104">
        <f t="shared" si="38"/>
        <v>2023</v>
      </c>
      <c r="Y36" s="104">
        <f t="shared" si="38"/>
        <v>2024</v>
      </c>
      <c r="Z36" s="104">
        <f t="shared" si="38"/>
        <v>2025</v>
      </c>
      <c r="AA36" s="104">
        <f t="shared" si="38"/>
        <v>2026</v>
      </c>
      <c r="AB36" s="104">
        <f t="shared" si="38"/>
        <v>2027</v>
      </c>
      <c r="AC36" s="104">
        <f t="shared" si="38"/>
        <v>2028</v>
      </c>
      <c r="AD36" s="104">
        <f t="shared" si="38"/>
        <v>2029</v>
      </c>
      <c r="AE36" s="104">
        <f t="shared" si="38"/>
        <v>2030</v>
      </c>
      <c r="AF36" s="104">
        <f t="shared" si="38"/>
        <v>2031</v>
      </c>
      <c r="AG36" s="104">
        <f t="shared" si="38"/>
        <v>2032</v>
      </c>
      <c r="AH36" s="104">
        <f t="shared" si="38"/>
        <v>2033</v>
      </c>
      <c r="AI36" s="102"/>
    </row>
    <row r="37" spans="1:40">
      <c r="A37" s="87" t="s">
        <v>167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>
        <f>(monthly_data!$CA447)*42/1000</f>
        <v>601.18799999999999</v>
      </c>
      <c r="L37" s="110">
        <f>(monthly_data!$CA459)*42/1000</f>
        <v>438.43799999999999</v>
      </c>
      <c r="M37" s="110">
        <f>(monthly_data!$CA471)*42/1000</f>
        <v>204.24600000000001</v>
      </c>
      <c r="N37" s="110">
        <f>(monthly_data!CA483)*42/1000</f>
        <v>277.87200000000001</v>
      </c>
      <c r="O37" s="110">
        <f>(monthly_data!CA495)*42/1000</f>
        <v>368.928</v>
      </c>
      <c r="P37" s="110">
        <f>(monthly_data!CA507)*42/1000</f>
        <v>454.14600000000002</v>
      </c>
      <c r="Q37" s="110">
        <f>(monthly_data!CA519)*42/1000</f>
        <v>223.31399999999999</v>
      </c>
      <c r="R37" s="110">
        <f>(monthly_data!CA531)*42/1000</f>
        <v>265.77600000000001</v>
      </c>
      <c r="S37" s="110">
        <f>monthly_data!$CA543*42/1000</f>
        <v>378.084</v>
      </c>
      <c r="T37" s="110">
        <f>monthly_data!$CA555*42/1000</f>
        <v>399.12599999999998</v>
      </c>
      <c r="U37" s="110">
        <f>monthly_data!$CA567*42/1000</f>
        <v>285.81</v>
      </c>
      <c r="V37" s="110">
        <f>monthly_data!$CA579*42/1000</f>
        <v>482.41199999999998</v>
      </c>
      <c r="W37" s="110">
        <f>monthly_data!$CA591*42/1000</f>
        <v>314.83199999999999</v>
      </c>
      <c r="X37" s="110">
        <f>monthly_data!$CA603*42/1000</f>
        <v>356.66399999999999</v>
      </c>
      <c r="Y37" s="110">
        <f>monthly_data!$CA615*42/1000</f>
        <v>240.786</v>
      </c>
      <c r="Z37" s="135">
        <f t="shared" ref="Z37:Z47" si="39">Z$49*(SUM(U37:Y37)/SUM(U$49:Y$49))</f>
        <v>293.83363322503328</v>
      </c>
      <c r="AA37" s="135">
        <f t="shared" ref="AA37:AA47" si="40">AA$49*(SUM(V37:Z37)/SUM(V$49:Z$49))</f>
        <v>334.87556026035838</v>
      </c>
      <c r="AB37" s="135">
        <f t="shared" ref="AB37:AH47" si="41">AB$49*(SUM(W37:AA37)/SUM(W$49:AA$49))</f>
        <v>365.41002539425568</v>
      </c>
      <c r="AC37" s="135">
        <f t="shared" si="41"/>
        <v>395.81759850466409</v>
      </c>
      <c r="AD37" s="135">
        <f t="shared" si="41"/>
        <v>407.6807043460779</v>
      </c>
      <c r="AE37" s="135">
        <f t="shared" si="41"/>
        <v>442.49046688748047</v>
      </c>
      <c r="AF37" s="135">
        <f t="shared" si="41"/>
        <v>472.66662916683174</v>
      </c>
      <c r="AG37" s="135">
        <f t="shared" si="41"/>
        <v>500.17570183183432</v>
      </c>
      <c r="AH37" s="135">
        <f t="shared" si="41"/>
        <v>526.972386425011</v>
      </c>
    </row>
    <row r="38" spans="1:40">
      <c r="A38" s="87" t="s">
        <v>168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>
        <f>(monthly_data!$CA448)*42/1000</f>
        <v>344.4</v>
      </c>
      <c r="L38" s="110">
        <f>(monthly_data!$CA460)*42/1000</f>
        <v>242.42400000000001</v>
      </c>
      <c r="M38" s="110">
        <f>(monthly_data!$CA472)*42/1000</f>
        <v>173.334</v>
      </c>
      <c r="N38" s="110">
        <f>(monthly_data!CA484)*42/1000</f>
        <v>204.33</v>
      </c>
      <c r="O38" s="110">
        <f>(monthly_data!CA496)*42/1000</f>
        <v>396.18599999999998</v>
      </c>
      <c r="P38" s="110">
        <f>(monthly_data!CA508)*42/1000</f>
        <v>455.74200000000002</v>
      </c>
      <c r="Q38" s="110">
        <f>(monthly_data!CA520)*42/1000</f>
        <v>280.98</v>
      </c>
      <c r="R38" s="110">
        <f>(monthly_data!CA532)*42/1000</f>
        <v>237.51</v>
      </c>
      <c r="S38" s="110">
        <f>monthly_data!$CA544*42/1000</f>
        <v>334.06799999999998</v>
      </c>
      <c r="T38" s="110">
        <f>monthly_data!$CA556*42/1000</f>
        <v>424.07400000000001</v>
      </c>
      <c r="U38" s="110">
        <f>monthly_data!$CA568*42/1000</f>
        <v>191.52</v>
      </c>
      <c r="V38" s="110">
        <f>monthly_data!$CA580*42/1000</f>
        <v>414.62400000000002</v>
      </c>
      <c r="W38" s="110">
        <f>monthly_data!$CA592*42/1000</f>
        <v>469.43400000000003</v>
      </c>
      <c r="X38" s="110">
        <f>monthly_data!$CA604*42/1000</f>
        <v>352.84199999999998</v>
      </c>
      <c r="Y38" s="110">
        <f>monthly_data!$CA616*42/1000</f>
        <v>214.32599999999999</v>
      </c>
      <c r="Z38" s="135">
        <f t="shared" si="39"/>
        <v>287.23170289739892</v>
      </c>
      <c r="AA38" s="135">
        <f t="shared" si="40"/>
        <v>344.77789157337156</v>
      </c>
      <c r="AB38" s="135">
        <f t="shared" si="41"/>
        <v>395.67221907974772</v>
      </c>
      <c r="AC38" s="135">
        <f t="shared" si="41"/>
        <v>396.63347071988909</v>
      </c>
      <c r="AD38" s="135">
        <f t="shared" si="41"/>
        <v>409.66032106760184</v>
      </c>
      <c r="AE38" s="135">
        <f t="shared" si="41"/>
        <v>451.44014900627923</v>
      </c>
      <c r="AF38" s="135">
        <f t="shared" si="41"/>
        <v>485.27326963710175</v>
      </c>
      <c r="AG38" s="135">
        <f t="shared" si="41"/>
        <v>513.28306308254867</v>
      </c>
      <c r="AH38" s="135">
        <f t="shared" si="41"/>
        <v>535.8689399594374</v>
      </c>
    </row>
    <row r="39" spans="1:40">
      <c r="A39" s="87" t="s">
        <v>169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>
        <f>(monthly_data!$CA449)*42/1000</f>
        <v>232.76400000000001</v>
      </c>
      <c r="L39" s="110">
        <f>(monthly_data!$CA461)*42/1000</f>
        <v>247.17</v>
      </c>
      <c r="M39" s="110">
        <f>(monthly_data!$CA473)*42/1000</f>
        <v>177.95400000000001</v>
      </c>
      <c r="N39" s="110">
        <f>(monthly_data!CA485)*42/1000</f>
        <v>189.63</v>
      </c>
      <c r="O39" s="110">
        <f>(monthly_data!CA497)*42/1000</f>
        <v>422.26799999999997</v>
      </c>
      <c r="P39" s="110">
        <f>(monthly_data!CA509)*42/1000</f>
        <v>421.21800000000002</v>
      </c>
      <c r="Q39" s="110">
        <f>(monthly_data!CA521)*42/1000</f>
        <v>195.678</v>
      </c>
      <c r="R39" s="110">
        <f>(monthly_data!CA533)*42/1000</f>
        <v>144.858</v>
      </c>
      <c r="S39" s="110">
        <f>monthly_data!$CA545*42/1000</f>
        <v>204.41399999999999</v>
      </c>
      <c r="T39" s="110">
        <f>monthly_data!$CA557*42/1000</f>
        <v>233.81399999999999</v>
      </c>
      <c r="U39" s="110">
        <f>monthly_data!$CA569*42/1000</f>
        <v>223.06200000000001</v>
      </c>
      <c r="V39" s="110">
        <f>monthly_data!$CA581*42/1000</f>
        <v>612.48599999999999</v>
      </c>
      <c r="W39" s="110">
        <f>monthly_data!$CA593*42/1000</f>
        <v>245.91</v>
      </c>
      <c r="X39" s="110">
        <f>monthly_data!$CA605*42/1000</f>
        <v>202.14599999999999</v>
      </c>
      <c r="Y39" s="110">
        <f>monthly_data!$CA617*42/1000</f>
        <v>235.03200000000001</v>
      </c>
      <c r="Z39" s="135">
        <f t="shared" si="39"/>
        <v>265.53125337775543</v>
      </c>
      <c r="AA39" s="135">
        <f t="shared" si="40"/>
        <v>309.60464375213047</v>
      </c>
      <c r="AB39" s="135">
        <f t="shared" si="41"/>
        <v>298.35837358810289</v>
      </c>
      <c r="AC39" s="135">
        <f t="shared" si="41"/>
        <v>325.959527533109</v>
      </c>
      <c r="AD39" s="135">
        <f t="shared" si="41"/>
        <v>358.62144956277444</v>
      </c>
      <c r="AE39" s="135">
        <f t="shared" si="41"/>
        <v>383.52621484649165</v>
      </c>
      <c r="AF39" s="135">
        <f t="shared" si="41"/>
        <v>407.04562225434779</v>
      </c>
      <c r="AG39" s="135">
        <f t="shared" si="41"/>
        <v>425.64268506835822</v>
      </c>
      <c r="AH39" s="135">
        <f t="shared" si="41"/>
        <v>451.43893107545676</v>
      </c>
    </row>
    <row r="40" spans="1:40">
      <c r="A40" s="87" t="s">
        <v>170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>
        <f>(monthly_data!$CA450)*42/1000</f>
        <v>277.24200000000002</v>
      </c>
      <c r="L40" s="110">
        <f>(monthly_data!$CA462)*42/1000</f>
        <v>240.072</v>
      </c>
      <c r="M40" s="110">
        <f>(monthly_data!$CA474)*42/1000</f>
        <v>123.354</v>
      </c>
      <c r="N40" s="110">
        <f>(monthly_data!CA486)*42/1000</f>
        <v>299.67</v>
      </c>
      <c r="O40" s="110">
        <f>(monthly_data!CA498)*42/1000</f>
        <v>227.64</v>
      </c>
      <c r="P40" s="110">
        <f>(monthly_data!CA510)*42/1000</f>
        <v>306.34800000000001</v>
      </c>
      <c r="Q40" s="110">
        <f>(monthly_data!CA522)*42/1000</f>
        <v>222.43199999999999</v>
      </c>
      <c r="R40" s="110">
        <f>(monthly_data!CA534)*42/1000</f>
        <v>148.26</v>
      </c>
      <c r="S40" s="110">
        <f>monthly_data!$CA546*42/1000</f>
        <v>114.744</v>
      </c>
      <c r="T40" s="110">
        <f>monthly_data!$CA558*42/1000</f>
        <v>153.048</v>
      </c>
      <c r="U40" s="110">
        <f>monthly_data!$CA570*42/1000</f>
        <v>290.80799999999999</v>
      </c>
      <c r="V40" s="110">
        <f>monthly_data!$CA582*42/1000</f>
        <v>249.27</v>
      </c>
      <c r="W40" s="110">
        <f>monthly_data!$CA594*42/1000</f>
        <v>162.036</v>
      </c>
      <c r="X40" s="110">
        <f>monthly_data!$CA606*42/1000</f>
        <v>196.14</v>
      </c>
      <c r="Y40" s="110">
        <f>monthly_data!$CA618*42/1000</f>
        <v>161.07</v>
      </c>
      <c r="Z40" s="135">
        <f t="shared" si="39"/>
        <v>185.22123106072647</v>
      </c>
      <c r="AA40" s="135">
        <f t="shared" si="40"/>
        <v>189.14898596158116</v>
      </c>
      <c r="AB40" s="135">
        <f t="shared" si="41"/>
        <v>211.90018861579927</v>
      </c>
      <c r="AC40" s="135">
        <f t="shared" si="41"/>
        <v>234.64021794714122</v>
      </c>
      <c r="AD40" s="135">
        <f t="shared" si="41"/>
        <v>245.49515589631201</v>
      </c>
      <c r="AE40" s="135">
        <f t="shared" si="41"/>
        <v>262.49988418007638</v>
      </c>
      <c r="AF40" s="135">
        <f t="shared" si="41"/>
        <v>277.75193363164959</v>
      </c>
      <c r="AG40" s="135">
        <f t="shared" si="41"/>
        <v>295.74897126503487</v>
      </c>
      <c r="AH40" s="135">
        <f t="shared" si="41"/>
        <v>312.58233869355081</v>
      </c>
    </row>
    <row r="41" spans="1:40">
      <c r="A41" s="87" t="s">
        <v>171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>
        <f>(monthly_data!$CA451)*42/1000</f>
        <v>245.44800000000001</v>
      </c>
      <c r="L41" s="110">
        <f>(monthly_data!$CA463)*42/1000</f>
        <v>221.08799999999999</v>
      </c>
      <c r="M41" s="110">
        <f>(monthly_data!$CA475)*42/1000</f>
        <v>146.916</v>
      </c>
      <c r="N41" s="110">
        <f>(monthly_data!CA487)*42/1000</f>
        <v>218.86199999999999</v>
      </c>
      <c r="O41" s="110">
        <f>(monthly_data!CA499)*42/1000</f>
        <v>257.75400000000002</v>
      </c>
      <c r="P41" s="110">
        <f>(monthly_data!CA511)*42/1000</f>
        <v>249.31200000000001</v>
      </c>
      <c r="Q41" s="110">
        <f>(monthly_data!CA523)*42/1000</f>
        <v>160.31399999999999</v>
      </c>
      <c r="R41" s="110">
        <f>(monthly_data!CA535)*42/1000</f>
        <v>162.33000000000001</v>
      </c>
      <c r="S41" s="110">
        <f>monthly_data!$CA547*42/1000</f>
        <v>158.42400000000001</v>
      </c>
      <c r="T41" s="110">
        <f>monthly_data!$CA559*42/1000</f>
        <v>208.572</v>
      </c>
      <c r="U41" s="110">
        <f>monthly_data!$CA571*42/1000</f>
        <v>247.12799999999999</v>
      </c>
      <c r="V41" s="110">
        <f>monthly_data!$CA583*42/1000</f>
        <v>354.39600000000002</v>
      </c>
      <c r="W41" s="110">
        <f>monthly_data!$CA595*42/1000</f>
        <v>233.85599999999999</v>
      </c>
      <c r="X41" s="110">
        <f>monthly_data!$CA607*42/1000</f>
        <v>218.988</v>
      </c>
      <c r="Y41" s="135">
        <f t="shared" ref="Y41:Y47" si="42">Y$49*(SUM(T41:X41)/SUM(T$49:X$49))</f>
        <v>193.33343620446669</v>
      </c>
      <c r="Z41" s="135">
        <f t="shared" si="39"/>
        <v>218.15874653083264</v>
      </c>
      <c r="AA41" s="135">
        <f t="shared" si="40"/>
        <v>241.70384568792039</v>
      </c>
      <c r="AB41" s="135">
        <f t="shared" si="41"/>
        <v>262.27152795018441</v>
      </c>
      <c r="AC41" s="135">
        <f t="shared" si="41"/>
        <v>282.13505803416086</v>
      </c>
      <c r="AD41" s="135">
        <f t="shared" si="41"/>
        <v>299.40065360189129</v>
      </c>
      <c r="AE41" s="135">
        <f t="shared" si="41"/>
        <v>320.90334321353589</v>
      </c>
      <c r="AF41" s="135">
        <f t="shared" si="41"/>
        <v>341.55778977558248</v>
      </c>
      <c r="AG41" s="135">
        <f t="shared" si="41"/>
        <v>361.50440941808517</v>
      </c>
      <c r="AH41" s="135">
        <f t="shared" si="41"/>
        <v>381.30654783527325</v>
      </c>
    </row>
    <row r="42" spans="1:40">
      <c r="A42" s="87" t="s">
        <v>172</v>
      </c>
      <c r="B42" s="110"/>
      <c r="C42" s="110"/>
      <c r="D42" s="110"/>
      <c r="E42" s="110"/>
      <c r="F42" s="110"/>
      <c r="G42" s="110"/>
      <c r="H42" s="110"/>
      <c r="I42" s="110"/>
      <c r="J42" s="110"/>
      <c r="K42" s="110">
        <f>(monthly_data!$CA452)*42/1000</f>
        <v>298.28399999999999</v>
      </c>
      <c r="L42" s="110">
        <f>(monthly_data!$CA464)*42/1000</f>
        <v>160.18799999999999</v>
      </c>
      <c r="M42" s="110">
        <f>(monthly_data!$CA476)*42/1000</f>
        <v>109.872</v>
      </c>
      <c r="N42" s="110">
        <f>(monthly_data!CA488)*42/1000</f>
        <v>151.91399999999999</v>
      </c>
      <c r="O42" s="110">
        <f>(monthly_data!CA500)*42/1000</f>
        <v>151.87200000000001</v>
      </c>
      <c r="P42" s="110">
        <f>(monthly_data!CA512)*42/1000</f>
        <v>166.74</v>
      </c>
      <c r="Q42" s="110">
        <f>(monthly_data!CA524)*42/1000</f>
        <v>111.342</v>
      </c>
      <c r="R42" s="110">
        <f>(monthly_data!CA536)*42/1000</f>
        <v>132.38399999999999</v>
      </c>
      <c r="S42" s="110">
        <f>monthly_data!$CA548*42/1000</f>
        <v>113.44199999999999</v>
      </c>
      <c r="T42" s="110">
        <f>monthly_data!$CA560*42/1000</f>
        <v>158.55000000000001</v>
      </c>
      <c r="U42" s="110">
        <f>monthly_data!$CA572*42/1000</f>
        <v>194.08199999999999</v>
      </c>
      <c r="V42" s="110">
        <f>monthly_data!$CA584*42/1000</f>
        <v>302.69400000000002</v>
      </c>
      <c r="W42" s="110">
        <f>monthly_data!$CA596*42/1000</f>
        <v>147</v>
      </c>
      <c r="X42" s="110">
        <f>monthly_data!$CA608*42/1000</f>
        <v>173.922</v>
      </c>
      <c r="Y42" s="135">
        <f t="shared" si="42"/>
        <v>149.44603894701109</v>
      </c>
      <c r="Z42" s="135">
        <f t="shared" si="39"/>
        <v>169.10370151795729</v>
      </c>
      <c r="AA42" s="135">
        <f t="shared" si="40"/>
        <v>186.85408162003904</v>
      </c>
      <c r="AB42" s="135">
        <f t="shared" si="41"/>
        <v>195.94384504500039</v>
      </c>
      <c r="AC42" s="135">
        <f t="shared" si="41"/>
        <v>217.67645012087553</v>
      </c>
      <c r="AD42" s="135">
        <f t="shared" si="41"/>
        <v>229.75602931272084</v>
      </c>
      <c r="AE42" s="135">
        <f t="shared" si="41"/>
        <v>245.98993418254602</v>
      </c>
      <c r="AF42" s="135">
        <f t="shared" si="41"/>
        <v>261.36779692542984</v>
      </c>
      <c r="AG42" s="135">
        <f t="shared" si="41"/>
        <v>276.17617334077744</v>
      </c>
      <c r="AH42" s="135">
        <f t="shared" si="41"/>
        <v>292.35451617205803</v>
      </c>
    </row>
    <row r="43" spans="1:40">
      <c r="A43" s="87" t="s">
        <v>173</v>
      </c>
      <c r="B43" s="110"/>
      <c r="C43" s="110"/>
      <c r="D43" s="110"/>
      <c r="E43" s="110"/>
      <c r="F43" s="110"/>
      <c r="G43" s="110"/>
      <c r="H43" s="110"/>
      <c r="I43" s="110"/>
      <c r="J43" s="110"/>
      <c r="K43" s="110">
        <f>(monthly_data!$CA453)*42/1000</f>
        <v>221.63399999999999</v>
      </c>
      <c r="L43" s="110">
        <f>(monthly_data!$CA465)*42/1000</f>
        <v>204.41399999999999</v>
      </c>
      <c r="M43" s="110">
        <f>(monthly_data!$CA477)*42/1000</f>
        <v>151.95599999999999</v>
      </c>
      <c r="N43" s="110">
        <f>(monthly_data!CA489)*42/1000</f>
        <v>139.398</v>
      </c>
      <c r="O43" s="110">
        <f>(monthly_data!CA501)*42/1000</f>
        <v>167.328</v>
      </c>
      <c r="P43" s="110">
        <f>(monthly_data!CA513)*42/1000</f>
        <v>185.76599999999999</v>
      </c>
      <c r="Q43" s="110">
        <f>(monthly_data!CA525)*42/1000</f>
        <v>159.726</v>
      </c>
      <c r="R43" s="110">
        <f>(monthly_data!CA537)*42/1000</f>
        <v>148.76400000000001</v>
      </c>
      <c r="S43" s="110">
        <f>monthly_data!$CA549*42/1000</f>
        <v>187.404</v>
      </c>
      <c r="T43" s="110">
        <f>monthly_data!$CA561*42/1000</f>
        <v>226.38</v>
      </c>
      <c r="U43" s="110">
        <f>monthly_data!$CA573*42/1000</f>
        <v>150.48599999999999</v>
      </c>
      <c r="V43" s="110">
        <f>monthly_data!$CA585*42/1000</f>
        <v>214.32599999999999</v>
      </c>
      <c r="W43" s="110">
        <f>monthly_data!$CA597*42/1000</f>
        <v>220.92</v>
      </c>
      <c r="X43" s="110">
        <f>monthly_data!$CA609*42/1000</f>
        <v>155.61000000000001</v>
      </c>
      <c r="Y43" s="135">
        <f t="shared" si="42"/>
        <v>148.14086144287052</v>
      </c>
      <c r="Z43" s="135">
        <f t="shared" si="39"/>
        <v>155.52475975609545</v>
      </c>
      <c r="AA43" s="135">
        <f t="shared" si="40"/>
        <v>177.40510914344378</v>
      </c>
      <c r="AB43" s="135">
        <f t="shared" si="41"/>
        <v>203.35995817326062</v>
      </c>
      <c r="AC43" s="135">
        <f t="shared" si="41"/>
        <v>208.91512856006085</v>
      </c>
      <c r="AD43" s="135">
        <f t="shared" si="41"/>
        <v>223.33645426893281</v>
      </c>
      <c r="AE43" s="135">
        <f t="shared" si="41"/>
        <v>238.41019320659532</v>
      </c>
      <c r="AF43" s="135">
        <f t="shared" si="41"/>
        <v>255.34651909984268</v>
      </c>
      <c r="AG43" s="135">
        <f t="shared" si="41"/>
        <v>271.04838079408614</v>
      </c>
      <c r="AH43" s="135">
        <f t="shared" si="41"/>
        <v>284.30096053326054</v>
      </c>
    </row>
    <row r="44" spans="1:40">
      <c r="A44" s="87" t="s">
        <v>174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>
        <f>(monthly_data!$CA454)*42/1000</f>
        <v>320.58600000000001</v>
      </c>
      <c r="L44" s="110">
        <f>(monthly_data!$CA466)*42/1000</f>
        <v>192.40199999999999</v>
      </c>
      <c r="M44" s="110">
        <f>(monthly_data!$CA478)*42/1000</f>
        <v>145.27799999999999</v>
      </c>
      <c r="N44" s="110">
        <f>(monthly_data!CA490)*42/1000</f>
        <v>160.10400000000001</v>
      </c>
      <c r="O44" s="110">
        <f>(monthly_data!CA502)*42/1000</f>
        <v>186.22800000000001</v>
      </c>
      <c r="P44" s="110">
        <f>(monthly_data!CA514)*42/1000</f>
        <v>182.11199999999999</v>
      </c>
      <c r="Q44" s="110">
        <f>(monthly_data!CA526)*42/1000</f>
        <v>213.024</v>
      </c>
      <c r="R44" s="110">
        <f>(monthly_data!CA538)*42/1000</f>
        <v>149.982</v>
      </c>
      <c r="S44" s="110">
        <f>monthly_data!$CA550*42/1000</f>
        <v>229.19399999999999</v>
      </c>
      <c r="T44" s="110">
        <f>monthly_data!$CA562*42/1000</f>
        <v>200.214</v>
      </c>
      <c r="U44" s="110">
        <f>monthly_data!$CA574*42/1000</f>
        <v>189.29400000000001</v>
      </c>
      <c r="V44" s="110">
        <f>monthly_data!$CA586*42/1000</f>
        <v>334.06799999999998</v>
      </c>
      <c r="W44" s="110">
        <f>monthly_data!$CA598*42/1000</f>
        <v>229.19399999999999</v>
      </c>
      <c r="X44" s="110">
        <f>monthly_data!$CA610*42/1000</f>
        <v>173.79599999999999</v>
      </c>
      <c r="Y44" s="135">
        <f t="shared" si="42"/>
        <v>172.45702558405088</v>
      </c>
      <c r="Z44" s="135">
        <f t="shared" si="39"/>
        <v>192.12512925159362</v>
      </c>
      <c r="AA44" s="135">
        <f t="shared" si="40"/>
        <v>218.48168593562411</v>
      </c>
      <c r="AB44" s="135">
        <f t="shared" si="41"/>
        <v>233.81960943033016</v>
      </c>
      <c r="AC44" s="135">
        <f t="shared" si="41"/>
        <v>246.37845229423857</v>
      </c>
      <c r="AD44" s="135">
        <f t="shared" si="41"/>
        <v>265.81547562395934</v>
      </c>
      <c r="AE44" s="135">
        <f t="shared" si="41"/>
        <v>284.70654831649136</v>
      </c>
      <c r="AF44" s="135">
        <f t="shared" si="41"/>
        <v>303.37757310301345</v>
      </c>
      <c r="AG44" s="135">
        <f t="shared" si="41"/>
        <v>320.18343810432793</v>
      </c>
      <c r="AH44" s="135">
        <f t="shared" si="41"/>
        <v>337.35960326748227</v>
      </c>
    </row>
    <row r="45" spans="1:40">
      <c r="A45" s="87" t="s">
        <v>175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>
        <f>(monthly_data!$CA455)*42/1000</f>
        <v>238.56</v>
      </c>
      <c r="L45" s="110">
        <f>(monthly_data!$CA467)*42/1000</f>
        <v>225.75</v>
      </c>
      <c r="M45" s="110">
        <f>(monthly_data!$CA479)*42/1000</f>
        <v>108.024</v>
      </c>
      <c r="N45" s="110">
        <f>(monthly_data!CA491)*42/1000</f>
        <v>166.36199999999999</v>
      </c>
      <c r="O45" s="110">
        <f>(monthly_data!CA503)*42/1000</f>
        <v>158.256</v>
      </c>
      <c r="P45" s="110">
        <f>(monthly_data!CA515)*42/1000</f>
        <v>129.696</v>
      </c>
      <c r="Q45" s="110">
        <f>(monthly_data!CA527)*42/1000</f>
        <v>189.16800000000001</v>
      </c>
      <c r="R45" s="110">
        <f>(monthly_data!CA539)*42/1000</f>
        <v>151.03200000000001</v>
      </c>
      <c r="S45" s="110">
        <f>monthly_data!$CA551*42/1000</f>
        <v>216.17400000000001</v>
      </c>
      <c r="T45" s="110">
        <f>monthly_data!$CA563*42/1000</f>
        <v>148.512</v>
      </c>
      <c r="U45" s="110">
        <f>monthly_data!$CA575*42/1000</f>
        <v>226.548</v>
      </c>
      <c r="V45" s="110">
        <f>monthly_data!$CA587*42/1000</f>
        <v>282.74400000000003</v>
      </c>
      <c r="W45" s="110">
        <f>monthly_data!$CA599*42/1000</f>
        <v>159.81</v>
      </c>
      <c r="X45" s="110">
        <f>monthly_data!$CA611*42/1000</f>
        <v>149.77199999999999</v>
      </c>
      <c r="Y45" s="135">
        <f t="shared" si="42"/>
        <v>148.08942587620487</v>
      </c>
      <c r="Z45" s="135">
        <f t="shared" si="39"/>
        <v>169.07212159026719</v>
      </c>
      <c r="AA45" s="135">
        <f t="shared" si="40"/>
        <v>180.37321155706792</v>
      </c>
      <c r="AB45" s="135">
        <f t="shared" si="41"/>
        <v>191.38886494468275</v>
      </c>
      <c r="AC45" s="135">
        <f t="shared" si="41"/>
        <v>208.58061579574689</v>
      </c>
      <c r="AD45" s="135">
        <f t="shared" si="41"/>
        <v>224.37605994099241</v>
      </c>
      <c r="AE45" s="135">
        <f t="shared" si="41"/>
        <v>239.70236894246327</v>
      </c>
      <c r="AF45" s="135">
        <f t="shared" si="41"/>
        <v>253.64512942966007</v>
      </c>
      <c r="AG45" s="135">
        <f t="shared" si="41"/>
        <v>268.24632937285088</v>
      </c>
      <c r="AH45" s="135">
        <f t="shared" si="41"/>
        <v>283.70574457690697</v>
      </c>
    </row>
    <row r="46" spans="1:40">
      <c r="A46" s="87" t="s">
        <v>176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>
        <f>(monthly_data!$CA456)*42/1000</f>
        <v>212.85599999999999</v>
      </c>
      <c r="L46" s="110">
        <f>(monthly_data!$CA468)*42/1000</f>
        <v>166.572</v>
      </c>
      <c r="M46" s="110">
        <f>(monthly_data!$CA480)*42/1000</f>
        <v>114.324</v>
      </c>
      <c r="N46" s="110">
        <f>(monthly_data!CA492)*42/1000</f>
        <v>167.202</v>
      </c>
      <c r="O46" s="110">
        <f>(monthly_data!CA504)*42/1000</f>
        <v>156.53399999999999</v>
      </c>
      <c r="P46" s="110">
        <f>(monthly_data!CA516)*42/1000</f>
        <v>131.376</v>
      </c>
      <c r="Q46" s="110">
        <f>(monthly_data!CA528)*42/1000</f>
        <v>97.397999999999996</v>
      </c>
      <c r="R46" s="110">
        <f>(monthly_data!CA540)*42/1000</f>
        <v>173.83799999999999</v>
      </c>
      <c r="S46" s="110">
        <f>monthly_data!$CA552*42/1000</f>
        <v>210.042</v>
      </c>
      <c r="T46" s="110">
        <f>monthly_data!$CA564*42/1000</f>
        <v>241.75200000000001</v>
      </c>
      <c r="U46" s="110">
        <f>monthly_data!$CA576*42/1000</f>
        <v>364.56</v>
      </c>
      <c r="V46" s="110">
        <f>monthly_data!$CA588*42/1000</f>
        <v>378.33600000000001</v>
      </c>
      <c r="W46" s="110">
        <f>monthly_data!$CA600*42/1000</f>
        <v>137.42400000000001</v>
      </c>
      <c r="X46" s="110">
        <f>monthly_data!$CA612*42/1000</f>
        <v>137.71799999999999</v>
      </c>
      <c r="Y46" s="135">
        <f t="shared" si="42"/>
        <v>192.85122776697634</v>
      </c>
      <c r="Z46" s="135">
        <f t="shared" si="39"/>
        <v>211.72218645586409</v>
      </c>
      <c r="AA46" s="135">
        <f t="shared" si="40"/>
        <v>209.83699238928469</v>
      </c>
      <c r="AB46" s="135">
        <f t="shared" si="41"/>
        <v>210.93655100939375</v>
      </c>
      <c r="AC46" s="135">
        <f t="shared" si="41"/>
        <v>239.51082630140476</v>
      </c>
      <c r="AD46" s="135">
        <f t="shared" si="41"/>
        <v>266.21444598073089</v>
      </c>
      <c r="AE46" s="135">
        <f t="shared" si="41"/>
        <v>280.17747744902852</v>
      </c>
      <c r="AF46" s="135">
        <f t="shared" si="41"/>
        <v>293.04995690296181</v>
      </c>
      <c r="AG46" s="135">
        <f t="shared" si="41"/>
        <v>309.57342183444473</v>
      </c>
      <c r="AH46" s="135">
        <f t="shared" si="41"/>
        <v>329.77495551128555</v>
      </c>
    </row>
    <row r="47" spans="1:40">
      <c r="A47" s="87" t="s">
        <v>177</v>
      </c>
      <c r="B47" s="110"/>
      <c r="C47" s="110"/>
      <c r="D47" s="110"/>
      <c r="E47" s="110"/>
      <c r="F47" s="110"/>
      <c r="G47" s="110"/>
      <c r="H47" s="110"/>
      <c r="I47" s="110"/>
      <c r="J47" s="110"/>
      <c r="K47" s="110">
        <f>(monthly_data!$CA457)*42/1000</f>
        <v>223.90199999999999</v>
      </c>
      <c r="L47" s="110">
        <f>(monthly_data!$CA469)*42/1000</f>
        <v>174.09</v>
      </c>
      <c r="M47" s="110">
        <f>(monthly_data!$CA481)*42/1000</f>
        <v>237.3</v>
      </c>
      <c r="N47" s="110">
        <f>(monthly_data!CA493)*42/1000</f>
        <v>182.154</v>
      </c>
      <c r="O47" s="110">
        <f>(monthly_data!CA505)*42/1000</f>
        <v>171.864</v>
      </c>
      <c r="P47" s="110">
        <f>(monthly_data!CA517)*42/1000</f>
        <v>189.37799999999999</v>
      </c>
      <c r="Q47" s="110">
        <f>(monthly_data!CA529)*42/1000</f>
        <v>182.11199999999999</v>
      </c>
      <c r="R47" s="110">
        <f>(monthly_data!CA541)*42/1000</f>
        <v>226.8</v>
      </c>
      <c r="S47" s="110">
        <f>monthly_data!$CA553*42/1000</f>
        <v>285.55799999999999</v>
      </c>
      <c r="T47" s="110">
        <f>monthly_data!$CA565*42/1000</f>
        <v>325.62599999999998</v>
      </c>
      <c r="U47" s="110">
        <f>monthly_data!$CA577*42/1000</f>
        <v>384.25799999999998</v>
      </c>
      <c r="V47" s="110">
        <f>monthly_data!$CA589*42/1000</f>
        <v>416.05200000000002</v>
      </c>
      <c r="W47" s="110">
        <f>monthly_data!$CA601*42/1000</f>
        <v>286.81799999999998</v>
      </c>
      <c r="X47" s="110">
        <f>monthly_data!$CA613*42/1000</f>
        <v>162.45599999999999</v>
      </c>
      <c r="Y47" s="135">
        <f t="shared" si="42"/>
        <v>241.13636597434393</v>
      </c>
      <c r="Z47" s="135">
        <f t="shared" si="39"/>
        <v>260.6502461504362</v>
      </c>
      <c r="AA47" s="135">
        <f t="shared" si="40"/>
        <v>271.1312464871425</v>
      </c>
      <c r="AB47" s="135">
        <f t="shared" si="41"/>
        <v>289.81421826423241</v>
      </c>
      <c r="AC47" s="135">
        <f t="shared" si="41"/>
        <v>304.69991286149576</v>
      </c>
      <c r="AD47" s="135">
        <f t="shared" si="41"/>
        <v>341.85799743441271</v>
      </c>
      <c r="AE47" s="135">
        <f t="shared" si="41"/>
        <v>361.39166060251557</v>
      </c>
      <c r="AF47" s="135">
        <f t="shared" si="41"/>
        <v>381.01736580066546</v>
      </c>
      <c r="AG47" s="135">
        <f t="shared" si="41"/>
        <v>402.90747719119724</v>
      </c>
      <c r="AH47" s="135">
        <f t="shared" si="41"/>
        <v>425.57017329894308</v>
      </c>
    </row>
    <row r="48" spans="1:40">
      <c r="A48" s="87" t="s">
        <v>178</v>
      </c>
      <c r="B48" s="110"/>
      <c r="C48" s="110"/>
      <c r="D48" s="110"/>
      <c r="E48" s="110"/>
      <c r="F48" s="110"/>
      <c r="G48" s="110"/>
      <c r="H48" s="110"/>
      <c r="I48" s="110"/>
      <c r="J48" s="110"/>
      <c r="K48" s="110">
        <f>(monthly_data!$CA458)*42/1000</f>
        <v>285.05399999999997</v>
      </c>
      <c r="L48" s="110">
        <f>(monthly_data!$CA470)*42/1000</f>
        <v>227.22</v>
      </c>
      <c r="M48" s="110">
        <f>(monthly_data!$CA482)*42/1000</f>
        <v>246.96</v>
      </c>
      <c r="N48" s="110">
        <f>(monthly_data!CA494)*42/1000</f>
        <v>214.03200000000001</v>
      </c>
      <c r="O48" s="110">
        <f>(monthly_data!CA506)*42/1000</f>
        <v>319.24200000000002</v>
      </c>
      <c r="P48" s="110">
        <f>(monthly_data!CA518)*42/1000</f>
        <v>201.642</v>
      </c>
      <c r="Q48" s="110">
        <f>(monthly_data!CA530)*42/1000</f>
        <v>217.476</v>
      </c>
      <c r="R48" s="110">
        <f>(monthly_data!CA542)*42/1000</f>
        <v>367.416</v>
      </c>
      <c r="S48" s="110">
        <f>monthly_data!$CA554*42/1000</f>
        <v>246.75</v>
      </c>
      <c r="T48" s="110">
        <f>monthly_data!$CA566*42/1000</f>
        <v>383.54399999999998</v>
      </c>
      <c r="U48" s="110">
        <f>monthly_data!$CA578*42/1000</f>
        <v>603.58199999999999</v>
      </c>
      <c r="V48" s="110">
        <f>monthly_data!$CA590*42/1000</f>
        <v>379.596</v>
      </c>
      <c r="W48" s="110">
        <f>monthly_data!$CA602*42/1000</f>
        <v>275.142</v>
      </c>
      <c r="X48" s="110">
        <f>monthly_data!$CA614*42/1000</f>
        <v>293.32799999999997</v>
      </c>
      <c r="Y48" s="135">
        <f>Y49-SUM(Y37:Y47)</f>
        <v>403.33161820407577</v>
      </c>
      <c r="Z48" s="135">
        <f t="shared" ref="Z48:AE48" si="43">Z49-SUM(Z37:Z47)</f>
        <v>341.82528818603987</v>
      </c>
      <c r="AA48" s="135">
        <f t="shared" si="43"/>
        <v>335.80674563203593</v>
      </c>
      <c r="AB48" s="135">
        <f t="shared" si="43"/>
        <v>391.12461850500995</v>
      </c>
      <c r="AC48" s="135">
        <f t="shared" si="43"/>
        <v>439.05274132721297</v>
      </c>
      <c r="AD48" s="135">
        <f t="shared" si="43"/>
        <v>477.78525296359385</v>
      </c>
      <c r="AE48" s="135">
        <f t="shared" si="43"/>
        <v>488.76175916649572</v>
      </c>
      <c r="AF48" s="135">
        <f>AF$49*(SUM(AA48:AE48)/SUM(AA$49:AE$49))</f>
        <v>517.90041427291317</v>
      </c>
      <c r="AG48" s="135">
        <f>AG$49*(SUM(AB48:AF48)/SUM(AB$49:AF$49))</f>
        <v>555.5099486964541</v>
      </c>
      <c r="AH48" s="135">
        <f>AH$49*(SUM(AC48:AG48)/SUM(AC$49:AG$49))</f>
        <v>588.76490265133407</v>
      </c>
    </row>
    <row r="49" spans="1:34">
      <c r="A49" s="109" t="s">
        <v>179</v>
      </c>
      <c r="B49" s="112"/>
      <c r="C49" s="112"/>
      <c r="D49" s="112"/>
      <c r="E49" s="112"/>
      <c r="F49" s="112"/>
      <c r="G49" s="112"/>
      <c r="H49" s="112"/>
      <c r="I49" s="112"/>
      <c r="J49" s="112"/>
      <c r="K49" s="112">
        <f t="shared" ref="K49:L49" si="44">SUM(K37:K48)</f>
        <v>3501.9180000000006</v>
      </c>
      <c r="L49" s="112">
        <f t="shared" si="44"/>
        <v>2739.828</v>
      </c>
      <c r="M49" s="112">
        <f t="shared" ref="M49:X49" si="45">SUM(M37:M48)</f>
        <v>1939.5180000000003</v>
      </c>
      <c r="N49" s="112">
        <f t="shared" si="45"/>
        <v>2371.5300000000002</v>
      </c>
      <c r="O49" s="112">
        <f t="shared" si="45"/>
        <v>2984.1</v>
      </c>
      <c r="P49" s="112">
        <f t="shared" si="45"/>
        <v>3073.4760000000006</v>
      </c>
      <c r="Q49" s="112">
        <f t="shared" si="45"/>
        <v>2252.9639999999999</v>
      </c>
      <c r="R49" s="112">
        <f t="shared" si="45"/>
        <v>2308.9499999999998</v>
      </c>
      <c r="S49" s="112">
        <f t="shared" si="45"/>
        <v>2678.2979999999998</v>
      </c>
      <c r="T49" s="112">
        <f t="shared" si="45"/>
        <v>3103.2119999999995</v>
      </c>
      <c r="U49" s="112">
        <f t="shared" si="45"/>
        <v>3351.1379999999995</v>
      </c>
      <c r="V49" s="112">
        <f t="shared" si="45"/>
        <v>4421.0039999999999</v>
      </c>
      <c r="W49" s="112">
        <f t="shared" si="45"/>
        <v>2882.3760000000002</v>
      </c>
      <c r="X49" s="112">
        <f t="shared" si="45"/>
        <v>2573.3820000000001</v>
      </c>
      <c r="Y49" s="136">
        <f t="shared" ref="Y49:AH49" si="46">Y6</f>
        <v>2500</v>
      </c>
      <c r="Z49" s="136">
        <f t="shared" si="46"/>
        <v>2750</v>
      </c>
      <c r="AA49" s="136">
        <f t="shared" si="46"/>
        <v>3000</v>
      </c>
      <c r="AB49" s="136">
        <f t="shared" si="46"/>
        <v>3250</v>
      </c>
      <c r="AC49" s="136">
        <f t="shared" si="46"/>
        <v>3500</v>
      </c>
      <c r="AD49" s="136">
        <f t="shared" si="46"/>
        <v>3750</v>
      </c>
      <c r="AE49" s="136">
        <f t="shared" si="46"/>
        <v>4000</v>
      </c>
      <c r="AF49" s="136">
        <f t="shared" si="46"/>
        <v>4250</v>
      </c>
      <c r="AG49" s="136">
        <f t="shared" si="46"/>
        <v>4500</v>
      </c>
      <c r="AH49" s="136">
        <f t="shared" si="46"/>
        <v>4750</v>
      </c>
    </row>
    <row r="51" spans="1:34" ht="15.75" thickBot="1">
      <c r="A51" s="118" t="s">
        <v>243</v>
      </c>
    </row>
    <row r="52" spans="1:34" ht="15.75" thickBot="1">
      <c r="A52" s="119"/>
      <c r="B52" s="104">
        <f>B36</f>
        <v>2001</v>
      </c>
      <c r="C52" s="104">
        <f t="shared" ref="C52:AH52" si="47">C36</f>
        <v>2002</v>
      </c>
      <c r="D52" s="104">
        <f t="shared" si="47"/>
        <v>2003</v>
      </c>
      <c r="E52" s="104">
        <f t="shared" si="47"/>
        <v>2004</v>
      </c>
      <c r="F52" s="104">
        <f t="shared" si="47"/>
        <v>2005</v>
      </c>
      <c r="G52" s="104">
        <f t="shared" si="47"/>
        <v>2006</v>
      </c>
      <c r="H52" s="104">
        <f t="shared" si="47"/>
        <v>2007</v>
      </c>
      <c r="I52" s="104">
        <f t="shared" si="47"/>
        <v>2008</v>
      </c>
      <c r="J52" s="104">
        <f t="shared" si="47"/>
        <v>2009</v>
      </c>
      <c r="K52" s="104">
        <f t="shared" si="47"/>
        <v>2010</v>
      </c>
      <c r="L52" s="104">
        <f t="shared" si="47"/>
        <v>2011</v>
      </c>
      <c r="M52" s="104">
        <f t="shared" si="47"/>
        <v>2012</v>
      </c>
      <c r="N52" s="104">
        <f t="shared" si="47"/>
        <v>2013</v>
      </c>
      <c r="O52" s="104">
        <f t="shared" si="47"/>
        <v>2014</v>
      </c>
      <c r="P52" s="104">
        <f t="shared" si="47"/>
        <v>2015</v>
      </c>
      <c r="Q52" s="104">
        <f t="shared" si="47"/>
        <v>2016</v>
      </c>
      <c r="R52" s="104">
        <f t="shared" si="47"/>
        <v>2017</v>
      </c>
      <c r="S52" s="104">
        <f t="shared" si="47"/>
        <v>2018</v>
      </c>
      <c r="T52" s="104">
        <f t="shared" si="47"/>
        <v>2019</v>
      </c>
      <c r="U52" s="104">
        <f t="shared" si="47"/>
        <v>2020</v>
      </c>
      <c r="V52" s="104">
        <f t="shared" si="47"/>
        <v>2021</v>
      </c>
      <c r="W52" s="104">
        <f t="shared" si="47"/>
        <v>2022</v>
      </c>
      <c r="X52" s="104">
        <f t="shared" si="47"/>
        <v>2023</v>
      </c>
      <c r="Y52" s="104">
        <f t="shared" si="47"/>
        <v>2024</v>
      </c>
      <c r="Z52" s="104">
        <f t="shared" si="47"/>
        <v>2025</v>
      </c>
      <c r="AA52" s="104">
        <f t="shared" si="47"/>
        <v>2026</v>
      </c>
      <c r="AB52" s="104">
        <f t="shared" si="47"/>
        <v>2027</v>
      </c>
      <c r="AC52" s="104">
        <f t="shared" si="47"/>
        <v>2028</v>
      </c>
      <c r="AD52" s="104">
        <f t="shared" si="47"/>
        <v>2029</v>
      </c>
      <c r="AE52" s="104">
        <f t="shared" si="47"/>
        <v>2030</v>
      </c>
      <c r="AF52" s="104">
        <f t="shared" si="47"/>
        <v>2031</v>
      </c>
      <c r="AG52" s="104">
        <f t="shared" si="47"/>
        <v>2032</v>
      </c>
      <c r="AH52" s="104">
        <f t="shared" si="47"/>
        <v>2033</v>
      </c>
    </row>
    <row r="53" spans="1:34">
      <c r="A53" s="138" t="s">
        <v>167</v>
      </c>
      <c r="B53" s="139">
        <f>monthly_data!$CC339*42/1000</f>
        <v>87.233999999999995</v>
      </c>
      <c r="C53" s="139">
        <f>monthly_data!$CC351*42/1000</f>
        <v>142.464</v>
      </c>
      <c r="D53" s="139">
        <f>monthly_data!$CC363*42/1000</f>
        <v>155.44200000000001</v>
      </c>
      <c r="E53" s="139">
        <f>monthly_data!$CC375*42/1000</f>
        <v>94.122</v>
      </c>
      <c r="F53" s="139">
        <f>monthly_data!$CC387*42/1000</f>
        <v>63.881999999999998</v>
      </c>
      <c r="G53" s="139">
        <f>monthly_data!$CC399*42/1000</f>
        <v>160.18799999999999</v>
      </c>
      <c r="H53" s="139">
        <f>monthly_data!$CC411*42/1000</f>
        <v>329.57400000000001</v>
      </c>
      <c r="I53" s="139">
        <f>monthly_data!$CC423*42/1000</f>
        <v>446.54399999999998</v>
      </c>
      <c r="J53" s="139">
        <f>monthly_data!$CC435*42/1000</f>
        <v>841.93200000000002</v>
      </c>
      <c r="K53" s="139">
        <f>monthly_data!$CC447*42/1000</f>
        <v>509.29199999999997</v>
      </c>
      <c r="L53" s="139">
        <f>monthly_data!$CC459*42/1000</f>
        <v>956.50800000000004</v>
      </c>
      <c r="M53" s="139">
        <f>monthly_data!$CC471*42/1000</f>
        <v>1136.058</v>
      </c>
      <c r="N53" s="139">
        <f>monthly_data!$CC483*42/1000</f>
        <v>1007.832</v>
      </c>
      <c r="O53" s="139">
        <f>monthly_data!$CC495*42/1000</f>
        <v>1390.1579999999999</v>
      </c>
      <c r="P53" s="139">
        <f>monthly_data!$CC507*42/1000</f>
        <v>1459.4159999999999</v>
      </c>
      <c r="Q53" s="139">
        <f>monthly_data!$CC519*42/1000</f>
        <v>1196.1179999999999</v>
      </c>
      <c r="R53" s="139">
        <f>monthly_data!$CC531*42/1000</f>
        <v>1504.7339999999999</v>
      </c>
      <c r="S53" s="139">
        <f>monthly_data!$CC543*42/1000</f>
        <v>1300.278</v>
      </c>
      <c r="T53" s="139">
        <f>monthly_data!$CC555*42/1000</f>
        <v>1666.0139999999999</v>
      </c>
      <c r="U53" s="139">
        <f>monthly_data!$CC567*42/1000</f>
        <v>1609.944</v>
      </c>
      <c r="V53" s="139">
        <f>monthly_data!$CC579*42/1000</f>
        <v>1173.8579999999999</v>
      </c>
      <c r="W53" s="139">
        <f>monthly_data!$CC591*42/1000</f>
        <v>1219.848</v>
      </c>
      <c r="X53" s="139">
        <f>monthly_data!$CC603*42/1000</f>
        <v>1223.712</v>
      </c>
      <c r="Y53" s="139">
        <f>monthly_data!$CC615*42/1000</f>
        <v>1336.7760000000001</v>
      </c>
      <c r="Z53" s="101"/>
      <c r="AA53" s="101"/>
      <c r="AB53" s="101"/>
      <c r="AC53" s="101"/>
      <c r="AD53" s="101"/>
      <c r="AE53" s="101"/>
      <c r="AF53" s="101"/>
      <c r="AG53" s="101"/>
      <c r="AH53" s="101"/>
    </row>
    <row r="54" spans="1:34">
      <c r="A54" s="138" t="s">
        <v>168</v>
      </c>
      <c r="B54" s="139">
        <f>monthly_data!$CC340*42/1000</f>
        <v>90.257999999999996</v>
      </c>
      <c r="C54" s="139">
        <f>monthly_data!$CC352*42/1000</f>
        <v>328.35599999999999</v>
      </c>
      <c r="D54" s="139">
        <f>monthly_data!$CC364*42/1000</f>
        <v>155.48400000000001</v>
      </c>
      <c r="E54" s="139">
        <f>monthly_data!$CC376*42/1000</f>
        <v>104.79</v>
      </c>
      <c r="F54" s="139">
        <f>monthly_data!$CC388*42/1000</f>
        <v>120.372</v>
      </c>
      <c r="G54" s="139">
        <f>monthly_data!$CC400*42/1000</f>
        <v>183.58199999999999</v>
      </c>
      <c r="H54" s="139">
        <f>monthly_data!$CC412*42/1000</f>
        <v>237.93</v>
      </c>
      <c r="I54" s="139">
        <f>monthly_data!$CC424*42/1000</f>
        <v>495.93599999999998</v>
      </c>
      <c r="J54" s="139">
        <f>monthly_data!$CC436*42/1000</f>
        <v>633.40200000000004</v>
      </c>
      <c r="K54" s="139">
        <f>monthly_data!$CC448*42/1000</f>
        <v>457.63200000000001</v>
      </c>
      <c r="L54" s="139">
        <f>monthly_data!$CC460*42/1000</f>
        <v>783.97199999999998</v>
      </c>
      <c r="M54" s="139">
        <f>monthly_data!$CC472*42/1000</f>
        <v>1128.96</v>
      </c>
      <c r="N54" s="139">
        <f>monthly_data!$CC484*42/1000</f>
        <v>979.81799999999998</v>
      </c>
      <c r="O54" s="139">
        <f>monthly_data!$CC496*42/1000</f>
        <v>1002.54</v>
      </c>
      <c r="P54" s="139">
        <f>monthly_data!$CC508*42/1000</f>
        <v>1109.22</v>
      </c>
      <c r="Q54" s="139">
        <f>monthly_data!$CC520*42/1000</f>
        <v>1091.2439999999999</v>
      </c>
      <c r="R54" s="139">
        <f>monthly_data!$CC532*42/1000</f>
        <v>1454.376</v>
      </c>
      <c r="S54" s="139">
        <f>monthly_data!$CC544*42/1000</f>
        <v>1216.068</v>
      </c>
      <c r="T54" s="139">
        <f>monthly_data!$CC556*42/1000</f>
        <v>1364.328</v>
      </c>
      <c r="U54" s="139">
        <f>monthly_data!$CC568*42/1000</f>
        <v>1601.6279999999999</v>
      </c>
      <c r="V54" s="139">
        <f>monthly_data!$CC580*42/1000</f>
        <v>1037.19</v>
      </c>
      <c r="W54" s="139">
        <f>monthly_data!$CC592*42/1000</f>
        <v>1038.8699999999999</v>
      </c>
      <c r="X54" s="139">
        <f>monthly_data!$CC604*42/1000</f>
        <v>1073.8979999999999</v>
      </c>
      <c r="Y54" s="139">
        <f>monthly_data!$CC616*42/1000</f>
        <v>1157.604</v>
      </c>
      <c r="Z54" s="101"/>
      <c r="AA54" s="101"/>
      <c r="AB54" s="101"/>
      <c r="AC54" s="101"/>
      <c r="AD54" s="101"/>
      <c r="AE54" s="101"/>
      <c r="AF54" s="101"/>
      <c r="AG54" s="101"/>
      <c r="AH54" s="101"/>
    </row>
    <row r="55" spans="1:34">
      <c r="A55" s="138" t="s">
        <v>169</v>
      </c>
      <c r="B55" s="139">
        <f>monthly_data!$CC341*42/1000</f>
        <v>97.986000000000004</v>
      </c>
      <c r="C55" s="139">
        <f>monthly_data!$CC353*42/1000</f>
        <v>87.78</v>
      </c>
      <c r="D55" s="139">
        <f>monthly_data!$CC365*42/1000</f>
        <v>209.03399999999999</v>
      </c>
      <c r="E55" s="139">
        <f>monthly_data!$CC377*42/1000</f>
        <v>129.27600000000001</v>
      </c>
      <c r="F55" s="139">
        <f>monthly_data!$CC389*42/1000</f>
        <v>215.124</v>
      </c>
      <c r="G55" s="139">
        <f>monthly_data!$CC401*42/1000</f>
        <v>156.03</v>
      </c>
      <c r="H55" s="139">
        <f>monthly_data!$CC413*42/1000</f>
        <v>201.22200000000001</v>
      </c>
      <c r="I55" s="139">
        <f>monthly_data!$CC425*42/1000</f>
        <v>466.62</v>
      </c>
      <c r="J55" s="139">
        <f>monthly_data!$CC437*42/1000</f>
        <v>721.98</v>
      </c>
      <c r="K55" s="139">
        <f>monthly_data!$CC449*42/1000</f>
        <v>591.06600000000003</v>
      </c>
      <c r="L55" s="139">
        <f>monthly_data!$CC461*42/1000</f>
        <v>847.64400000000001</v>
      </c>
      <c r="M55" s="139">
        <f>monthly_data!$CC473*42/1000</f>
        <v>1186.2059999999999</v>
      </c>
      <c r="N55" s="139">
        <f>monthly_data!$CC485*42/1000</f>
        <v>1051.3440000000001</v>
      </c>
      <c r="O55" s="139">
        <f>monthly_data!$CC497*42/1000</f>
        <v>1320.144</v>
      </c>
      <c r="P55" s="139">
        <f>monthly_data!$CC509*42/1000</f>
        <v>1325.058</v>
      </c>
      <c r="Q55" s="139">
        <f>monthly_data!$CC521*42/1000</f>
        <v>1549.422</v>
      </c>
      <c r="R55" s="139">
        <f>monthly_data!$CC533*42/1000</f>
        <v>1552.5719999999999</v>
      </c>
      <c r="S55" s="139">
        <f>monthly_data!$CC545*42/1000</f>
        <v>1468.6559999999999</v>
      </c>
      <c r="T55" s="139">
        <f>monthly_data!$CC557*42/1000</f>
        <v>1526.8679999999999</v>
      </c>
      <c r="U55" s="139">
        <f>monthly_data!$CC569*42/1000</f>
        <v>1857.5340000000001</v>
      </c>
      <c r="V55" s="139">
        <f>monthly_data!$CC581*42/1000</f>
        <v>1101.4079999999999</v>
      </c>
      <c r="W55" s="139">
        <f>monthly_data!$CC593*42/1000</f>
        <v>1564.7940000000001</v>
      </c>
      <c r="X55" s="139">
        <f>monthly_data!$CC605*42/1000</f>
        <v>1486.086</v>
      </c>
      <c r="Y55" s="139">
        <f>monthly_data!$CC617*42/1000</f>
        <v>1467.3119999999999</v>
      </c>
      <c r="Z55" s="101"/>
      <c r="AA55" s="101"/>
      <c r="AB55" s="101"/>
      <c r="AC55" s="101"/>
      <c r="AD55" s="101"/>
      <c r="AE55" s="101"/>
      <c r="AF55" s="101"/>
      <c r="AG55" s="101"/>
      <c r="AH55" s="101"/>
    </row>
    <row r="56" spans="1:34">
      <c r="A56" s="138" t="s">
        <v>170</v>
      </c>
      <c r="B56" s="139">
        <f>monthly_data!$CC342*42/1000</f>
        <v>134.232</v>
      </c>
      <c r="C56" s="139">
        <f>monthly_data!$CC354*42/1000</f>
        <v>86.141999999999996</v>
      </c>
      <c r="D56" s="139">
        <f>monthly_data!$CC366*42/1000</f>
        <v>175.18199999999999</v>
      </c>
      <c r="E56" s="139">
        <f>monthly_data!$CC378*42/1000</f>
        <v>115.33199999999999</v>
      </c>
      <c r="F56" s="139">
        <f>monthly_data!$CC390*42/1000</f>
        <v>241.542</v>
      </c>
      <c r="G56" s="139">
        <f>monthly_data!$CC402*42/1000</f>
        <v>252.042</v>
      </c>
      <c r="H56" s="139">
        <f>monthly_data!$CC414*42/1000</f>
        <v>210.672</v>
      </c>
      <c r="I56" s="139">
        <f>monthly_data!$CC426*42/1000</f>
        <v>595.09799999999996</v>
      </c>
      <c r="J56" s="139">
        <f>monthly_data!$CC438*42/1000</f>
        <v>862.30200000000002</v>
      </c>
      <c r="K56" s="139">
        <f>monthly_data!$CC450*42/1000</f>
        <v>863.18399999999997</v>
      </c>
      <c r="L56" s="139">
        <f>monthly_data!$CC462*42/1000</f>
        <v>1100.0219999999999</v>
      </c>
      <c r="M56" s="139">
        <f>monthly_data!$CC474*42/1000</f>
        <v>1358.5319999999999</v>
      </c>
      <c r="N56" s="139">
        <f>monthly_data!$CC486*42/1000</f>
        <v>1062.4739999999999</v>
      </c>
      <c r="O56" s="139">
        <f>monthly_data!$CC498*42/1000</f>
        <v>1463.7</v>
      </c>
      <c r="P56" s="139">
        <f>monthly_data!$CC510*42/1000</f>
        <v>1536.15</v>
      </c>
      <c r="Q56" s="139">
        <f>monthly_data!$CC522*42/1000</f>
        <v>1615.992</v>
      </c>
      <c r="R56" s="139">
        <f>monthly_data!$CC534*42/1000</f>
        <v>1707.4259999999999</v>
      </c>
      <c r="S56" s="139">
        <f>monthly_data!$CC546*42/1000</f>
        <v>1844.598</v>
      </c>
      <c r="T56" s="139">
        <f>monthly_data!$CC558*42/1000</f>
        <v>1589.1959999999999</v>
      </c>
      <c r="U56" s="139">
        <f>monthly_data!$CC570*42/1000</f>
        <v>1315.9860000000001</v>
      </c>
      <c r="V56" s="139">
        <f>monthly_data!$CC582*42/1000</f>
        <v>1311.492</v>
      </c>
      <c r="W56" s="139">
        <f>monthly_data!$CC594*42/1000</f>
        <v>1596.63</v>
      </c>
      <c r="X56" s="139">
        <f>monthly_data!$CC606*42/1000</f>
        <v>1285.0740000000001</v>
      </c>
      <c r="Y56" s="139">
        <f>monthly_data!$CC618*42/1000</f>
        <v>1547.91</v>
      </c>
      <c r="Z56" s="101"/>
      <c r="AA56" s="101"/>
      <c r="AB56" s="101"/>
      <c r="AC56" s="101"/>
      <c r="AD56" s="101"/>
      <c r="AE56" s="101"/>
      <c r="AF56" s="101"/>
      <c r="AG56" s="101"/>
      <c r="AH56" s="101"/>
    </row>
    <row r="57" spans="1:34">
      <c r="A57" s="138" t="s">
        <v>171</v>
      </c>
      <c r="B57" s="139">
        <f>monthly_data!$CC343*42/1000</f>
        <v>189.63</v>
      </c>
      <c r="C57" s="139">
        <f>monthly_data!$CC355*42/1000</f>
        <v>95.843999999999994</v>
      </c>
      <c r="D57" s="139">
        <f>monthly_data!$CC367*42/1000</f>
        <v>210.50399999999999</v>
      </c>
      <c r="E57" s="139">
        <f>monthly_data!$CC379*42/1000</f>
        <v>130.41</v>
      </c>
      <c r="F57" s="139">
        <f>monthly_data!$CC391*42/1000</f>
        <v>258.762</v>
      </c>
      <c r="G57" s="139">
        <f>monthly_data!$CC403*42/1000</f>
        <v>297.77999999999997</v>
      </c>
      <c r="H57" s="139">
        <f>monthly_data!$CC415*42/1000</f>
        <v>295.17599999999999</v>
      </c>
      <c r="I57" s="139">
        <f>monthly_data!$CC427*42/1000</f>
        <v>643.69200000000001</v>
      </c>
      <c r="J57" s="139">
        <f>monthly_data!$CC439*42/1000</f>
        <v>844.15800000000002</v>
      </c>
      <c r="K57" s="139">
        <f>monthly_data!$CC451*42/1000</f>
        <v>983.976</v>
      </c>
      <c r="L57" s="139">
        <f>monthly_data!$CC463*42/1000</f>
        <v>947.89800000000002</v>
      </c>
      <c r="M57" s="139">
        <f>monthly_data!$CC475*42/1000</f>
        <v>1370.1659999999999</v>
      </c>
      <c r="N57" s="139">
        <f>monthly_data!$CC487*42/1000</f>
        <v>1462.566</v>
      </c>
      <c r="O57" s="139">
        <f>monthly_data!$CC499*42/1000</f>
        <v>1512.3779999999999</v>
      </c>
      <c r="P57" s="139">
        <f>monthly_data!$CC511*42/1000</f>
        <v>1667.1479999999999</v>
      </c>
      <c r="Q57" s="139">
        <f>monthly_data!$CC523*42/1000</f>
        <v>1608.0119999999999</v>
      </c>
      <c r="R57" s="139">
        <f>monthly_data!$CC535*42/1000</f>
        <v>1966.146</v>
      </c>
      <c r="S57" s="139">
        <f>monthly_data!$CC547*42/1000</f>
        <v>1786.134</v>
      </c>
      <c r="T57" s="139">
        <f>monthly_data!$CC559*42/1000</f>
        <v>1676.0940000000001</v>
      </c>
      <c r="U57" s="139">
        <f>monthly_data!$CC571*42/1000</f>
        <v>1040.424</v>
      </c>
      <c r="V57" s="139">
        <f>monthly_data!$CC583*42/1000</f>
        <v>1354.5840000000001</v>
      </c>
      <c r="W57" s="139">
        <f>monthly_data!$CC595*42/1000</f>
        <v>1538.3340000000001</v>
      </c>
      <c r="X57" s="139">
        <f>monthly_data!$CC607*42/1000</f>
        <v>1523.172</v>
      </c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</row>
    <row r="58" spans="1:34">
      <c r="A58" s="138" t="s">
        <v>172</v>
      </c>
      <c r="B58" s="139">
        <f>monthly_data!$CC344*42/1000</f>
        <v>151.74600000000001</v>
      </c>
      <c r="C58" s="139">
        <f>monthly_data!$CC356*42/1000</f>
        <v>116.80200000000001</v>
      </c>
      <c r="D58" s="139">
        <f>monthly_data!$CC368*42/1000</f>
        <v>126.92400000000001</v>
      </c>
      <c r="E58" s="139">
        <f>monthly_data!$CC380*42/1000</f>
        <v>206.01</v>
      </c>
      <c r="F58" s="139">
        <f>monthly_data!$CC392*42/1000</f>
        <v>286.14600000000002</v>
      </c>
      <c r="G58" s="139">
        <f>monthly_data!$CC404*42/1000</f>
        <v>235.15799999999999</v>
      </c>
      <c r="H58" s="139">
        <f>monthly_data!$CC416*42/1000</f>
        <v>316.72199999999998</v>
      </c>
      <c r="I58" s="139">
        <f>monthly_data!$CC428*42/1000</f>
        <v>939.28800000000001</v>
      </c>
      <c r="J58" s="139">
        <f>monthly_data!$CC440*42/1000</f>
        <v>728.78399999999999</v>
      </c>
      <c r="K58" s="139">
        <f>monthly_data!$CC452*42/1000</f>
        <v>804.42600000000004</v>
      </c>
      <c r="L58" s="139">
        <f>monthly_data!$CC464*42/1000</f>
        <v>914.38199999999995</v>
      </c>
      <c r="M58" s="139">
        <f>monthly_data!$CC476*42/1000</f>
        <v>1368.864</v>
      </c>
      <c r="N58" s="139">
        <f>monthly_data!$CC488*42/1000</f>
        <v>1628.3820000000001</v>
      </c>
      <c r="O58" s="139">
        <f>monthly_data!$CC500*42/1000</f>
        <v>1474.452</v>
      </c>
      <c r="P58" s="139">
        <f>monthly_data!$CC512*42/1000</f>
        <v>1524.306</v>
      </c>
      <c r="Q58" s="139">
        <f>monthly_data!$CC524*42/1000</f>
        <v>1818.39</v>
      </c>
      <c r="R58" s="139">
        <f>monthly_data!$CC536*42/1000</f>
        <v>2021.502</v>
      </c>
      <c r="S58" s="139">
        <f>monthly_data!$CC548*42/1000</f>
        <v>1848.672</v>
      </c>
      <c r="T58" s="139">
        <f>monthly_data!$CC560*42/1000</f>
        <v>1909.992</v>
      </c>
      <c r="U58" s="139">
        <f>monthly_data!$CC572*42/1000</f>
        <v>1644.636</v>
      </c>
      <c r="V58" s="139">
        <f>monthly_data!$CC584*42/1000</f>
        <v>1584.3240000000001</v>
      </c>
      <c r="W58" s="139">
        <f>monthly_data!$CC596*42/1000</f>
        <v>1524.768</v>
      </c>
      <c r="X58" s="139">
        <f>monthly_data!$CC608*42/1000</f>
        <v>1504.3140000000001</v>
      </c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</row>
    <row r="59" spans="1:34">
      <c r="A59" s="138" t="s">
        <v>173</v>
      </c>
      <c r="B59" s="139">
        <f>monthly_data!$CC345*42/1000</f>
        <v>146.958</v>
      </c>
      <c r="C59" s="139">
        <f>monthly_data!$CC357*42/1000</f>
        <v>57.834000000000003</v>
      </c>
      <c r="D59" s="139">
        <f>monthly_data!$CC369*42/1000</f>
        <v>134.02199999999999</v>
      </c>
      <c r="E59" s="139">
        <f>monthly_data!$CC381*42/1000</f>
        <v>147.54599999999999</v>
      </c>
      <c r="F59" s="139">
        <f>monthly_data!$CC393*42/1000</f>
        <v>246.12</v>
      </c>
      <c r="G59" s="139">
        <f>monthly_data!$CC405*42/1000</f>
        <v>300.846</v>
      </c>
      <c r="H59" s="139">
        <f>monthly_data!$CC417*42/1000</f>
        <v>318.48599999999999</v>
      </c>
      <c r="I59" s="139">
        <f>monthly_data!$CC429*42/1000</f>
        <v>936.68399999999997</v>
      </c>
      <c r="J59" s="139">
        <f>monthly_data!$CC441*42/1000</f>
        <v>809.63400000000001</v>
      </c>
      <c r="K59" s="139">
        <f>monthly_data!$CC453*42/1000</f>
        <v>1003.506</v>
      </c>
      <c r="L59" s="139">
        <f>monthly_data!$CC465*42/1000</f>
        <v>1237.4880000000001</v>
      </c>
      <c r="M59" s="139">
        <f>monthly_data!$CC477*42/1000</f>
        <v>1361.85</v>
      </c>
      <c r="N59" s="139">
        <f>monthly_data!$CC489*42/1000</f>
        <v>1758.5820000000001</v>
      </c>
      <c r="O59" s="139">
        <f>monthly_data!$CC501*42/1000</f>
        <v>1571.3040000000001</v>
      </c>
      <c r="P59" s="139">
        <f>monthly_data!$CC513*42/1000</f>
        <v>1729.3920000000001</v>
      </c>
      <c r="Q59" s="139">
        <f>monthly_data!$CC525*42/1000</f>
        <v>1761.9</v>
      </c>
      <c r="R59" s="139">
        <f>monthly_data!$CC537*42/1000</f>
        <v>2279.0459999999998</v>
      </c>
      <c r="S59" s="139">
        <f>monthly_data!$CC549*42/1000</f>
        <v>1695.7919999999999</v>
      </c>
      <c r="T59" s="139">
        <f>monthly_data!$CC561*42/1000</f>
        <v>1788.864</v>
      </c>
      <c r="U59" s="139">
        <f>monthly_data!$CC573*42/1000</f>
        <v>1785.84</v>
      </c>
      <c r="V59" s="139">
        <f>monthly_data!$CC585*42/1000</f>
        <v>1668.4079999999999</v>
      </c>
      <c r="W59" s="139">
        <f>monthly_data!$CC597*42/1000</f>
        <v>1994.6220000000001</v>
      </c>
      <c r="X59" s="139">
        <f>monthly_data!$CC609*42/1000</f>
        <v>1588.566</v>
      </c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</row>
    <row r="60" spans="1:34">
      <c r="A60" s="138" t="s">
        <v>174</v>
      </c>
      <c r="B60" s="139">
        <f>monthly_data!$CC346*42/1000</f>
        <v>181.65</v>
      </c>
      <c r="C60" s="139">
        <f>monthly_data!$CC358*42/1000</f>
        <v>154.77000000000001</v>
      </c>
      <c r="D60" s="139">
        <f>monthly_data!$CC370*42/1000</f>
        <v>104.202</v>
      </c>
      <c r="E60" s="139">
        <f>monthly_data!$CC382*42/1000</f>
        <v>156.744</v>
      </c>
      <c r="F60" s="139">
        <f>monthly_data!$CC394*42/1000</f>
        <v>212.60400000000001</v>
      </c>
      <c r="G60" s="139">
        <f>monthly_data!$CC406*42/1000</f>
        <v>248.136</v>
      </c>
      <c r="H60" s="139">
        <f>monthly_data!$CC418*42/1000</f>
        <v>409.45800000000003</v>
      </c>
      <c r="I60" s="139">
        <f>monthly_data!$CC430*42/1000</f>
        <v>1105.818</v>
      </c>
      <c r="J60" s="139">
        <f>monthly_data!$CC442*42/1000</f>
        <v>803.04</v>
      </c>
      <c r="K60" s="139">
        <f>monthly_data!$CC454*42/1000</f>
        <v>912.82799999999997</v>
      </c>
      <c r="L60" s="139">
        <f>monthly_data!$CC466*42/1000</f>
        <v>1087.212</v>
      </c>
      <c r="M60" s="139">
        <f>monthly_data!$CC478*42/1000</f>
        <v>1274.7840000000001</v>
      </c>
      <c r="N60" s="139">
        <f>monthly_data!$CC490*42/1000</f>
        <v>1703.0160000000001</v>
      </c>
      <c r="O60" s="139">
        <f>monthly_data!$CC502*42/1000</f>
        <v>1681.3440000000001</v>
      </c>
      <c r="P60" s="139">
        <f>monthly_data!$CC514*42/1000</f>
        <v>1388.1420000000001</v>
      </c>
      <c r="Q60" s="139">
        <f>monthly_data!$CC526*42/1000</f>
        <v>1577.394</v>
      </c>
      <c r="R60" s="139">
        <f>monthly_data!$CC538*42/1000</f>
        <v>1797.39</v>
      </c>
      <c r="S60" s="139">
        <f>monthly_data!$CC550*42/1000</f>
        <v>1663.41</v>
      </c>
      <c r="T60" s="139">
        <f>monthly_data!$CC562*42/1000</f>
        <v>1992.06</v>
      </c>
      <c r="U60" s="139">
        <f>monthly_data!$CC574*42/1000</f>
        <v>1752.0719999999999</v>
      </c>
      <c r="V60" s="139">
        <f>monthly_data!$CC586*42/1000</f>
        <v>1509.732</v>
      </c>
      <c r="W60" s="139">
        <f>monthly_data!$CC598*42/1000</f>
        <v>1771.8119999999999</v>
      </c>
      <c r="X60" s="139">
        <f>monthly_data!$CC610*42/1000</f>
        <v>1489.2360000000001</v>
      </c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</row>
    <row r="61" spans="1:34">
      <c r="A61" s="138" t="s">
        <v>175</v>
      </c>
      <c r="B61" s="139">
        <f>monthly_data!$CC347*42/1000</f>
        <v>190.97399999999999</v>
      </c>
      <c r="C61" s="139">
        <f>monthly_data!$CC359*42/1000</f>
        <v>159.55799999999999</v>
      </c>
      <c r="D61" s="139">
        <f>monthly_data!$CC371*42/1000</f>
        <v>53.802</v>
      </c>
      <c r="E61" s="139">
        <f>monthly_data!$CC383*42/1000</f>
        <v>110.586</v>
      </c>
      <c r="F61" s="139">
        <f>monthly_data!$CC395*42/1000</f>
        <v>135.786</v>
      </c>
      <c r="G61" s="139">
        <f>monthly_data!$CC407*42/1000</f>
        <v>574.22400000000005</v>
      </c>
      <c r="H61" s="139">
        <f>monthly_data!$CC419*42/1000</f>
        <v>350.49</v>
      </c>
      <c r="I61" s="139">
        <f>monthly_data!$CC431*42/1000</f>
        <v>393.96</v>
      </c>
      <c r="J61" s="139">
        <f>monthly_data!$CC443*42/1000</f>
        <v>765.19799999999998</v>
      </c>
      <c r="K61" s="139">
        <f>monthly_data!$CC455*42/1000</f>
        <v>963.31200000000001</v>
      </c>
      <c r="L61" s="139">
        <f>monthly_data!$CC467*42/1000</f>
        <v>1172.8499999999999</v>
      </c>
      <c r="M61" s="139">
        <f>monthly_data!$CC479*42/1000</f>
        <v>1264.1579999999999</v>
      </c>
      <c r="N61" s="139">
        <f>monthly_data!$CC491*42/1000</f>
        <v>1702.806</v>
      </c>
      <c r="O61" s="139">
        <f>monthly_data!$CC503*42/1000</f>
        <v>1382.1780000000001</v>
      </c>
      <c r="P61" s="139">
        <f>monthly_data!$CC515*42/1000</f>
        <v>1608.768</v>
      </c>
      <c r="Q61" s="139">
        <f>monthly_data!$CC527*42/1000</f>
        <v>1526.28</v>
      </c>
      <c r="R61" s="139">
        <f>monthly_data!$CC539*42/1000</f>
        <v>1507.17</v>
      </c>
      <c r="S61" s="139">
        <f>monthly_data!$CC551*42/1000</f>
        <v>1635.69</v>
      </c>
      <c r="T61" s="139">
        <f>monthly_data!$CC563*42/1000</f>
        <v>1798.0619999999999</v>
      </c>
      <c r="U61" s="139">
        <f>monthly_data!$CC575*42/1000</f>
        <v>1491.5039999999999</v>
      </c>
      <c r="V61" s="139">
        <f>monthly_data!$CC587*42/1000</f>
        <v>1174.53</v>
      </c>
      <c r="W61" s="139">
        <f>monthly_data!$CC599*42/1000</f>
        <v>1649.55</v>
      </c>
      <c r="X61" s="139">
        <f>monthly_data!$CC611*42/1000</f>
        <v>1317.162</v>
      </c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</row>
    <row r="62" spans="1:34">
      <c r="A62" s="138" t="s">
        <v>176</v>
      </c>
      <c r="B62" s="139">
        <f>monthly_data!$CC348*42/1000</f>
        <v>129.36000000000001</v>
      </c>
      <c r="C62" s="139">
        <f>monthly_data!$CC360*42/1000</f>
        <v>125.37</v>
      </c>
      <c r="D62" s="139">
        <f>monthly_data!$CC372*42/1000</f>
        <v>80.682000000000002</v>
      </c>
      <c r="E62" s="139">
        <f>monthly_data!$CC384*42/1000</f>
        <v>131.41800000000001</v>
      </c>
      <c r="F62" s="139">
        <f>monthly_data!$CC396*42/1000</f>
        <v>142.29599999999999</v>
      </c>
      <c r="G62" s="139">
        <f>monthly_data!$CC408*42/1000</f>
        <v>378.63</v>
      </c>
      <c r="H62" s="139">
        <f>monthly_data!$CC420*42/1000</f>
        <v>360.90600000000001</v>
      </c>
      <c r="I62" s="139">
        <f>monthly_data!$CC432*42/1000</f>
        <v>549.27599999999995</v>
      </c>
      <c r="J62" s="139">
        <f>monthly_data!$CC444*42/1000</f>
        <v>725.76</v>
      </c>
      <c r="K62" s="139">
        <f>monthly_data!$CC456*42/1000</f>
        <v>1138.4939999999999</v>
      </c>
      <c r="L62" s="139">
        <f>monthly_data!$CC468*42/1000</f>
        <v>1388.6880000000001</v>
      </c>
      <c r="M62" s="139">
        <f>monthly_data!$CC480*42/1000</f>
        <v>1363.7819999999999</v>
      </c>
      <c r="N62" s="139">
        <f>monthly_data!$CC492*42/1000</f>
        <v>1762.2360000000001</v>
      </c>
      <c r="O62" s="139">
        <f>monthly_data!$CC504*42/1000</f>
        <v>1209.7260000000001</v>
      </c>
      <c r="P62" s="139">
        <f>monthly_data!$CC516*42/1000</f>
        <v>1496.88</v>
      </c>
      <c r="Q62" s="139">
        <f>monthly_data!$CC528*42/1000</f>
        <v>1307.838</v>
      </c>
      <c r="R62" s="139">
        <f>monthly_data!$CC540*42/1000</f>
        <v>1839.768</v>
      </c>
      <c r="S62" s="139">
        <f>monthly_data!$CC552*42/1000</f>
        <v>1737.33</v>
      </c>
      <c r="T62" s="139">
        <f>monthly_data!$CC564*42/1000</f>
        <v>1568.7840000000001</v>
      </c>
      <c r="U62" s="139">
        <f>monthly_data!$CC576*42/1000</f>
        <v>1367.4780000000001</v>
      </c>
      <c r="V62" s="139">
        <f>monthly_data!$CC588*42/1000</f>
        <v>1337.952</v>
      </c>
      <c r="W62" s="139">
        <f>monthly_data!$CC600*42/1000</f>
        <v>1329.72</v>
      </c>
      <c r="X62" s="139">
        <f>monthly_data!$CC612*42/1000</f>
        <v>1389.9059999999999</v>
      </c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</row>
    <row r="63" spans="1:34">
      <c r="A63" s="138" t="s">
        <v>177</v>
      </c>
      <c r="B63" s="139">
        <f>monthly_data!$CC349*42/1000</f>
        <v>166.19399999999999</v>
      </c>
      <c r="C63" s="139">
        <f>monthly_data!$CC361*42/1000</f>
        <v>143.09399999999999</v>
      </c>
      <c r="D63" s="139">
        <f>monthly_data!$CC373*42/1000</f>
        <v>102.27</v>
      </c>
      <c r="E63" s="139">
        <f>monthly_data!$CC385*42/1000</f>
        <v>128.352</v>
      </c>
      <c r="F63" s="139">
        <f>monthly_data!$CC397*42/1000</f>
        <v>115.584</v>
      </c>
      <c r="G63" s="139">
        <f>monthly_data!$CC409*42/1000</f>
        <v>316.89</v>
      </c>
      <c r="H63" s="139">
        <f>monthly_data!$CC421*42/1000</f>
        <v>550.41</v>
      </c>
      <c r="I63" s="139">
        <f>monthly_data!$CC433*42/1000</f>
        <v>685.35599999999999</v>
      </c>
      <c r="J63" s="139">
        <f>monthly_data!$CC445*42/1000</f>
        <v>740.62800000000004</v>
      </c>
      <c r="K63" s="139">
        <f>monthly_data!$CC457*42/1000</f>
        <v>996.95399999999995</v>
      </c>
      <c r="L63" s="139">
        <f>monthly_data!$CC469*42/1000</f>
        <v>1188.0119999999999</v>
      </c>
      <c r="M63" s="139">
        <f>monthly_data!$CC481*42/1000</f>
        <v>1336.7760000000001</v>
      </c>
      <c r="N63" s="139">
        <f>monthly_data!$CC493*42/1000</f>
        <v>1597.2180000000001</v>
      </c>
      <c r="O63" s="139">
        <f>monthly_data!$CC505*42/1000</f>
        <v>1387.26</v>
      </c>
      <c r="P63" s="139">
        <f>monthly_data!$CC517*42/1000</f>
        <v>1484.3219999999999</v>
      </c>
      <c r="Q63" s="139">
        <f>monthly_data!$CC529*42/1000</f>
        <v>1467.354</v>
      </c>
      <c r="R63" s="139">
        <f>monthly_data!$CC541*42/1000</f>
        <v>1711.164</v>
      </c>
      <c r="S63" s="139">
        <f>monthly_data!$CC553*42/1000</f>
        <v>1753.5419999999999</v>
      </c>
      <c r="T63" s="139">
        <f>monthly_data!$CC565*42/1000</f>
        <v>1445.9760000000001</v>
      </c>
      <c r="U63" s="139">
        <f>monthly_data!$CC577*42/1000</f>
        <v>1253.616</v>
      </c>
      <c r="V63" s="139">
        <f>monthly_data!$CC589*42/1000</f>
        <v>1420.566</v>
      </c>
      <c r="W63" s="139">
        <f>monthly_data!$CC601*42/1000</f>
        <v>1473.4860000000001</v>
      </c>
      <c r="X63" s="139">
        <f>monthly_data!$CC613*42/1000</f>
        <v>1417.08</v>
      </c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</row>
    <row r="64" spans="1:34">
      <c r="A64" s="138" t="s">
        <v>178</v>
      </c>
      <c r="B64" s="139">
        <f>monthly_data!$CC350*42/1000</f>
        <v>262.54199999999997</v>
      </c>
      <c r="C64" s="139">
        <f>monthly_data!$CC362*42/1000</f>
        <v>222.97800000000001</v>
      </c>
      <c r="D64" s="139">
        <f>monthly_data!$CC374*42/1000</f>
        <v>129.61199999999999</v>
      </c>
      <c r="E64" s="139">
        <f>monthly_data!$CC386*42/1000</f>
        <v>229.65600000000001</v>
      </c>
      <c r="F64" s="139">
        <f>monthly_data!$CC398*42/1000</f>
        <v>84.126000000000005</v>
      </c>
      <c r="G64" s="139">
        <f>monthly_data!$CC410*42/1000</f>
        <v>193.78800000000001</v>
      </c>
      <c r="H64" s="139">
        <f>monthly_data!$CC422*42/1000</f>
        <v>523.44600000000003</v>
      </c>
      <c r="I64" s="139">
        <f>monthly_data!$CC434*42/1000</f>
        <v>863.52</v>
      </c>
      <c r="J64" s="139">
        <f>monthly_data!$CC446*42/1000</f>
        <v>528.40200000000004</v>
      </c>
      <c r="K64" s="139">
        <f>monthly_data!$CC458*42/1000</f>
        <v>831.22199999999998</v>
      </c>
      <c r="L64" s="139">
        <f>monthly_data!$CC470*42/1000</f>
        <v>1468.6980000000001</v>
      </c>
      <c r="M64" s="139">
        <f>monthly_data!$CC482*42/1000</f>
        <v>1332.4079999999999</v>
      </c>
      <c r="N64" s="139">
        <f>monthly_data!$CC494*42/1000</f>
        <v>1667.0219999999999</v>
      </c>
      <c r="O64" s="139">
        <f>monthly_data!$CC506*42/1000</f>
        <v>1483.6079999999999</v>
      </c>
      <c r="P64" s="139">
        <f>monthly_data!$CC518*42/1000</f>
        <v>1692.39</v>
      </c>
      <c r="Q64" s="139">
        <f>monthly_data!$CC530*42/1000</f>
        <v>1601.9639999999999</v>
      </c>
      <c r="R64" s="139">
        <f>monthly_data!$CC542*42/1000</f>
        <v>1833.2159999999999</v>
      </c>
      <c r="S64" s="139">
        <f>monthly_data!$CC554*42/1000</f>
        <v>1803.816</v>
      </c>
      <c r="T64" s="139">
        <f>monthly_data!$CC566*42/1000</f>
        <v>1693.2719999999999</v>
      </c>
      <c r="U64" s="139">
        <f>monthly_data!$CC578*42/1000</f>
        <v>1522.1220000000001</v>
      </c>
      <c r="V64" s="139">
        <f>monthly_data!$CC590*42/1000</f>
        <v>1719.9</v>
      </c>
      <c r="W64" s="139">
        <f>monthly_data!$CC602*42/1000</f>
        <v>1752.87</v>
      </c>
      <c r="X64" s="139">
        <f>monthly_data!$CC614*42/1000</f>
        <v>1704.066</v>
      </c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</row>
    <row r="65" spans="1:35" ht="15.75" thickBot="1">
      <c r="A65" s="138" t="s">
        <v>179</v>
      </c>
      <c r="B65" s="139">
        <f>SUM(B53:B64)</f>
        <v>1828.7639999999997</v>
      </c>
      <c r="C65" s="139">
        <f t="shared" ref="C65:X65" si="48">SUM(C53:C64)</f>
        <v>1720.9920000000002</v>
      </c>
      <c r="D65" s="139">
        <f t="shared" si="48"/>
        <v>1637.16</v>
      </c>
      <c r="E65" s="139">
        <f t="shared" si="48"/>
        <v>1684.242</v>
      </c>
      <c r="F65" s="139">
        <f t="shared" si="48"/>
        <v>2122.3440000000001</v>
      </c>
      <c r="G65" s="139">
        <f t="shared" si="48"/>
        <v>3297.2939999999999</v>
      </c>
      <c r="H65" s="139">
        <f t="shared" si="48"/>
        <v>4104.4920000000002</v>
      </c>
      <c r="I65" s="139">
        <f t="shared" si="48"/>
        <v>8121.7919999999995</v>
      </c>
      <c r="J65" s="139">
        <f t="shared" si="48"/>
        <v>9005.2200000000012</v>
      </c>
      <c r="K65" s="139">
        <f t="shared" si="48"/>
        <v>10055.892</v>
      </c>
      <c r="L65" s="139">
        <f t="shared" si="48"/>
        <v>13093.374000000002</v>
      </c>
      <c r="M65" s="139">
        <f t="shared" si="48"/>
        <v>15482.543999999998</v>
      </c>
      <c r="N65" s="139">
        <f t="shared" si="48"/>
        <v>17383.296000000002</v>
      </c>
      <c r="O65" s="139">
        <f t="shared" si="48"/>
        <v>16878.792000000001</v>
      </c>
      <c r="P65" s="139">
        <f t="shared" si="48"/>
        <v>18021.191999999999</v>
      </c>
      <c r="Q65" s="139">
        <f t="shared" si="48"/>
        <v>18121.907999999999</v>
      </c>
      <c r="R65" s="139">
        <f t="shared" si="48"/>
        <v>21174.51</v>
      </c>
      <c r="S65" s="139">
        <f t="shared" si="48"/>
        <v>19753.986000000001</v>
      </c>
      <c r="T65" s="139">
        <f t="shared" si="48"/>
        <v>20019.509999999998</v>
      </c>
      <c r="U65" s="139">
        <f t="shared" si="48"/>
        <v>18242.783999999996</v>
      </c>
      <c r="V65" s="139">
        <f t="shared" si="48"/>
        <v>16393.944</v>
      </c>
      <c r="W65" s="139">
        <f t="shared" si="48"/>
        <v>18455.303999999996</v>
      </c>
      <c r="X65" s="139">
        <f t="shared" si="48"/>
        <v>17002.272000000004</v>
      </c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</row>
    <row r="66" spans="1:35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1"/>
      <c r="Q66" s="141"/>
      <c r="R66" s="141"/>
      <c r="S66" s="141"/>
      <c r="T66" s="141"/>
      <c r="U66" s="141"/>
      <c r="V66" s="141"/>
      <c r="W66" s="141"/>
      <c r="X66" s="141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</row>
    <row r="67" spans="1:35" s="87" customFormat="1" ht="15.75" thickBot="1">
      <c r="A67" s="100" t="s">
        <v>244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98"/>
      <c r="Y67" s="98"/>
      <c r="Z67" s="98"/>
      <c r="AA67" s="98"/>
      <c r="AB67" s="98"/>
      <c r="AC67" s="98"/>
      <c r="AD67" s="102"/>
      <c r="AE67" s="102"/>
      <c r="AF67" s="102"/>
      <c r="AG67" s="102"/>
      <c r="AH67" s="102"/>
      <c r="AI67" s="113"/>
    </row>
    <row r="68" spans="1:35" s="100" customFormat="1" ht="15.75" thickBot="1">
      <c r="A68" s="103"/>
      <c r="B68" s="104">
        <v>2001</v>
      </c>
      <c r="C68" s="104">
        <v>2002</v>
      </c>
      <c r="D68" s="104">
        <v>2003</v>
      </c>
      <c r="E68" s="104">
        <v>2004</v>
      </c>
      <c r="F68" s="104">
        <v>2005</v>
      </c>
      <c r="G68" s="104">
        <v>2006</v>
      </c>
      <c r="H68" s="104">
        <v>2007</v>
      </c>
      <c r="I68" s="104">
        <v>2008</v>
      </c>
      <c r="J68" s="104">
        <v>2009</v>
      </c>
      <c r="K68" s="104">
        <v>2010</v>
      </c>
      <c r="L68" s="104">
        <f>L$2</f>
        <v>2011</v>
      </c>
      <c r="M68" s="104">
        <f t="shared" ref="M68:AH68" si="49">M$2</f>
        <v>2012</v>
      </c>
      <c r="N68" s="104">
        <f t="shared" si="49"/>
        <v>2013</v>
      </c>
      <c r="O68" s="104">
        <f t="shared" si="49"/>
        <v>2014</v>
      </c>
      <c r="P68" s="104">
        <f t="shared" si="49"/>
        <v>2015</v>
      </c>
      <c r="Q68" s="104">
        <f t="shared" si="49"/>
        <v>2016</v>
      </c>
      <c r="R68" s="104">
        <f t="shared" si="49"/>
        <v>2017</v>
      </c>
      <c r="S68" s="104">
        <f t="shared" si="49"/>
        <v>2018</v>
      </c>
      <c r="T68" s="104">
        <f t="shared" si="49"/>
        <v>2019</v>
      </c>
      <c r="U68" s="104">
        <f t="shared" si="49"/>
        <v>2020</v>
      </c>
      <c r="V68" s="104">
        <f t="shared" si="49"/>
        <v>2021</v>
      </c>
      <c r="W68" s="104">
        <f t="shared" si="49"/>
        <v>2022</v>
      </c>
      <c r="X68" s="104">
        <f t="shared" si="49"/>
        <v>2023</v>
      </c>
      <c r="Y68" s="104">
        <f t="shared" si="49"/>
        <v>2024</v>
      </c>
      <c r="Z68" s="104">
        <f t="shared" si="49"/>
        <v>2025</v>
      </c>
      <c r="AA68" s="104">
        <f t="shared" si="49"/>
        <v>2026</v>
      </c>
      <c r="AB68" s="104">
        <f t="shared" si="49"/>
        <v>2027</v>
      </c>
      <c r="AC68" s="104">
        <f t="shared" si="49"/>
        <v>2028</v>
      </c>
      <c r="AD68" s="104">
        <f t="shared" si="49"/>
        <v>2029</v>
      </c>
      <c r="AE68" s="104">
        <f t="shared" si="49"/>
        <v>2030</v>
      </c>
      <c r="AF68" s="104">
        <f t="shared" si="49"/>
        <v>2031</v>
      </c>
      <c r="AG68" s="104">
        <f t="shared" si="49"/>
        <v>2032</v>
      </c>
      <c r="AH68" s="104">
        <f t="shared" si="49"/>
        <v>2033</v>
      </c>
      <c r="AI68" s="102"/>
    </row>
    <row r="69" spans="1:35">
      <c r="A69" s="87" t="s">
        <v>167</v>
      </c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>
        <f>monthly_data!$BZ459*42/1000</f>
        <v>5153.3580000000002</v>
      </c>
      <c r="M69" s="106">
        <f>monthly_data!$BZ471*42/1000</f>
        <v>5026.9380000000001</v>
      </c>
      <c r="N69" s="106">
        <f>monthly_data!$BZ483*42/1000</f>
        <v>5288.4719999999998</v>
      </c>
      <c r="O69" s="106">
        <f>monthly_data!$BZ495*42/1000</f>
        <v>5650.68</v>
      </c>
      <c r="P69" s="106">
        <f>monthly_data!$BZ507*42/1000</f>
        <v>5449.8360000000002</v>
      </c>
      <c r="Q69" s="106">
        <f>monthly_data!$BZ519*42/1000</f>
        <v>5013.0360000000001</v>
      </c>
      <c r="R69" s="106">
        <f>monthly_data!$BZ531*42/1000</f>
        <v>4863.7259999999997</v>
      </c>
      <c r="S69" s="142">
        <f t="shared" ref="S69:Y69" si="50">R144+S21+S37-S117-S133</f>
        <v>5776.050000000002</v>
      </c>
      <c r="T69" s="110">
        <f t="shared" si="50"/>
        <v>5569.3680000000004</v>
      </c>
      <c r="U69" s="110">
        <f t="shared" si="50"/>
        <v>5168.0579999999991</v>
      </c>
      <c r="V69" s="110">
        <f t="shared" si="50"/>
        <v>5125.3439999999991</v>
      </c>
      <c r="W69" s="110">
        <f t="shared" si="50"/>
        <v>5375.6640000000016</v>
      </c>
      <c r="X69" s="110">
        <f t="shared" si="50"/>
        <v>5083.848</v>
      </c>
      <c r="Y69" s="110">
        <f t="shared" si="50"/>
        <v>5038.3620000000001</v>
      </c>
      <c r="Z69" s="135">
        <f t="shared" ref="Z69:Z80" si="51">Z$81*(SUM(U69:Y69)/SUM(U$81:Y$81))</f>
        <v>5268.5169200406071</v>
      </c>
      <c r="AA69" s="135">
        <f t="shared" ref="AA69:AA80" si="52">AA$81*(SUM(V69:Z69)/SUM(V$81:Z$81))</f>
        <v>5284.5562966733605</v>
      </c>
      <c r="AB69" s="135">
        <f t="shared" ref="AB69:AH80" si="53">AB$81*(SUM(W69:AA69)/SUM(W$81:AA$81))</f>
        <v>5346.2717025375032</v>
      </c>
      <c r="AC69" s="135">
        <f t="shared" si="53"/>
        <v>5354.2636096912865</v>
      </c>
      <c r="AD69" s="135">
        <f t="shared" si="53"/>
        <v>5380.8709311290231</v>
      </c>
      <c r="AE69" s="135">
        <f t="shared" si="53"/>
        <v>5428.4171761697726</v>
      </c>
      <c r="AF69" s="135">
        <f t="shared" si="53"/>
        <v>5469.3729580407198</v>
      </c>
      <c r="AG69" s="135">
        <f t="shared" si="53"/>
        <v>5438.0692364991455</v>
      </c>
      <c r="AH69" s="135">
        <f t="shared" si="53"/>
        <v>5439.2097925960088</v>
      </c>
    </row>
    <row r="70" spans="1:35">
      <c r="A70" s="87" t="s">
        <v>168</v>
      </c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>
        <f>monthly_data!$BZ460*42/1000</f>
        <v>4602.2340000000004</v>
      </c>
      <c r="M70" s="106">
        <f>monthly_data!$BZ472*42/1000</f>
        <v>4778.0460000000003</v>
      </c>
      <c r="N70" s="106">
        <f>monthly_data!$BZ484*42/1000</f>
        <v>4685.6459999999997</v>
      </c>
      <c r="O70" s="106">
        <f>monthly_data!$BZ496*42/1000</f>
        <v>4892.4539999999997</v>
      </c>
      <c r="P70" s="106">
        <f>monthly_data!$BZ508*42/1000</f>
        <v>5361.6779999999999</v>
      </c>
      <c r="Q70" s="106">
        <f>monthly_data!$BZ520*42/1000</f>
        <v>4867.2539999999999</v>
      </c>
      <c r="R70" s="106">
        <f>monthly_data!$BZ532*42/1000</f>
        <v>4627.3500000000004</v>
      </c>
      <c r="S70" s="110">
        <f t="shared" ref="S70:Y80" si="54">S133+S22+S38-S118-S134</f>
        <v>4611.9359999999997</v>
      </c>
      <c r="T70" s="110">
        <f t="shared" si="54"/>
        <v>4987.5000000000009</v>
      </c>
      <c r="U70" s="110">
        <f t="shared" si="54"/>
        <v>4883.3819999999987</v>
      </c>
      <c r="V70" s="110">
        <f t="shared" si="54"/>
        <v>4666.9559999999992</v>
      </c>
      <c r="W70" s="110">
        <f t="shared" si="54"/>
        <v>5132.9880000000003</v>
      </c>
      <c r="X70" s="110">
        <f t="shared" si="54"/>
        <v>4725.4620000000014</v>
      </c>
      <c r="Y70" s="110">
        <f t="shared" si="54"/>
        <v>4773.8879999999999</v>
      </c>
      <c r="Z70" s="135">
        <f t="shared" si="51"/>
        <v>4939.9199046165804</v>
      </c>
      <c r="AA70" s="135">
        <f t="shared" si="52"/>
        <v>4947.273362006641</v>
      </c>
      <c r="AB70" s="135">
        <f t="shared" si="53"/>
        <v>5031.9888593581245</v>
      </c>
      <c r="AC70" s="135">
        <f t="shared" si="53"/>
        <v>5024.4214217764529</v>
      </c>
      <c r="AD70" s="135">
        <f t="shared" si="53"/>
        <v>5058.6406832209959</v>
      </c>
      <c r="AE70" s="135">
        <f t="shared" si="53"/>
        <v>5095.7486227467316</v>
      </c>
      <c r="AF70" s="135">
        <f t="shared" si="53"/>
        <v>5135.3636591585082</v>
      </c>
      <c r="AG70" s="135">
        <f t="shared" si="53"/>
        <v>5108.9064582879009</v>
      </c>
      <c r="AH70" s="135">
        <f t="shared" si="53"/>
        <v>5108.1046652012474</v>
      </c>
    </row>
    <row r="71" spans="1:35">
      <c r="A71" s="87" t="s">
        <v>169</v>
      </c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>
        <f>monthly_data!$BZ461*42/1000</f>
        <v>5266.7160000000003</v>
      </c>
      <c r="M71" s="106">
        <f>monthly_data!$BZ473*42/1000</f>
        <v>4836.72</v>
      </c>
      <c r="N71" s="106">
        <f>monthly_data!$BZ485*42/1000</f>
        <v>4907.4059999999999</v>
      </c>
      <c r="O71" s="106">
        <f>monthly_data!$BZ497*42/1000</f>
        <v>5294.1419999999998</v>
      </c>
      <c r="P71" s="106">
        <f>monthly_data!$BZ509*42/1000</f>
        <v>5309.7659999999996</v>
      </c>
      <c r="Q71" s="106">
        <f>monthly_data!$BZ521*42/1000</f>
        <v>5138.9939999999997</v>
      </c>
      <c r="R71" s="106">
        <f>monthly_data!$BZ533*42/1000</f>
        <v>5372.8919999999998</v>
      </c>
      <c r="S71" s="110">
        <f t="shared" si="54"/>
        <v>5367.8940000000011</v>
      </c>
      <c r="T71" s="110">
        <f t="shared" si="54"/>
        <v>5350.17</v>
      </c>
      <c r="U71" s="110">
        <f t="shared" si="54"/>
        <v>5071.9619999999986</v>
      </c>
      <c r="V71" s="110">
        <f t="shared" si="54"/>
        <v>5308.3380000000006</v>
      </c>
      <c r="W71" s="110">
        <f t="shared" si="54"/>
        <v>5446.4339999999993</v>
      </c>
      <c r="X71" s="110">
        <f t="shared" si="54"/>
        <v>5342.4840000000013</v>
      </c>
      <c r="Y71" s="110">
        <f t="shared" si="54"/>
        <v>4783.1279999999988</v>
      </c>
      <c r="Z71" s="135">
        <f t="shared" si="51"/>
        <v>5301.4195193657024</v>
      </c>
      <c r="AA71" s="135">
        <f t="shared" si="52"/>
        <v>5343.7598937967105</v>
      </c>
      <c r="AB71" s="135">
        <f t="shared" si="53"/>
        <v>5380.3959287710477</v>
      </c>
      <c r="AC71" s="135">
        <f t="shared" si="53"/>
        <v>5380.9371180790886</v>
      </c>
      <c r="AD71" s="135">
        <f t="shared" si="53"/>
        <v>5359.9282295281346</v>
      </c>
      <c r="AE71" s="135">
        <f t="shared" si="53"/>
        <v>5455.3124119378053</v>
      </c>
      <c r="AF71" s="135">
        <f t="shared" si="53"/>
        <v>5495.0831508302308</v>
      </c>
      <c r="AG71" s="135">
        <f t="shared" si="53"/>
        <v>5456.7060552043131</v>
      </c>
      <c r="AH71" s="135">
        <f t="shared" si="53"/>
        <v>5454.6755191489756</v>
      </c>
    </row>
    <row r="72" spans="1:35">
      <c r="A72" s="87" t="s">
        <v>170</v>
      </c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>
        <f>monthly_data!$BZ462*42/1000</f>
        <v>4730.67</v>
      </c>
      <c r="M72" s="106">
        <f>monthly_data!$BZ474*42/1000</f>
        <v>4685.8559999999998</v>
      </c>
      <c r="N72" s="106">
        <f>monthly_data!$BZ486*42/1000</f>
        <v>4856.5020000000004</v>
      </c>
      <c r="O72" s="106">
        <f>monthly_data!$BZ498*42/1000</f>
        <v>5027.1899999999996</v>
      </c>
      <c r="P72" s="106">
        <f>monthly_data!$BZ510*42/1000</f>
        <v>5074.5240000000003</v>
      </c>
      <c r="Q72" s="106">
        <f>monthly_data!$BZ522*42/1000</f>
        <v>4786.5720000000001</v>
      </c>
      <c r="R72" s="106">
        <f>monthly_data!$BZ534*42/1000</f>
        <v>4741.17</v>
      </c>
      <c r="S72" s="110">
        <f t="shared" si="54"/>
        <v>5121.8580000000011</v>
      </c>
      <c r="T72" s="110">
        <f t="shared" si="54"/>
        <v>5102.16</v>
      </c>
      <c r="U72" s="110">
        <f t="shared" si="54"/>
        <v>4360.2299999999977</v>
      </c>
      <c r="V72" s="110">
        <f t="shared" si="54"/>
        <v>5100.8159999999998</v>
      </c>
      <c r="W72" s="110">
        <f t="shared" si="54"/>
        <v>5009.2559999999994</v>
      </c>
      <c r="X72" s="110">
        <f t="shared" si="54"/>
        <v>4914.2519999999986</v>
      </c>
      <c r="Y72" s="110">
        <f t="shared" si="54"/>
        <v>4788.7980000000007</v>
      </c>
      <c r="Z72" s="135">
        <f t="shared" si="51"/>
        <v>4938.0152430650369</v>
      </c>
      <c r="AA72" s="135">
        <f t="shared" si="52"/>
        <v>5051.757967227818</v>
      </c>
      <c r="AB72" s="135">
        <f t="shared" si="53"/>
        <v>5069.4520232683881</v>
      </c>
      <c r="AC72" s="135">
        <f t="shared" si="53"/>
        <v>5095.1509080699716</v>
      </c>
      <c r="AD72" s="135">
        <f t="shared" si="53"/>
        <v>5104.8285072830404</v>
      </c>
      <c r="AE72" s="135">
        <f t="shared" si="53"/>
        <v>5148.120149226449</v>
      </c>
      <c r="AF72" s="135">
        <f t="shared" si="53"/>
        <v>5198.8944851845899</v>
      </c>
      <c r="AG72" s="135">
        <f t="shared" si="53"/>
        <v>5163.3860915894638</v>
      </c>
      <c r="AH72" s="135">
        <f t="shared" si="53"/>
        <v>5165.8299615166416</v>
      </c>
    </row>
    <row r="73" spans="1:35">
      <c r="A73" s="87" t="s">
        <v>171</v>
      </c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>
        <f>monthly_data!$BZ463*42/1000</f>
        <v>4816.6019999999999</v>
      </c>
      <c r="M73" s="106">
        <f>monthly_data!$BZ475*42/1000</f>
        <v>4890.6899999999996</v>
      </c>
      <c r="N73" s="106">
        <f>monthly_data!$BZ487*42/1000</f>
        <v>4881.1980000000003</v>
      </c>
      <c r="O73" s="106">
        <f>monthly_data!$BZ499*42/1000</f>
        <v>5145</v>
      </c>
      <c r="P73" s="106">
        <f>monthly_data!$BZ511*42/1000</f>
        <v>4918.3680000000004</v>
      </c>
      <c r="Q73" s="106">
        <f>monthly_data!$BZ523*42/1000</f>
        <v>4859.0219999999999</v>
      </c>
      <c r="R73" s="106">
        <f>monthly_data!$BZ535*42/1000</f>
        <v>5149.4939999999997</v>
      </c>
      <c r="S73" s="110">
        <f t="shared" si="54"/>
        <v>5385.702000000002</v>
      </c>
      <c r="T73" s="110">
        <f t="shared" si="54"/>
        <v>5251.3019999999979</v>
      </c>
      <c r="U73" s="110">
        <f t="shared" si="54"/>
        <v>4400.3400000000029</v>
      </c>
      <c r="V73" s="110">
        <f t="shared" si="54"/>
        <v>5077.7580000000007</v>
      </c>
      <c r="W73" s="110">
        <f t="shared" si="54"/>
        <v>5046.0899999999983</v>
      </c>
      <c r="X73" s="110">
        <f t="shared" si="54"/>
        <v>5116.692</v>
      </c>
      <c r="Y73" s="135">
        <f t="shared" ref="Y73:Y80" si="55">Y$81*(SUM(T73:X73)/SUM(T$81:X$81))</f>
        <v>4952.5477022622554</v>
      </c>
      <c r="Z73" s="135">
        <f t="shared" si="51"/>
        <v>5023.8262725413069</v>
      </c>
      <c r="AA73" s="135">
        <f t="shared" si="52"/>
        <v>5146.8239552025198</v>
      </c>
      <c r="AB73" s="135">
        <f t="shared" si="53"/>
        <v>5189.2822877468816</v>
      </c>
      <c r="AC73" s="135">
        <f t="shared" si="53"/>
        <v>5232.3733863173748</v>
      </c>
      <c r="AD73" s="135">
        <f t="shared" si="53"/>
        <v>5227.9672246999044</v>
      </c>
      <c r="AE73" s="135">
        <f t="shared" si="53"/>
        <v>5262.4724407868343</v>
      </c>
      <c r="AF73" s="135">
        <f t="shared" si="53"/>
        <v>5319.2479175143426</v>
      </c>
      <c r="AG73" s="135">
        <f t="shared" si="53"/>
        <v>5287.3280138507025</v>
      </c>
      <c r="AH73" s="135">
        <f t="shared" si="53"/>
        <v>5290.2036348701404</v>
      </c>
    </row>
    <row r="74" spans="1:35">
      <c r="A74" s="87" t="s">
        <v>172</v>
      </c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>
        <f>monthly_data!$BZ464*42/1000</f>
        <v>4973.7659999999996</v>
      </c>
      <c r="M74" s="106">
        <f>monthly_data!$BZ476*42/1000</f>
        <v>4702.9080000000004</v>
      </c>
      <c r="N74" s="106">
        <f>monthly_data!$BZ488*42/1000</f>
        <v>4615.2120000000004</v>
      </c>
      <c r="O74" s="106">
        <f>monthly_data!$BZ500*42/1000</f>
        <v>4915.9740000000002</v>
      </c>
      <c r="P74" s="106">
        <f>monthly_data!$BZ512*42/1000</f>
        <v>4910.01</v>
      </c>
      <c r="Q74" s="106">
        <f>monthly_data!$BZ524*42/1000</f>
        <v>4854.4440000000004</v>
      </c>
      <c r="R74" s="106">
        <f>monthly_data!$BZ536*42/1000</f>
        <v>4994.0940000000001</v>
      </c>
      <c r="S74" s="110">
        <f t="shared" si="54"/>
        <v>4873.1339999999973</v>
      </c>
      <c r="T74" s="110">
        <f t="shared" si="54"/>
        <v>4938.8219999999983</v>
      </c>
      <c r="U74" s="110">
        <f t="shared" si="54"/>
        <v>4306.3859999999995</v>
      </c>
      <c r="V74" s="110">
        <f t="shared" si="54"/>
        <v>4971.4139999999998</v>
      </c>
      <c r="W74" s="110">
        <f t="shared" si="54"/>
        <v>5101.9080000000004</v>
      </c>
      <c r="X74" s="110">
        <f t="shared" si="54"/>
        <v>4987.7520000000004</v>
      </c>
      <c r="Y74" s="135">
        <f t="shared" si="55"/>
        <v>4835.9770577620884</v>
      </c>
      <c r="Z74" s="135">
        <f t="shared" si="51"/>
        <v>4944.1608729229765</v>
      </c>
      <c r="AA74" s="135">
        <f t="shared" si="52"/>
        <v>5070.14239604664</v>
      </c>
      <c r="AB74" s="135">
        <f t="shared" si="53"/>
        <v>5118.2667609964319</v>
      </c>
      <c r="AC74" s="135">
        <f t="shared" si="53"/>
        <v>5135.0737668307793</v>
      </c>
      <c r="AD74" s="135">
        <f t="shared" si="53"/>
        <v>5137.6652645218128</v>
      </c>
      <c r="AE74" s="135">
        <f t="shared" si="53"/>
        <v>5177.8979304291606</v>
      </c>
      <c r="AF74" s="135">
        <f t="shared" si="53"/>
        <v>5233.541772473689</v>
      </c>
      <c r="AG74" s="135">
        <f t="shared" si="53"/>
        <v>5200.8771169640795</v>
      </c>
      <c r="AH74" s="135">
        <f t="shared" si="53"/>
        <v>5200.9264871461346</v>
      </c>
    </row>
    <row r="75" spans="1:35">
      <c r="A75" s="87" t="s">
        <v>173</v>
      </c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>
        <f>monthly_data!$BZ465*42/1000</f>
        <v>4639.9080000000004</v>
      </c>
      <c r="M75" s="106">
        <f>monthly_data!$BZ477*42/1000</f>
        <v>4630.6679999999997</v>
      </c>
      <c r="N75" s="106">
        <f>monthly_data!$BZ489*42/1000</f>
        <v>4714.5420000000004</v>
      </c>
      <c r="O75" s="106">
        <f>monthly_data!$BZ501*42/1000</f>
        <v>5034.12</v>
      </c>
      <c r="P75" s="106">
        <f>monthly_data!$BZ513*42/1000</f>
        <v>5079.3540000000003</v>
      </c>
      <c r="Q75" s="106">
        <f>monthly_data!$BZ525*42/1000</f>
        <v>4683.7979999999998</v>
      </c>
      <c r="R75" s="106">
        <f>monthly_data!$BZ537*42/1000</f>
        <v>4741.6319999999996</v>
      </c>
      <c r="S75" s="110">
        <f t="shared" si="54"/>
        <v>5056.3380000000025</v>
      </c>
      <c r="T75" s="110">
        <f t="shared" si="54"/>
        <v>4991.1960000000008</v>
      </c>
      <c r="U75" s="110">
        <f t="shared" si="54"/>
        <v>4592.0700000000015</v>
      </c>
      <c r="V75" s="110">
        <f t="shared" si="54"/>
        <v>4784.0520000000015</v>
      </c>
      <c r="W75" s="110">
        <f t="shared" si="54"/>
        <v>4845.3720000000012</v>
      </c>
      <c r="X75" s="110">
        <f t="shared" si="54"/>
        <v>4749.1500000000005</v>
      </c>
      <c r="Y75" s="135">
        <f t="shared" si="55"/>
        <v>4767.4468889057562</v>
      </c>
      <c r="Z75" s="135">
        <f t="shared" si="51"/>
        <v>4849.102211835575</v>
      </c>
      <c r="AA75" s="135">
        <f t="shared" si="52"/>
        <v>4897.4539274047283</v>
      </c>
      <c r="AB75" s="135">
        <f t="shared" si="53"/>
        <v>4947.6406395388085</v>
      </c>
      <c r="AC75" s="135">
        <f t="shared" si="53"/>
        <v>4981.6766099832384</v>
      </c>
      <c r="AD75" s="135">
        <f t="shared" si="53"/>
        <v>5002.5292473834897</v>
      </c>
      <c r="AE75" s="135">
        <f t="shared" si="53"/>
        <v>5029.7459333236175</v>
      </c>
      <c r="AF75" s="135">
        <f t="shared" si="53"/>
        <v>5074.3251887601837</v>
      </c>
      <c r="AG75" s="135">
        <f t="shared" si="53"/>
        <v>5046.3717119666144</v>
      </c>
      <c r="AH75" s="135">
        <f t="shared" si="53"/>
        <v>5050.1517507116205</v>
      </c>
    </row>
    <row r="76" spans="1:35">
      <c r="A76" s="87" t="s">
        <v>174</v>
      </c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>
        <f>monthly_data!$BZ466*42/1000</f>
        <v>5219.634</v>
      </c>
      <c r="M76" s="106">
        <f>monthly_data!$BZ478*42/1000</f>
        <v>4873.3440000000001</v>
      </c>
      <c r="N76" s="106">
        <f>monthly_data!$BZ490*42/1000</f>
        <v>4808.58</v>
      </c>
      <c r="O76" s="106">
        <f>monthly_data!$BZ502*42/1000</f>
        <v>5044.9139999999998</v>
      </c>
      <c r="P76" s="106">
        <f>monthly_data!$BZ514*42/1000</f>
        <v>5096.91</v>
      </c>
      <c r="Q76" s="106">
        <f>monthly_data!$BZ526*42/1000</f>
        <v>5052.2219999999998</v>
      </c>
      <c r="R76" s="106">
        <f>monthly_data!$BZ538*42/1000</f>
        <v>5212.5780000000004</v>
      </c>
      <c r="S76" s="110">
        <f t="shared" si="54"/>
        <v>5344.71</v>
      </c>
      <c r="T76" s="110">
        <f t="shared" si="54"/>
        <v>5150.7120000000004</v>
      </c>
      <c r="U76" s="110">
        <f t="shared" si="54"/>
        <v>4675.9860000000008</v>
      </c>
      <c r="V76" s="110">
        <f t="shared" si="54"/>
        <v>5187.503999999999</v>
      </c>
      <c r="W76" s="110">
        <f t="shared" si="54"/>
        <v>5130.4679999999989</v>
      </c>
      <c r="X76" s="110">
        <f t="shared" si="54"/>
        <v>5382.0060000000003</v>
      </c>
      <c r="Y76" s="135">
        <f t="shared" si="55"/>
        <v>5078.7866073851246</v>
      </c>
      <c r="Z76" s="135">
        <f t="shared" si="51"/>
        <v>5199.7731430745207</v>
      </c>
      <c r="AA76" s="135">
        <f t="shared" si="52"/>
        <v>5302.2729327148081</v>
      </c>
      <c r="AB76" s="135">
        <f t="shared" si="53"/>
        <v>5354.9648688545785</v>
      </c>
      <c r="AC76" s="135">
        <f t="shared" si="53"/>
        <v>5415.2205078791112</v>
      </c>
      <c r="AD76" s="135">
        <f t="shared" si="53"/>
        <v>5392.9555005444963</v>
      </c>
      <c r="AE76" s="135">
        <f t="shared" si="53"/>
        <v>5434.6757209506104</v>
      </c>
      <c r="AF76" s="135">
        <f t="shared" si="53"/>
        <v>5490.9508564013749</v>
      </c>
      <c r="AG76" s="135">
        <f t="shared" si="53"/>
        <v>5460.1549611827622</v>
      </c>
      <c r="AH76" s="135">
        <f t="shared" si="53"/>
        <v>5463.9161263250617</v>
      </c>
    </row>
    <row r="77" spans="1:35">
      <c r="A77" s="87" t="s">
        <v>175</v>
      </c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>
        <f>monthly_data!$BZ467*42/1000</f>
        <v>4959.402</v>
      </c>
      <c r="M77" s="106">
        <f>monthly_data!$BZ479*42/1000</f>
        <v>4629.576</v>
      </c>
      <c r="N77" s="106">
        <f>monthly_data!$BZ491*42/1000</f>
        <v>4693.0379999999996</v>
      </c>
      <c r="O77" s="106">
        <f>monthly_data!$BZ503*42/1000</f>
        <v>4956.0839999999998</v>
      </c>
      <c r="P77" s="106">
        <f>monthly_data!$BZ515*42/1000</f>
        <v>5119.3379999999997</v>
      </c>
      <c r="Q77" s="106">
        <f>monthly_data!$BZ527*42/1000</f>
        <v>4929.1620000000003</v>
      </c>
      <c r="R77" s="106">
        <f>monthly_data!$BZ539*42/1000</f>
        <v>4940.7120000000004</v>
      </c>
      <c r="S77" s="110">
        <f t="shared" si="54"/>
        <v>4960.9980000000005</v>
      </c>
      <c r="T77" s="110">
        <f t="shared" si="54"/>
        <v>4854.0660000000025</v>
      </c>
      <c r="U77" s="110">
        <f t="shared" si="54"/>
        <v>4701.8160000000016</v>
      </c>
      <c r="V77" s="110">
        <f t="shared" si="54"/>
        <v>5079.9840000000004</v>
      </c>
      <c r="W77" s="110">
        <f t="shared" si="54"/>
        <v>5149.9560000000001</v>
      </c>
      <c r="X77" s="110">
        <f t="shared" si="54"/>
        <v>4940.3759999999993</v>
      </c>
      <c r="Y77" s="135">
        <f t="shared" si="55"/>
        <v>4919.5235311465112</v>
      </c>
      <c r="Z77" s="135">
        <f t="shared" si="51"/>
        <v>5064.3192931464</v>
      </c>
      <c r="AA77" s="135">
        <f t="shared" si="52"/>
        <v>5134.0155000409059</v>
      </c>
      <c r="AB77" s="135">
        <f t="shared" si="53"/>
        <v>5173.3180172695929</v>
      </c>
      <c r="AC77" s="135">
        <f t="shared" si="53"/>
        <v>5191.7106006113436</v>
      </c>
      <c r="AD77" s="135">
        <f t="shared" si="53"/>
        <v>5215.2852308147076</v>
      </c>
      <c r="AE77" s="135">
        <f t="shared" si="53"/>
        <v>5253.9888859410758</v>
      </c>
      <c r="AF77" s="135">
        <f t="shared" si="53"/>
        <v>5300.7540768956223</v>
      </c>
      <c r="AG77" s="135">
        <f t="shared" si="53"/>
        <v>5267.9200096234099</v>
      </c>
      <c r="AH77" s="135">
        <f t="shared" si="53"/>
        <v>5270.1654578624457</v>
      </c>
    </row>
    <row r="78" spans="1:35">
      <c r="A78" s="87" t="s">
        <v>176</v>
      </c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>
        <f>monthly_data!$BZ468*42/1000</f>
        <v>5212.41</v>
      </c>
      <c r="M78" s="106">
        <f>monthly_data!$BZ480*42/1000</f>
        <v>5015.808</v>
      </c>
      <c r="N78" s="106">
        <f>monthly_data!$BZ492*42/1000</f>
        <v>5258.442</v>
      </c>
      <c r="O78" s="106">
        <f>monthly_data!$BZ504*42/1000</f>
        <v>5554.71</v>
      </c>
      <c r="P78" s="106">
        <f>monthly_data!$BZ516*42/1000</f>
        <v>5226.3959999999997</v>
      </c>
      <c r="Q78" s="106">
        <f>monthly_data!$BZ528*42/1000</f>
        <v>5190.192</v>
      </c>
      <c r="R78" s="106">
        <f>monthly_data!$BZ540*42/1000</f>
        <v>5222.616</v>
      </c>
      <c r="S78" s="110">
        <f t="shared" si="54"/>
        <v>5552.7779999999984</v>
      </c>
      <c r="T78" s="110">
        <f t="shared" si="54"/>
        <v>5408.8020000000006</v>
      </c>
      <c r="U78" s="110">
        <f t="shared" si="54"/>
        <v>5154.1140000000005</v>
      </c>
      <c r="V78" s="110">
        <f t="shared" si="54"/>
        <v>5165.2020000000011</v>
      </c>
      <c r="W78" s="110">
        <f t="shared" si="54"/>
        <v>5419.8060000000014</v>
      </c>
      <c r="X78" s="110">
        <f t="shared" si="54"/>
        <v>5295.4440000000013</v>
      </c>
      <c r="Y78" s="135">
        <f t="shared" si="55"/>
        <v>5261.1716171959242</v>
      </c>
      <c r="Z78" s="135">
        <f t="shared" si="51"/>
        <v>5371.5658954270048</v>
      </c>
      <c r="AA78" s="135">
        <f t="shared" si="52"/>
        <v>5411.3964559160513</v>
      </c>
      <c r="AB78" s="135">
        <f t="shared" si="53"/>
        <v>5491.6597119565859</v>
      </c>
      <c r="AC78" s="135">
        <f t="shared" si="53"/>
        <v>5520.8660651316522</v>
      </c>
      <c r="AD78" s="135">
        <f t="shared" si="53"/>
        <v>5537.3709535550979</v>
      </c>
      <c r="AE78" s="135">
        <f t="shared" si="53"/>
        <v>5570.7550784656123</v>
      </c>
      <c r="AF78" s="135">
        <f t="shared" si="53"/>
        <v>5619.9487301119034</v>
      </c>
      <c r="AG78" s="135">
        <f t="shared" si="53"/>
        <v>5591.5418785333541</v>
      </c>
      <c r="AH78" s="135">
        <f t="shared" si="53"/>
        <v>5593.8184855295549</v>
      </c>
    </row>
    <row r="79" spans="1:35">
      <c r="A79" s="87" t="s">
        <v>177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>
        <f>monthly_data!$BZ469*42/1000</f>
        <v>5177.8860000000004</v>
      </c>
      <c r="M79" s="106">
        <f>monthly_data!$BZ481*42/1000</f>
        <v>4847.9340000000002</v>
      </c>
      <c r="N79" s="106">
        <f>monthly_data!$BZ493*42/1000</f>
        <v>4905.4740000000002</v>
      </c>
      <c r="O79" s="106">
        <f>monthly_data!$BZ505*42/1000</f>
        <v>4935.6719999999996</v>
      </c>
      <c r="P79" s="106">
        <f>monthly_data!$BZ517*42/1000</f>
        <v>4712.6940000000004</v>
      </c>
      <c r="Q79" s="106">
        <f>monthly_data!$BZ529*42/1000</f>
        <v>4962.384</v>
      </c>
      <c r="R79" s="106">
        <f>monthly_data!$BZ541*42/1000</f>
        <v>5238.366</v>
      </c>
      <c r="S79" s="110">
        <f t="shared" si="54"/>
        <v>5198.8020000000024</v>
      </c>
      <c r="T79" s="110">
        <f t="shared" si="54"/>
        <v>5212.62</v>
      </c>
      <c r="U79" s="110">
        <f t="shared" si="54"/>
        <v>4787.6220000000003</v>
      </c>
      <c r="V79" s="110">
        <f t="shared" si="54"/>
        <v>5279.7779999999984</v>
      </c>
      <c r="W79" s="110">
        <f t="shared" si="54"/>
        <v>5115.1379999999972</v>
      </c>
      <c r="X79" s="110">
        <f t="shared" si="54"/>
        <v>5053.6919999999991</v>
      </c>
      <c r="Y79" s="135">
        <f t="shared" si="55"/>
        <v>5063.3023490153164</v>
      </c>
      <c r="Z79" s="135">
        <f t="shared" si="51"/>
        <v>5168.0659091819216</v>
      </c>
      <c r="AA79" s="135">
        <f t="shared" si="52"/>
        <v>5241.3359186926873</v>
      </c>
      <c r="AB79" s="135">
        <f t="shared" si="53"/>
        <v>5262.2504448360987</v>
      </c>
      <c r="AC79" s="135">
        <f t="shared" si="53"/>
        <v>5306.3397855498997</v>
      </c>
      <c r="AD79" s="135">
        <f t="shared" si="53"/>
        <v>5329.5679732651242</v>
      </c>
      <c r="AE79" s="135">
        <f t="shared" si="53"/>
        <v>5361.7871883825746</v>
      </c>
      <c r="AF79" s="135">
        <f t="shared" si="53"/>
        <v>5409.544572016237</v>
      </c>
      <c r="AG79" s="135">
        <f t="shared" si="53"/>
        <v>5375.6431769482751</v>
      </c>
      <c r="AH79" s="135">
        <f t="shared" si="53"/>
        <v>5381.3213623039082</v>
      </c>
    </row>
    <row r="80" spans="1:35">
      <c r="A80" s="87" t="s">
        <v>178</v>
      </c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>
        <f>monthly_data!$BZ470*42/1000</f>
        <v>5016.8159999999998</v>
      </c>
      <c r="M80" s="106">
        <f>monthly_data!$BZ482*42/1000</f>
        <v>4594.5060000000003</v>
      </c>
      <c r="N80" s="106">
        <f>monthly_data!$BZ494*42/1000</f>
        <v>5060.5379999999996</v>
      </c>
      <c r="O80" s="106">
        <f>monthly_data!$BZ506*42/1000</f>
        <v>5440.0079999999998</v>
      </c>
      <c r="P80" s="106">
        <f>monthly_data!$BZ518*42/1000</f>
        <v>4988.13</v>
      </c>
      <c r="Q80" s="106">
        <f>monthly_data!$BZ530*42/1000</f>
        <v>5264.07</v>
      </c>
      <c r="R80" s="106">
        <f>monthly_data!$BZ542*42/1000</f>
        <v>5175.8280000000004</v>
      </c>
      <c r="S80" s="110">
        <f t="shared" si="54"/>
        <v>5130.4259999999977</v>
      </c>
      <c r="T80" s="110">
        <f t="shared" si="54"/>
        <v>5020.9320000000016</v>
      </c>
      <c r="U80" s="110">
        <f t="shared" si="54"/>
        <v>4946.2140000000009</v>
      </c>
      <c r="V80" s="110">
        <f t="shared" si="54"/>
        <v>5143.0680000000002</v>
      </c>
      <c r="W80" s="110">
        <f t="shared" si="54"/>
        <v>4938.2340000000022</v>
      </c>
      <c r="X80" s="110">
        <f t="shared" si="54"/>
        <v>4705.3019999999997</v>
      </c>
      <c r="Y80" s="135">
        <f t="shared" si="55"/>
        <v>4925.005276149529</v>
      </c>
      <c r="Z80" s="135">
        <f t="shared" si="51"/>
        <v>5036.9806884221207</v>
      </c>
      <c r="AA80" s="135">
        <f t="shared" si="52"/>
        <v>5051.2380624534499</v>
      </c>
      <c r="AB80" s="135">
        <f t="shared" si="53"/>
        <v>5060.1514529255546</v>
      </c>
      <c r="AC80" s="135">
        <f t="shared" si="53"/>
        <v>5098.5258774456497</v>
      </c>
      <c r="AD80" s="135">
        <f t="shared" si="53"/>
        <v>5151.6394385943158</v>
      </c>
      <c r="AE80" s="135">
        <f t="shared" si="53"/>
        <v>5176.5174037717752</v>
      </c>
      <c r="AF80" s="135">
        <f t="shared" si="53"/>
        <v>5212.9305907831249</v>
      </c>
      <c r="AG80" s="135">
        <f t="shared" si="53"/>
        <v>5180.1802466572126</v>
      </c>
      <c r="AH80" s="135">
        <f t="shared" si="53"/>
        <v>5187.81373223233</v>
      </c>
    </row>
    <row r="81" spans="1:35">
      <c r="A81" s="109" t="s">
        <v>179</v>
      </c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>
        <f>SUM(L69:L80)</f>
        <v>59769.401999999995</v>
      </c>
      <c r="M81" s="112">
        <f t="shared" ref="M81:X81" si="56">SUM(M69:M80)</f>
        <v>57512.993999999999</v>
      </c>
      <c r="N81" s="112">
        <f t="shared" si="56"/>
        <v>58675.05</v>
      </c>
      <c r="O81" s="112">
        <f t="shared" si="56"/>
        <v>61890.948000000004</v>
      </c>
      <c r="P81" s="112">
        <f t="shared" si="56"/>
        <v>61247.004000000001</v>
      </c>
      <c r="Q81" s="112">
        <f t="shared" si="56"/>
        <v>59601.15</v>
      </c>
      <c r="R81" s="112">
        <f t="shared" si="56"/>
        <v>60280.458000000006</v>
      </c>
      <c r="S81" s="112">
        <f t="shared" si="56"/>
        <v>62380.626000000004</v>
      </c>
      <c r="T81" s="112">
        <f t="shared" si="56"/>
        <v>61837.650000000009</v>
      </c>
      <c r="U81" s="112">
        <f t="shared" si="56"/>
        <v>57048.180000000008</v>
      </c>
      <c r="V81" s="112">
        <f t="shared" si="56"/>
        <v>60890.214</v>
      </c>
      <c r="W81" s="112">
        <f t="shared" si="56"/>
        <v>61711.314000000006</v>
      </c>
      <c r="X81" s="112">
        <f t="shared" si="56"/>
        <v>60296.459999999992</v>
      </c>
      <c r="Y81" s="136">
        <f t="shared" ref="Y81:AH81" si="57">Y8</f>
        <v>60042.898385357737</v>
      </c>
      <c r="Z81" s="136">
        <f t="shared" si="57"/>
        <v>61280.313237640599</v>
      </c>
      <c r="AA81" s="136">
        <f t="shared" si="57"/>
        <v>62092.171923360547</v>
      </c>
      <c r="AB81" s="136">
        <f t="shared" si="57"/>
        <v>62680.069592330183</v>
      </c>
      <c r="AC81" s="136">
        <f t="shared" si="57"/>
        <v>63044.006244549462</v>
      </c>
      <c r="AD81" s="136">
        <f t="shared" si="57"/>
        <v>63267.967261299797</v>
      </c>
      <c r="AE81" s="136">
        <f t="shared" si="57"/>
        <v>63663.529560255745</v>
      </c>
      <c r="AF81" s="136">
        <f t="shared" si="57"/>
        <v>64247.533290688953</v>
      </c>
      <c r="AG81" s="136">
        <f t="shared" si="57"/>
        <v>63876.662866275117</v>
      </c>
      <c r="AH81" s="136">
        <f t="shared" si="57"/>
        <v>63913.833555222343</v>
      </c>
    </row>
    <row r="82" spans="1:35" s="87" customFormat="1"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02"/>
      <c r="AF82" s="102"/>
      <c r="AG82" s="102"/>
      <c r="AH82" s="102"/>
      <c r="AI82" s="113"/>
    </row>
    <row r="83" spans="1:35" s="87" customFormat="1" ht="15.75" thickBot="1">
      <c r="A83" s="100" t="s">
        <v>245</v>
      </c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34" t="s">
        <v>246</v>
      </c>
      <c r="T83" s="114"/>
      <c r="U83" s="114"/>
      <c r="V83" s="114"/>
      <c r="X83" s="141"/>
      <c r="Y83" s="141"/>
      <c r="Z83" s="141"/>
      <c r="AA83" s="141"/>
      <c r="AB83" s="141"/>
      <c r="AC83" s="141"/>
      <c r="AD83" s="141"/>
      <c r="AE83" s="102"/>
      <c r="AF83" s="102"/>
      <c r="AG83" s="102"/>
      <c r="AH83" s="102"/>
      <c r="AI83" s="113"/>
    </row>
    <row r="84" spans="1:35" s="87" customFormat="1" ht="15.75" thickBot="1">
      <c r="A84" s="103"/>
      <c r="B84" s="104">
        <f t="shared" ref="B84:O84" si="58">B2</f>
        <v>2001</v>
      </c>
      <c r="C84" s="104">
        <f t="shared" si="58"/>
        <v>2002</v>
      </c>
      <c r="D84" s="104">
        <f t="shared" si="58"/>
        <v>2003</v>
      </c>
      <c r="E84" s="104">
        <f t="shared" si="58"/>
        <v>2004</v>
      </c>
      <c r="F84" s="104">
        <f t="shared" si="58"/>
        <v>2005</v>
      </c>
      <c r="G84" s="104">
        <f t="shared" si="58"/>
        <v>2006</v>
      </c>
      <c r="H84" s="104">
        <f t="shared" si="58"/>
        <v>2007</v>
      </c>
      <c r="I84" s="104">
        <f t="shared" si="58"/>
        <v>2008</v>
      </c>
      <c r="J84" s="104">
        <f t="shared" si="58"/>
        <v>2009</v>
      </c>
      <c r="K84" s="104">
        <f t="shared" si="58"/>
        <v>2010</v>
      </c>
      <c r="L84" s="104">
        <f t="shared" si="58"/>
        <v>2011</v>
      </c>
      <c r="M84" s="104">
        <f t="shared" si="58"/>
        <v>2012</v>
      </c>
      <c r="N84" s="104">
        <f t="shared" si="58"/>
        <v>2013</v>
      </c>
      <c r="O84" s="104">
        <f t="shared" si="58"/>
        <v>2014</v>
      </c>
      <c r="P84" s="104">
        <f>P2</f>
        <v>2015</v>
      </c>
      <c r="Q84" s="104">
        <f t="shared" ref="Q84:AH84" si="59">Q2</f>
        <v>2016</v>
      </c>
      <c r="R84" s="104">
        <f t="shared" si="59"/>
        <v>2017</v>
      </c>
      <c r="S84" s="104">
        <f t="shared" si="59"/>
        <v>2018</v>
      </c>
      <c r="T84" s="104">
        <f t="shared" si="59"/>
        <v>2019</v>
      </c>
      <c r="U84" s="104">
        <f t="shared" si="59"/>
        <v>2020</v>
      </c>
      <c r="V84" s="104">
        <f t="shared" si="59"/>
        <v>2021</v>
      </c>
      <c r="W84" s="104">
        <f t="shared" si="59"/>
        <v>2022</v>
      </c>
      <c r="X84" s="104">
        <f t="shared" si="59"/>
        <v>2023</v>
      </c>
      <c r="Y84" s="104">
        <f t="shared" si="59"/>
        <v>2024</v>
      </c>
      <c r="Z84" s="104">
        <f t="shared" si="59"/>
        <v>2025</v>
      </c>
      <c r="AA84" s="104">
        <f t="shared" si="59"/>
        <v>2026</v>
      </c>
      <c r="AB84" s="104">
        <f t="shared" si="59"/>
        <v>2027</v>
      </c>
      <c r="AC84" s="104">
        <f t="shared" si="59"/>
        <v>2028</v>
      </c>
      <c r="AD84" s="104">
        <f t="shared" si="59"/>
        <v>2029</v>
      </c>
      <c r="AE84" s="104">
        <f t="shared" si="59"/>
        <v>2030</v>
      </c>
      <c r="AF84" s="104">
        <f t="shared" si="59"/>
        <v>2031</v>
      </c>
      <c r="AG84" s="104">
        <f t="shared" si="59"/>
        <v>2032</v>
      </c>
      <c r="AH84" s="104">
        <f t="shared" si="59"/>
        <v>2033</v>
      </c>
      <c r="AI84" s="113"/>
    </row>
    <row r="85" spans="1:35" s="87" customFormat="1">
      <c r="A85" s="87" t="s">
        <v>167</v>
      </c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0">
        <f>monthly_data!$CE543-Diesel!$S69</f>
        <v>-1088.8500000000013</v>
      </c>
      <c r="T85" s="110">
        <f>monthly_data!$CE555-Diesel!T69</f>
        <v>-751.96799999999985</v>
      </c>
      <c r="U85" s="110">
        <f>monthly_data!$CE567-Diesel!U69</f>
        <v>-585.01799999999912</v>
      </c>
      <c r="V85" s="110">
        <f>monthly_data!$CE579-Diesel!V69</f>
        <v>-659.48399999999947</v>
      </c>
      <c r="W85" s="110">
        <f>monthly_data!$CE591-Diesel!W69</f>
        <v>-818.66400000000158</v>
      </c>
      <c r="X85" s="111">
        <f>monthly_data!$CE603-Diesel!X69</f>
        <v>-604.96799999999985</v>
      </c>
      <c r="Y85" s="111">
        <f>monthly_data!$CE603-Diesel!Y69</f>
        <v>-559.48199999999997</v>
      </c>
      <c r="Z85" s="143"/>
      <c r="AA85" s="143"/>
      <c r="AB85" s="143"/>
      <c r="AC85" s="143">
        <f t="shared" ref="AC85:AG96" si="60">-S85/S69</f>
        <v>0.1885111797854937</v>
      </c>
      <c r="AD85" s="143">
        <f t="shared" si="60"/>
        <v>0.13501855147657685</v>
      </c>
      <c r="AE85" s="143">
        <f t="shared" si="60"/>
        <v>0.11319880697933328</v>
      </c>
      <c r="AF85" s="143">
        <f t="shared" si="60"/>
        <v>0.1286711682181722</v>
      </c>
      <c r="AG85" s="143">
        <f t="shared" si="60"/>
        <v>0.15229076817301107</v>
      </c>
      <c r="AH85" s="102"/>
      <c r="AI85" s="113"/>
    </row>
    <row r="86" spans="1:35" s="87" customFormat="1">
      <c r="A86" s="87" t="s">
        <v>168</v>
      </c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0">
        <f>monthly_data!$CE544-Diesel!$S70</f>
        <v>-578.2559999999994</v>
      </c>
      <c r="T86" s="110">
        <f>monthly_data!$CE556-Diesel!T70</f>
        <v>-589.26000000000022</v>
      </c>
      <c r="U86" s="110">
        <f>monthly_data!$CE568-Diesel!U70</f>
        <v>-474.22199999999884</v>
      </c>
      <c r="V86" s="110">
        <f>monthly_data!$CE580-Diesel!V70</f>
        <v>-715.59599999999909</v>
      </c>
      <c r="W86" s="110">
        <f>monthly_data!$CE592-Diesel!W70</f>
        <v>-711.22800000000097</v>
      </c>
      <c r="X86" s="111">
        <f>monthly_data!$CE604-Diesel!X70</f>
        <v>-574.18200000000161</v>
      </c>
      <c r="Y86" s="111">
        <f>monthly_data!$CE604-Diesel!Y70</f>
        <v>-622.60800000000017</v>
      </c>
      <c r="Z86" s="143"/>
      <c r="AA86" s="143"/>
      <c r="AB86" s="143"/>
      <c r="AC86" s="143">
        <f t="shared" si="60"/>
        <v>0.12538248579338471</v>
      </c>
      <c r="AD86" s="143">
        <f t="shared" si="60"/>
        <v>0.11814736842105265</v>
      </c>
      <c r="AE86" s="143">
        <f t="shared" si="60"/>
        <v>9.7109339388153332E-2</v>
      </c>
      <c r="AF86" s="143">
        <f t="shared" si="60"/>
        <v>0.15333249338540994</v>
      </c>
      <c r="AG86" s="143">
        <f t="shared" si="60"/>
        <v>0.13856023041550086</v>
      </c>
      <c r="AH86" s="102"/>
      <c r="AI86" s="113"/>
    </row>
    <row r="87" spans="1:35" s="87" customFormat="1">
      <c r="A87" s="87" t="s">
        <v>169</v>
      </c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0">
        <f>monthly_data!$CE545-Diesel!$S71</f>
        <v>-407.27400000000125</v>
      </c>
      <c r="T87" s="110">
        <f>monthly_data!$CE557-Diesel!T71</f>
        <v>-441.63000000000011</v>
      </c>
      <c r="U87" s="110">
        <f>monthly_data!$CE569-Diesel!U71</f>
        <v>-384.7619999999979</v>
      </c>
      <c r="V87" s="110">
        <f>monthly_data!$CE581-Diesel!V71</f>
        <v>-490.9380000000001</v>
      </c>
      <c r="W87" s="110">
        <f>monthly_data!$CE593-Diesel!W71</f>
        <v>-472.79399999999896</v>
      </c>
      <c r="X87" s="111">
        <f>monthly_data!$CE605-Diesel!X71</f>
        <v>-446.96400000000176</v>
      </c>
      <c r="Y87" s="111">
        <f>monthly_data!$CE605-Diesel!Y71</f>
        <v>112.39200000000073</v>
      </c>
      <c r="Z87" s="143"/>
      <c r="AA87" s="143"/>
      <c r="AB87" s="143"/>
      <c r="AC87" s="143">
        <f t="shared" si="60"/>
        <v>7.5872213572026795E-2</v>
      </c>
      <c r="AD87" s="143">
        <f t="shared" si="60"/>
        <v>8.2545040624877358E-2</v>
      </c>
      <c r="AE87" s="143">
        <f t="shared" si="60"/>
        <v>7.586058412898164E-2</v>
      </c>
      <c r="AF87" s="143">
        <f t="shared" si="60"/>
        <v>9.248431429950392E-2</v>
      </c>
      <c r="AG87" s="143">
        <f t="shared" si="60"/>
        <v>8.6807992165148617E-2</v>
      </c>
      <c r="AH87" s="102"/>
      <c r="AI87" s="113"/>
    </row>
    <row r="88" spans="1:35" s="87" customFormat="1">
      <c r="A88" s="87" t="s">
        <v>170</v>
      </c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0">
        <f>monthly_data!$CE546-Diesel!$S72</f>
        <v>-270.85800000000017</v>
      </c>
      <c r="T88" s="110">
        <f>monthly_data!$CE558-Diesel!T72</f>
        <v>-188.16000000000076</v>
      </c>
      <c r="U88" s="110">
        <f>monthly_data!$CE570-Diesel!U72</f>
        <v>-252.62999999999829</v>
      </c>
      <c r="V88" s="110">
        <f>monthly_data!$CE582-Diesel!V72</f>
        <v>-262.41600000000017</v>
      </c>
      <c r="W88" s="110">
        <f>monthly_data!$CE594-Diesel!W72</f>
        <v>-296.85599999999886</v>
      </c>
      <c r="X88" s="111">
        <f>monthly_data!$CE606-Diesel!X72</f>
        <v>-252.25199999999859</v>
      </c>
      <c r="Y88" s="111">
        <f>monthly_data!$CE606-Diesel!Y72</f>
        <v>-126.79800000000068</v>
      </c>
      <c r="Z88" s="143"/>
      <c r="AA88" s="143"/>
      <c r="AB88" s="143"/>
      <c r="AC88" s="143">
        <f t="shared" si="60"/>
        <v>5.2882762466276906E-2</v>
      </c>
      <c r="AD88" s="143">
        <f t="shared" si="60"/>
        <v>3.6878498518274766E-2</v>
      </c>
      <c r="AE88" s="143">
        <f t="shared" si="60"/>
        <v>5.7939604103452898E-2</v>
      </c>
      <c r="AF88" s="143">
        <f t="shared" si="60"/>
        <v>5.1445886305250016E-2</v>
      </c>
      <c r="AG88" s="143">
        <f t="shared" si="60"/>
        <v>5.9261495120233203E-2</v>
      </c>
      <c r="AH88" s="102"/>
      <c r="AI88" s="113"/>
    </row>
    <row r="89" spans="1:35" s="87" customFormat="1">
      <c r="A89" s="87" t="s">
        <v>171</v>
      </c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0">
        <f>monthly_data!$CE547-Diesel!$S73</f>
        <v>-99.582000000003063</v>
      </c>
      <c r="T89" s="110">
        <f>monthly_data!$CE559-Diesel!T73</f>
        <v>-108.40199999999732</v>
      </c>
      <c r="U89" s="110">
        <f>monthly_data!$CE571-Diesel!U73</f>
        <v>-155.82000000000335</v>
      </c>
      <c r="V89" s="110">
        <f>monthly_data!$CE583-Diesel!V73</f>
        <v>-182.23800000000119</v>
      </c>
      <c r="W89" s="110">
        <f>monthly_data!$CE595-Diesel!W73</f>
        <v>-202.64999999999782</v>
      </c>
      <c r="X89" s="111">
        <f>monthly_data!$CE607-Diesel!X73</f>
        <v>-234.19200000000001</v>
      </c>
      <c r="Y89" s="111">
        <f>monthly_data!$CE607-Diesel!Y73</f>
        <v>-70.04770226225537</v>
      </c>
      <c r="Z89" s="143"/>
      <c r="AA89" s="143"/>
      <c r="AB89" s="143"/>
      <c r="AC89" s="143">
        <f t="shared" si="60"/>
        <v>1.8490068704136067E-2</v>
      </c>
      <c r="AD89" s="143">
        <f t="shared" si="60"/>
        <v>2.0642880565619224E-2</v>
      </c>
      <c r="AE89" s="143">
        <f t="shared" si="60"/>
        <v>3.5410900066813758E-2</v>
      </c>
      <c r="AF89" s="143">
        <f t="shared" si="60"/>
        <v>3.5889461451294284E-2</v>
      </c>
      <c r="AG89" s="143">
        <f t="shared" si="60"/>
        <v>4.0159806899995418E-2</v>
      </c>
      <c r="AH89" s="102"/>
      <c r="AI89" s="113"/>
    </row>
    <row r="90" spans="1:35" s="87" customFormat="1">
      <c r="A90" s="87" t="s">
        <v>172</v>
      </c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0">
        <f>monthly_data!$CE548-Diesel!$S74</f>
        <v>-9.5339999999969223</v>
      </c>
      <c r="T90" s="110">
        <f>monthly_data!$CE560-Diesel!T74</f>
        <v>-37.421999999998661</v>
      </c>
      <c r="U90" s="110">
        <f>monthly_data!$CE572-Diesel!U74</f>
        <v>-47.585999999999331</v>
      </c>
      <c r="V90" s="110">
        <f>monthly_data!$CE584-Diesel!V74</f>
        <v>-145.61399999999958</v>
      </c>
      <c r="W90" s="110">
        <f>monthly_data!$CE596-Diesel!W74</f>
        <v>-150.10800000000017</v>
      </c>
      <c r="X90" s="111">
        <f>monthly_data!$CE608-Diesel!X74</f>
        <v>-174.55200000000059</v>
      </c>
      <c r="Y90" s="111">
        <f>monthly_data!$CE608-Diesel!Y74</f>
        <v>-22.777057762088589</v>
      </c>
      <c r="Z90" s="143"/>
      <c r="AA90" s="143"/>
      <c r="AB90" s="143"/>
      <c r="AC90" s="143">
        <f t="shared" si="60"/>
        <v>1.9564411731745786E-3</v>
      </c>
      <c r="AD90" s="143">
        <f t="shared" si="60"/>
        <v>7.5771104931497179E-3</v>
      </c>
      <c r="AE90" s="143">
        <f t="shared" si="60"/>
        <v>1.1050100943110845E-2</v>
      </c>
      <c r="AF90" s="143">
        <f t="shared" si="60"/>
        <v>2.9290258264550003E-2</v>
      </c>
      <c r="AG90" s="143">
        <f t="shared" si="60"/>
        <v>2.9421933911783625E-2</v>
      </c>
      <c r="AH90" s="102"/>
      <c r="AI90" s="113"/>
    </row>
    <row r="91" spans="1:35" s="87" customFormat="1">
      <c r="A91" s="87" t="s">
        <v>173</v>
      </c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0">
        <f>monthly_data!$CE549-Diesel!$S75</f>
        <v>-17.598000000002685</v>
      </c>
      <c r="T91" s="110">
        <f>monthly_data!$CE561-Diesel!T75</f>
        <v>-17.556000000000495</v>
      </c>
      <c r="U91" s="110">
        <f>monthly_data!$CE573-Diesel!U75</f>
        <v>-35.070000000001528</v>
      </c>
      <c r="V91" s="110">
        <f>monthly_data!$CE585-Diesel!V75</f>
        <v>-122.89200000000073</v>
      </c>
      <c r="W91" s="110">
        <f>monthly_data!$CE597-Diesel!W75</f>
        <v>-210.25200000000132</v>
      </c>
      <c r="X91" s="111">
        <f>monthly_data!$CE609-Diesel!X75</f>
        <v>-61.949999999999818</v>
      </c>
      <c r="Y91" s="111">
        <f>monthly_data!$CE609-Diesel!Y75</f>
        <v>-80.246888905755441</v>
      </c>
      <c r="Z91" s="143"/>
      <c r="AA91" s="143"/>
      <c r="AB91" s="143"/>
      <c r="AC91" s="143">
        <f t="shared" si="60"/>
        <v>3.4803844205040639E-3</v>
      </c>
      <c r="AD91" s="143">
        <f t="shared" si="60"/>
        <v>3.5173934263452071E-3</v>
      </c>
      <c r="AE91" s="143">
        <f t="shared" si="60"/>
        <v>7.6370787030688812E-3</v>
      </c>
      <c r="AF91" s="143">
        <f t="shared" si="60"/>
        <v>2.5687847874563383E-2</v>
      </c>
      <c r="AG91" s="143">
        <f t="shared" si="60"/>
        <v>4.3392333963212994E-2</v>
      </c>
      <c r="AH91" s="102"/>
      <c r="AI91" s="113"/>
    </row>
    <row r="92" spans="1:35" s="87" customFormat="1">
      <c r="A92" s="87" t="s">
        <v>174</v>
      </c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0">
        <f>monthly_data!$CE550-Diesel!$S76</f>
        <v>-6.5100000000002183</v>
      </c>
      <c r="T92" s="110">
        <f>monthly_data!$CE562-Diesel!T76</f>
        <v>-33.852000000000771</v>
      </c>
      <c r="U92" s="110">
        <f>monthly_data!$CE574-Diesel!U76</f>
        <v>-14.826000000000022</v>
      </c>
      <c r="V92" s="110">
        <f>monthly_data!$CE586-Diesel!V76</f>
        <v>-148.76399999999921</v>
      </c>
      <c r="W92" s="110">
        <f>monthly_data!$CE598-Diesel!W76</f>
        <v>-39.647999999999229</v>
      </c>
      <c r="X92" s="111">
        <f>monthly_data!$CE610-Diesel!X76</f>
        <v>-499.50600000000031</v>
      </c>
      <c r="Y92" s="111">
        <f>monthly_data!$CE610-Diesel!Y76</f>
        <v>-196.28660738512463</v>
      </c>
      <c r="Z92" s="143"/>
      <c r="AA92" s="143"/>
      <c r="AB92" s="143"/>
      <c r="AC92" s="143">
        <f t="shared" si="60"/>
        <v>1.2180267965895659E-3</v>
      </c>
      <c r="AD92" s="143">
        <f t="shared" si="60"/>
        <v>6.572295247725124E-3</v>
      </c>
      <c r="AE92" s="143">
        <f t="shared" si="60"/>
        <v>3.1706681756532248E-3</v>
      </c>
      <c r="AF92" s="143">
        <f t="shared" si="60"/>
        <v>2.8677375477686232E-2</v>
      </c>
      <c r="AG92" s="143">
        <f t="shared" si="60"/>
        <v>7.727949964798384E-3</v>
      </c>
      <c r="AH92" s="102"/>
      <c r="AI92" s="113"/>
    </row>
    <row r="93" spans="1:35" s="87" customFormat="1">
      <c r="A93" s="87" t="s">
        <v>175</v>
      </c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0">
        <f>monthly_data!$CE551-Diesel!$S77</f>
        <v>-84.798000000000684</v>
      </c>
      <c r="T93" s="110">
        <f>monthly_data!$CE563-Diesel!T77</f>
        <v>-116.46600000000308</v>
      </c>
      <c r="U93" s="110">
        <f>monthly_data!$CE575-Diesel!U77</f>
        <v>-90.216000000001259</v>
      </c>
      <c r="V93" s="110">
        <f>monthly_data!$CE587-Diesel!V77</f>
        <v>-191.1840000000002</v>
      </c>
      <c r="W93" s="110">
        <f>monthly_data!$CE599-Diesel!W77</f>
        <v>-198.15599999999995</v>
      </c>
      <c r="X93" s="111">
        <f>monthly_data!$CE611-Diesel!X77</f>
        <v>-253.17599999999857</v>
      </c>
      <c r="Y93" s="111">
        <f>monthly_data!$CE611-Diesel!Y77</f>
        <v>-232.3235311465105</v>
      </c>
      <c r="Z93" s="143"/>
      <c r="AA93" s="143"/>
      <c r="AB93" s="143"/>
      <c r="AC93" s="143">
        <f t="shared" si="60"/>
        <v>1.7092931704467663E-2</v>
      </c>
      <c r="AD93" s="143">
        <f t="shared" si="60"/>
        <v>2.3993493289955887E-2</v>
      </c>
      <c r="AE93" s="143">
        <f t="shared" si="60"/>
        <v>1.9187479901383045E-2</v>
      </c>
      <c r="AF93" s="143">
        <f t="shared" si="60"/>
        <v>3.7634764203981784E-2</v>
      </c>
      <c r="AG93" s="143">
        <f t="shared" si="60"/>
        <v>3.8477221941313665E-2</v>
      </c>
      <c r="AH93" s="102"/>
      <c r="AI93" s="113"/>
    </row>
    <row r="94" spans="1:35" s="87" customFormat="1">
      <c r="A94" s="87" t="s">
        <v>176</v>
      </c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0">
        <f>monthly_data!$CE552-Diesel!$S78</f>
        <v>-240.61799999999766</v>
      </c>
      <c r="T94" s="110">
        <f>monthly_data!$CE564-Diesel!T78</f>
        <v>-226.84200000000055</v>
      </c>
      <c r="U94" s="110">
        <f>monthly_data!$CE576-Diesel!U78</f>
        <v>-167.45399999999972</v>
      </c>
      <c r="V94" s="110">
        <f>monthly_data!$CE588-Diesel!V78</f>
        <v>-308.7420000000011</v>
      </c>
      <c r="W94" s="110">
        <f>monthly_data!$CE600-Diesel!W78</f>
        <v>-328.9860000000017</v>
      </c>
      <c r="X94" s="111">
        <f>monthly_data!$CE612-Diesel!X78</f>
        <v>-295.76400000000103</v>
      </c>
      <c r="Y94" s="111">
        <f>monthly_data!$CE612-Diesel!Y78</f>
        <v>-261.49161719592394</v>
      </c>
      <c r="Z94" s="143"/>
      <c r="AA94" s="143"/>
      <c r="AB94" s="143"/>
      <c r="AC94" s="143">
        <f t="shared" si="60"/>
        <v>4.3332904719042928E-2</v>
      </c>
      <c r="AD94" s="143">
        <f t="shared" si="60"/>
        <v>4.1939416528835871E-2</v>
      </c>
      <c r="AE94" s="143">
        <f t="shared" si="60"/>
        <v>3.2489386148618307E-2</v>
      </c>
      <c r="AF94" s="143">
        <f t="shared" si="60"/>
        <v>5.9773460941121188E-2</v>
      </c>
      <c r="AG94" s="143">
        <f t="shared" si="60"/>
        <v>6.0700696667002771E-2</v>
      </c>
      <c r="AH94" s="102"/>
      <c r="AI94" s="113"/>
    </row>
    <row r="95" spans="1:35" s="87" customFormat="1">
      <c r="A95" s="87" t="s">
        <v>177</v>
      </c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0">
        <f>monthly_data!$CE553-Diesel!$S79</f>
        <v>-461.20200000000295</v>
      </c>
      <c r="T95" s="110">
        <f>monthly_data!$CE565-Diesel!T79</f>
        <v>-424.61999999999989</v>
      </c>
      <c r="U95" s="110">
        <f>monthly_data!$CE577-Diesel!U79</f>
        <v>-289.42200000000048</v>
      </c>
      <c r="V95" s="110">
        <f>monthly_data!$CE589-Diesel!V79</f>
        <v>-428.77799999999752</v>
      </c>
      <c r="W95" s="110">
        <f>monthly_data!$CE601-Diesel!W79</f>
        <v>-415.33799999999701</v>
      </c>
      <c r="X95" s="111">
        <f>monthly_data!$CE613-Diesel!X79</f>
        <v>-442.09199999999873</v>
      </c>
      <c r="Y95" s="111">
        <f>monthly_data!$CE613-Diesel!Y79</f>
        <v>-451.70234901531603</v>
      </c>
      <c r="Z95" s="143"/>
      <c r="AA95" s="143"/>
      <c r="AB95" s="143"/>
      <c r="AC95" s="143">
        <f t="shared" si="60"/>
        <v>8.8713130448130686E-2</v>
      </c>
      <c r="AD95" s="143">
        <f t="shared" si="60"/>
        <v>8.1459995165578905E-2</v>
      </c>
      <c r="AE95" s="143">
        <f t="shared" si="60"/>
        <v>6.0452140958496818E-2</v>
      </c>
      <c r="AF95" s="143">
        <f t="shared" si="60"/>
        <v>8.1211369114382773E-2</v>
      </c>
      <c r="AG95" s="143">
        <f t="shared" si="60"/>
        <v>8.1197809325964862E-2</v>
      </c>
      <c r="AH95" s="102"/>
      <c r="AI95" s="113"/>
    </row>
    <row r="96" spans="1:35" s="87" customFormat="1">
      <c r="A96" s="87" t="s">
        <v>178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0">
        <f>monthly_data!$CE554-Diesel!$S80</f>
        <v>-586.44599999999718</v>
      </c>
      <c r="T96" s="110">
        <f>monthly_data!$CE566-Diesel!T80</f>
        <v>-581.1120000000019</v>
      </c>
      <c r="U96" s="110">
        <f>monthly_data!$CE578-Diesel!U80</f>
        <v>-506.39400000000114</v>
      </c>
      <c r="V96" s="110">
        <f>monthly_data!$CE590-Diesel!V80</f>
        <v>-651.16799999999967</v>
      </c>
      <c r="W96" s="110">
        <f>monthly_data!$CE602-Diesel!W80</f>
        <v>-706.7340000000022</v>
      </c>
      <c r="X96" s="111">
        <f>monthly_data!$CE614-Diesel!X80</f>
        <v>-356.62199999999939</v>
      </c>
      <c r="Y96" s="111">
        <f>monthly_data!$CE614-Diesel!Y80</f>
        <v>-576.32527614952869</v>
      </c>
      <c r="Z96" s="143"/>
      <c r="AA96" s="143"/>
      <c r="AB96" s="143"/>
      <c r="AC96" s="143">
        <f t="shared" si="60"/>
        <v>0.11430746686532414</v>
      </c>
      <c r="AD96" s="143">
        <f t="shared" si="60"/>
        <v>0.11573787496026668</v>
      </c>
      <c r="AE96" s="143">
        <f t="shared" si="60"/>
        <v>0.10238012346412853</v>
      </c>
      <c r="AF96" s="143">
        <f t="shared" si="60"/>
        <v>0.12661080895683269</v>
      </c>
      <c r="AG96" s="143">
        <f t="shared" si="60"/>
        <v>0.14311472481862988</v>
      </c>
      <c r="AH96" s="102"/>
      <c r="AI96" s="113"/>
    </row>
    <row r="97" spans="1:40" s="87" customFormat="1">
      <c r="A97" s="109" t="s">
        <v>179</v>
      </c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2">
        <f>SUM(S85:S96)</f>
        <v>-3851.5260000000035</v>
      </c>
      <c r="T97" s="112">
        <f t="shared" ref="T97:Y97" si="61">SUM(T85:T96)</f>
        <v>-3517.2900000000036</v>
      </c>
      <c r="U97" s="112">
        <f t="shared" si="61"/>
        <v>-3003.420000000001</v>
      </c>
      <c r="V97" s="112">
        <f t="shared" si="61"/>
        <v>-4307.8139999999985</v>
      </c>
      <c r="W97" s="112">
        <f t="shared" si="61"/>
        <v>-4551.4139999999998</v>
      </c>
      <c r="X97" s="112">
        <f t="shared" si="61"/>
        <v>-4196.22</v>
      </c>
      <c r="Y97" s="112">
        <f t="shared" si="61"/>
        <v>-3087.6970298225033</v>
      </c>
      <c r="Z97" s="141"/>
      <c r="AA97" s="141"/>
      <c r="AB97" s="141"/>
      <c r="AC97" s="141"/>
      <c r="AD97" s="141"/>
      <c r="AE97" s="141"/>
      <c r="AF97" s="141"/>
      <c r="AG97" s="141"/>
      <c r="AH97" s="102"/>
      <c r="AI97" s="113"/>
    </row>
    <row r="98" spans="1:40" s="87" customForma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13"/>
    </row>
    <row r="99" spans="1:40" s="87" customFormat="1" ht="15.75" thickBot="1">
      <c r="A99" s="100" t="s">
        <v>247</v>
      </c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13"/>
    </row>
    <row r="100" spans="1:40" s="87" customFormat="1" ht="15.75" thickBot="1">
      <c r="A100" s="103"/>
      <c r="B100" s="104">
        <f t="shared" ref="B100:O100" si="62">B2</f>
        <v>2001</v>
      </c>
      <c r="C100" s="104">
        <f t="shared" si="62"/>
        <v>2002</v>
      </c>
      <c r="D100" s="104">
        <f t="shared" si="62"/>
        <v>2003</v>
      </c>
      <c r="E100" s="104">
        <f t="shared" si="62"/>
        <v>2004</v>
      </c>
      <c r="F100" s="104">
        <f t="shared" si="62"/>
        <v>2005</v>
      </c>
      <c r="G100" s="104">
        <f t="shared" si="62"/>
        <v>2006</v>
      </c>
      <c r="H100" s="104">
        <f t="shared" si="62"/>
        <v>2007</v>
      </c>
      <c r="I100" s="104">
        <f t="shared" si="62"/>
        <v>2008</v>
      </c>
      <c r="J100" s="104">
        <f t="shared" si="62"/>
        <v>2009</v>
      </c>
      <c r="K100" s="104">
        <f t="shared" si="62"/>
        <v>2010</v>
      </c>
      <c r="L100" s="104">
        <f t="shared" si="62"/>
        <v>2011</v>
      </c>
      <c r="M100" s="104">
        <f t="shared" si="62"/>
        <v>2012</v>
      </c>
      <c r="N100" s="104">
        <f t="shared" si="62"/>
        <v>2013</v>
      </c>
      <c r="O100" s="104">
        <f t="shared" si="62"/>
        <v>2014</v>
      </c>
      <c r="P100" s="104">
        <f>P2</f>
        <v>2015</v>
      </c>
      <c r="Q100" s="104">
        <f t="shared" ref="Q100:AH100" si="63">Q2</f>
        <v>2016</v>
      </c>
      <c r="R100" s="104">
        <f t="shared" si="63"/>
        <v>2017</v>
      </c>
      <c r="S100" s="104">
        <f t="shared" si="63"/>
        <v>2018</v>
      </c>
      <c r="T100" s="104">
        <f t="shared" si="63"/>
        <v>2019</v>
      </c>
      <c r="U100" s="104">
        <f t="shared" si="63"/>
        <v>2020</v>
      </c>
      <c r="V100" s="104">
        <f t="shared" si="63"/>
        <v>2021</v>
      </c>
      <c r="W100" s="104">
        <f t="shared" si="63"/>
        <v>2022</v>
      </c>
      <c r="X100" s="104">
        <f t="shared" si="63"/>
        <v>2023</v>
      </c>
      <c r="Y100" s="104">
        <f t="shared" si="63"/>
        <v>2024</v>
      </c>
      <c r="Z100" s="104">
        <f t="shared" si="63"/>
        <v>2025</v>
      </c>
      <c r="AA100" s="104">
        <f t="shared" si="63"/>
        <v>2026</v>
      </c>
      <c r="AB100" s="104">
        <f t="shared" si="63"/>
        <v>2027</v>
      </c>
      <c r="AC100" s="104">
        <f t="shared" si="63"/>
        <v>2028</v>
      </c>
      <c r="AD100" s="104">
        <f t="shared" si="63"/>
        <v>2029</v>
      </c>
      <c r="AE100" s="104">
        <f t="shared" si="63"/>
        <v>2030</v>
      </c>
      <c r="AF100" s="104">
        <f t="shared" si="63"/>
        <v>2031</v>
      </c>
      <c r="AG100" s="104">
        <f t="shared" si="63"/>
        <v>2032</v>
      </c>
      <c r="AH100" s="104">
        <f t="shared" si="63"/>
        <v>2033</v>
      </c>
      <c r="AI100" s="113"/>
      <c r="AJ100" s="100"/>
      <c r="AK100" s="105" t="s">
        <v>210</v>
      </c>
      <c r="AL100" s="105" t="s">
        <v>211</v>
      </c>
      <c r="AM100" s="105" t="s">
        <v>212</v>
      </c>
      <c r="AN100" s="100" t="s">
        <v>213</v>
      </c>
    </row>
    <row r="101" spans="1:40" s="87" customFormat="1">
      <c r="A101" s="87" t="s">
        <v>167</v>
      </c>
      <c r="S101" s="110">
        <f>S85+S69</f>
        <v>4687.2000000000007</v>
      </c>
      <c r="T101" s="110">
        <f t="shared" ref="T101:X112" si="64">T85+T69</f>
        <v>4817.4000000000005</v>
      </c>
      <c r="U101" s="110">
        <f t="shared" si="64"/>
        <v>4583.04</v>
      </c>
      <c r="V101" s="110">
        <f t="shared" si="64"/>
        <v>4465.8599999999997</v>
      </c>
      <c r="W101" s="110">
        <f t="shared" si="64"/>
        <v>4557</v>
      </c>
      <c r="X101" s="110">
        <f t="shared" si="64"/>
        <v>4478.88</v>
      </c>
      <c r="Y101" s="110">
        <f>Y85+Y69</f>
        <v>4478.88</v>
      </c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13"/>
      <c r="AJ101" t="s">
        <v>214</v>
      </c>
      <c r="AK101" s="106">
        <f>MAX(S101:W101)</f>
        <v>4817.4000000000005</v>
      </c>
      <c r="AL101" s="106">
        <f>MIN(S101:W101)</f>
        <v>4465.8599999999997</v>
      </c>
      <c r="AM101" s="106">
        <f>AVERAGE(S101:W101)</f>
        <v>4622.1000000000004</v>
      </c>
      <c r="AN101" s="107">
        <f>X101/31</f>
        <v>144.47999999999999</v>
      </c>
    </row>
    <row r="102" spans="1:40" s="87" customFormat="1">
      <c r="A102" s="87" t="s">
        <v>168</v>
      </c>
      <c r="S102" s="110">
        <f t="shared" ref="S102:W112" si="65">S86+S70</f>
        <v>4033.6800000000003</v>
      </c>
      <c r="T102" s="110">
        <f t="shared" si="65"/>
        <v>4398.2400000000007</v>
      </c>
      <c r="U102" s="110">
        <f t="shared" si="65"/>
        <v>4409.16</v>
      </c>
      <c r="V102" s="110">
        <f t="shared" si="65"/>
        <v>3951.36</v>
      </c>
      <c r="W102" s="110">
        <f t="shared" si="65"/>
        <v>4421.7599999999993</v>
      </c>
      <c r="X102" s="110">
        <f t="shared" si="64"/>
        <v>4151.28</v>
      </c>
      <c r="Y102" s="110">
        <f>Y86+Y70</f>
        <v>4151.28</v>
      </c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13"/>
      <c r="AJ102" t="s">
        <v>215</v>
      </c>
      <c r="AK102" s="106">
        <f t="shared" ref="AK102:AK111" si="66">MAX(S102:W102)</f>
        <v>4421.7599999999993</v>
      </c>
      <c r="AL102" s="106">
        <f t="shared" ref="AL102:AL111" si="67">MIN(S102:W102)</f>
        <v>3951.36</v>
      </c>
      <c r="AM102" s="106">
        <f t="shared" ref="AM102:AM111" si="68">AVERAGE(S102:W102)</f>
        <v>4242.84</v>
      </c>
      <c r="AN102" s="107">
        <f t="shared" ref="AN102:AN112" si="69">X102/31</f>
        <v>133.91225806451612</v>
      </c>
    </row>
    <row r="103" spans="1:40" s="87" customFormat="1">
      <c r="A103" s="87" t="s">
        <v>169</v>
      </c>
      <c r="S103" s="110">
        <f t="shared" si="65"/>
        <v>4960.62</v>
      </c>
      <c r="T103" s="110">
        <f t="shared" si="65"/>
        <v>4908.54</v>
      </c>
      <c r="U103" s="110">
        <f t="shared" si="65"/>
        <v>4687.2000000000007</v>
      </c>
      <c r="V103" s="110">
        <f t="shared" si="65"/>
        <v>4817.4000000000005</v>
      </c>
      <c r="W103" s="110">
        <f t="shared" si="65"/>
        <v>4973.6400000000003</v>
      </c>
      <c r="X103" s="110">
        <f t="shared" si="64"/>
        <v>4895.5199999999995</v>
      </c>
      <c r="Y103" s="110">
        <f>Y87+Y71</f>
        <v>4895.5199999999995</v>
      </c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13"/>
      <c r="AJ103" t="s">
        <v>216</v>
      </c>
      <c r="AK103" s="106">
        <f t="shared" si="66"/>
        <v>4973.6400000000003</v>
      </c>
      <c r="AL103" s="106">
        <f t="shared" si="67"/>
        <v>4687.2000000000007</v>
      </c>
      <c r="AM103" s="106">
        <f t="shared" si="68"/>
        <v>4869.4800000000005</v>
      </c>
      <c r="AN103" s="107">
        <f t="shared" si="69"/>
        <v>157.91999999999999</v>
      </c>
    </row>
    <row r="104" spans="1:40" s="87" customFormat="1">
      <c r="A104" s="87" t="s">
        <v>170</v>
      </c>
      <c r="S104" s="110">
        <f t="shared" si="65"/>
        <v>4851.0000000000009</v>
      </c>
      <c r="T104" s="110">
        <f t="shared" si="65"/>
        <v>4913.9999999999991</v>
      </c>
      <c r="U104" s="110">
        <f t="shared" si="65"/>
        <v>4107.5999999999995</v>
      </c>
      <c r="V104" s="110">
        <f t="shared" si="65"/>
        <v>4838.3999999999996</v>
      </c>
      <c r="W104" s="110">
        <f t="shared" si="65"/>
        <v>4712.4000000000005</v>
      </c>
      <c r="X104" s="110">
        <f t="shared" si="64"/>
        <v>4662</v>
      </c>
      <c r="Y104" s="110">
        <f>Y88+Y72</f>
        <v>4662</v>
      </c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13"/>
      <c r="AJ104" t="s">
        <v>217</v>
      </c>
      <c r="AK104" s="106">
        <f t="shared" si="66"/>
        <v>4913.9999999999991</v>
      </c>
      <c r="AL104" s="106">
        <f t="shared" si="67"/>
        <v>4107.5999999999995</v>
      </c>
      <c r="AM104" s="106">
        <f t="shared" si="68"/>
        <v>4684.68</v>
      </c>
      <c r="AN104" s="107">
        <f t="shared" si="69"/>
        <v>150.38709677419354</v>
      </c>
    </row>
    <row r="105" spans="1:40" s="87" customFormat="1">
      <c r="A105" s="87" t="s">
        <v>171</v>
      </c>
      <c r="S105" s="110">
        <f t="shared" si="65"/>
        <v>5286.119999999999</v>
      </c>
      <c r="T105" s="110">
        <f t="shared" si="65"/>
        <v>5142.9000000000005</v>
      </c>
      <c r="U105" s="110">
        <f t="shared" si="65"/>
        <v>4244.5199999999995</v>
      </c>
      <c r="V105" s="110">
        <f t="shared" si="65"/>
        <v>4895.5199999999995</v>
      </c>
      <c r="W105" s="110">
        <f t="shared" si="65"/>
        <v>4843.4400000000005</v>
      </c>
      <c r="X105" s="110">
        <f t="shared" si="64"/>
        <v>4882.5</v>
      </c>
      <c r="Y105" s="111">
        <f>AG89+Y73</f>
        <v>4952.5878620691556</v>
      </c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13"/>
      <c r="AJ105" t="s">
        <v>171</v>
      </c>
      <c r="AK105" s="106">
        <f t="shared" si="66"/>
        <v>5286.119999999999</v>
      </c>
      <c r="AL105" s="106">
        <f t="shared" si="67"/>
        <v>4244.5199999999995</v>
      </c>
      <c r="AM105" s="106">
        <f t="shared" si="68"/>
        <v>4882.5</v>
      </c>
      <c r="AN105" s="107">
        <f t="shared" si="69"/>
        <v>157.5</v>
      </c>
    </row>
    <row r="106" spans="1:40" s="87" customFormat="1">
      <c r="A106" s="87" t="s">
        <v>172</v>
      </c>
      <c r="S106" s="110">
        <f t="shared" si="65"/>
        <v>4863.6000000000004</v>
      </c>
      <c r="T106" s="110">
        <f t="shared" si="65"/>
        <v>4901.3999999999996</v>
      </c>
      <c r="U106" s="110">
        <f t="shared" si="65"/>
        <v>4258.8</v>
      </c>
      <c r="V106" s="110">
        <f t="shared" si="65"/>
        <v>4825.8</v>
      </c>
      <c r="W106" s="110">
        <f t="shared" si="65"/>
        <v>4951.8</v>
      </c>
      <c r="X106" s="110">
        <f t="shared" si="64"/>
        <v>4813.2</v>
      </c>
      <c r="Y106" s="111">
        <f>AG90+Y74</f>
        <v>4836.0064796960005</v>
      </c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13"/>
      <c r="AJ106" t="s">
        <v>218</v>
      </c>
      <c r="AK106" s="106">
        <f t="shared" si="66"/>
        <v>4951.8</v>
      </c>
      <c r="AL106" s="106">
        <f t="shared" si="67"/>
        <v>4258.8</v>
      </c>
      <c r="AM106" s="106">
        <f t="shared" si="68"/>
        <v>4760.28</v>
      </c>
      <c r="AN106" s="107">
        <f t="shared" si="69"/>
        <v>155.26451612903224</v>
      </c>
    </row>
    <row r="107" spans="1:40" s="87" customFormat="1">
      <c r="A107" s="87" t="s">
        <v>173</v>
      </c>
      <c r="S107" s="110">
        <f t="shared" si="65"/>
        <v>5038.74</v>
      </c>
      <c r="T107" s="110">
        <f t="shared" si="65"/>
        <v>4973.6400000000003</v>
      </c>
      <c r="U107" s="110">
        <f t="shared" si="65"/>
        <v>4557</v>
      </c>
      <c r="V107" s="110">
        <f t="shared" si="65"/>
        <v>4661.1600000000008</v>
      </c>
      <c r="W107" s="110">
        <f t="shared" si="65"/>
        <v>4635.12</v>
      </c>
      <c r="X107" s="110">
        <f t="shared" si="64"/>
        <v>4687.2000000000007</v>
      </c>
      <c r="Y107" s="111">
        <f t="shared" ref="Y107:Y112" si="70">Y75+AG91</f>
        <v>4767.4902812397195</v>
      </c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13"/>
      <c r="AJ107" t="s">
        <v>219</v>
      </c>
      <c r="AK107" s="106">
        <f t="shared" si="66"/>
        <v>5038.74</v>
      </c>
      <c r="AL107" s="106">
        <f t="shared" si="67"/>
        <v>4557</v>
      </c>
      <c r="AM107" s="106">
        <f t="shared" si="68"/>
        <v>4773.1319999999996</v>
      </c>
      <c r="AN107" s="108">
        <f t="shared" si="69"/>
        <v>151.20000000000002</v>
      </c>
    </row>
    <row r="108" spans="1:40" s="87" customFormat="1">
      <c r="A108" s="87" t="s">
        <v>174</v>
      </c>
      <c r="S108" s="110">
        <f t="shared" si="65"/>
        <v>5338.2</v>
      </c>
      <c r="T108" s="110">
        <f t="shared" si="65"/>
        <v>5116.8599999999997</v>
      </c>
      <c r="U108" s="110">
        <f t="shared" si="65"/>
        <v>4661.1600000000008</v>
      </c>
      <c r="V108" s="110">
        <f t="shared" si="65"/>
        <v>5038.74</v>
      </c>
      <c r="W108" s="110">
        <f t="shared" si="65"/>
        <v>5090.82</v>
      </c>
      <c r="X108" s="110">
        <f t="shared" si="64"/>
        <v>4882.5</v>
      </c>
      <c r="Y108" s="111">
        <f t="shared" si="70"/>
        <v>5078.7943353350893</v>
      </c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13"/>
      <c r="AJ108" t="s">
        <v>220</v>
      </c>
      <c r="AK108" s="106">
        <f t="shared" si="66"/>
        <v>5338.2</v>
      </c>
      <c r="AL108" s="106">
        <f t="shared" si="67"/>
        <v>4661.1600000000008</v>
      </c>
      <c r="AM108" s="106">
        <f t="shared" si="68"/>
        <v>5049.1559999999999</v>
      </c>
      <c r="AN108" s="108">
        <f t="shared" si="69"/>
        <v>157.5</v>
      </c>
    </row>
    <row r="109" spans="1:40" s="87" customFormat="1">
      <c r="A109" s="87" t="s">
        <v>175</v>
      </c>
      <c r="S109" s="110">
        <f t="shared" si="65"/>
        <v>4876.2</v>
      </c>
      <c r="T109" s="110">
        <f t="shared" si="65"/>
        <v>4737.5999999999995</v>
      </c>
      <c r="U109" s="110">
        <f t="shared" si="65"/>
        <v>4611.6000000000004</v>
      </c>
      <c r="V109" s="110">
        <f t="shared" si="65"/>
        <v>4888.8</v>
      </c>
      <c r="W109" s="110">
        <f t="shared" si="65"/>
        <v>4951.8</v>
      </c>
      <c r="X109" s="110">
        <f t="shared" si="64"/>
        <v>4687.2000000000007</v>
      </c>
      <c r="Y109" s="111">
        <f t="shared" si="70"/>
        <v>4919.5620083684526</v>
      </c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13"/>
      <c r="AJ109" t="s">
        <v>221</v>
      </c>
      <c r="AK109" s="106">
        <f t="shared" si="66"/>
        <v>4951.8</v>
      </c>
      <c r="AL109" s="106">
        <f t="shared" si="67"/>
        <v>4611.6000000000004</v>
      </c>
      <c r="AM109" s="106">
        <f t="shared" si="68"/>
        <v>4813.2</v>
      </c>
      <c r="AN109" s="108">
        <f t="shared" si="69"/>
        <v>151.20000000000002</v>
      </c>
    </row>
    <row r="110" spans="1:40" s="87" customFormat="1">
      <c r="A110" s="87" t="s">
        <v>176</v>
      </c>
      <c r="S110" s="110">
        <f t="shared" si="65"/>
        <v>5312.1600000000008</v>
      </c>
      <c r="T110" s="110">
        <f t="shared" si="65"/>
        <v>5181.96</v>
      </c>
      <c r="U110" s="110">
        <f t="shared" si="65"/>
        <v>4986.6600000000008</v>
      </c>
      <c r="V110" s="110">
        <f t="shared" si="65"/>
        <v>4856.46</v>
      </c>
      <c r="W110" s="110">
        <f t="shared" si="65"/>
        <v>5090.82</v>
      </c>
      <c r="X110" s="110">
        <f t="shared" si="64"/>
        <v>4999.68</v>
      </c>
      <c r="Y110" s="111">
        <f t="shared" si="70"/>
        <v>5261.2323178925908</v>
      </c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13"/>
      <c r="AJ110" t="s">
        <v>222</v>
      </c>
      <c r="AK110" s="106">
        <f t="shared" si="66"/>
        <v>5312.1600000000008</v>
      </c>
      <c r="AL110" s="106">
        <f t="shared" si="67"/>
        <v>4856.46</v>
      </c>
      <c r="AM110" s="106">
        <f t="shared" si="68"/>
        <v>5085.6120000000001</v>
      </c>
      <c r="AN110" s="108">
        <f t="shared" si="69"/>
        <v>161.28</v>
      </c>
    </row>
    <row r="111" spans="1:40" s="87" customFormat="1">
      <c r="A111" s="87" t="s">
        <v>177</v>
      </c>
      <c r="S111" s="110">
        <f t="shared" si="65"/>
        <v>4737.5999999999995</v>
      </c>
      <c r="T111" s="110">
        <f t="shared" si="65"/>
        <v>4788</v>
      </c>
      <c r="U111" s="110">
        <f t="shared" si="65"/>
        <v>4498.2</v>
      </c>
      <c r="V111" s="110">
        <f t="shared" si="65"/>
        <v>4851.0000000000009</v>
      </c>
      <c r="W111" s="110">
        <f t="shared" si="65"/>
        <v>4699.8</v>
      </c>
      <c r="X111" s="110">
        <f t="shared" si="64"/>
        <v>4611.6000000000004</v>
      </c>
      <c r="Y111" s="111">
        <f t="shared" si="70"/>
        <v>5063.3835468246425</v>
      </c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13"/>
      <c r="AJ111" t="s">
        <v>223</v>
      </c>
      <c r="AK111" s="106">
        <f t="shared" si="66"/>
        <v>4851.0000000000009</v>
      </c>
      <c r="AL111" s="106">
        <f t="shared" si="67"/>
        <v>4498.2</v>
      </c>
      <c r="AM111" s="106">
        <f t="shared" si="68"/>
        <v>4714.92</v>
      </c>
      <c r="AN111" s="108">
        <f t="shared" si="69"/>
        <v>148.76129032258066</v>
      </c>
    </row>
    <row r="112" spans="1:40" s="87" customFormat="1">
      <c r="A112" s="87" t="s">
        <v>178</v>
      </c>
      <c r="S112" s="110">
        <f t="shared" si="65"/>
        <v>4543.9800000000005</v>
      </c>
      <c r="T112" s="110">
        <f t="shared" si="65"/>
        <v>4439.82</v>
      </c>
      <c r="U112" s="110">
        <f t="shared" si="65"/>
        <v>4439.82</v>
      </c>
      <c r="V112" s="110">
        <f t="shared" si="65"/>
        <v>4491.9000000000005</v>
      </c>
      <c r="W112" s="110">
        <f t="shared" si="65"/>
        <v>4231.5</v>
      </c>
      <c r="X112" s="110">
        <f t="shared" si="64"/>
        <v>4348.68</v>
      </c>
      <c r="Y112" s="111">
        <f t="shared" si="70"/>
        <v>4925.1483908743476</v>
      </c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13"/>
      <c r="AJ112" t="s">
        <v>224</v>
      </c>
      <c r="AK112" s="106">
        <f>MAX(S112:W112)</f>
        <v>4543.9800000000005</v>
      </c>
      <c r="AL112" s="106">
        <f>MIN(S112:W112)</f>
        <v>4231.5</v>
      </c>
      <c r="AM112" s="106">
        <f>AVERAGE(S112:W112)</f>
        <v>4429.4040000000005</v>
      </c>
      <c r="AN112" s="108">
        <f t="shared" si="69"/>
        <v>140.28</v>
      </c>
    </row>
    <row r="113" spans="1:40" s="87" customFormat="1">
      <c r="A113" s="109" t="s">
        <v>179</v>
      </c>
      <c r="S113" s="112">
        <f>SUM(S101:S112)</f>
        <v>58529.1</v>
      </c>
      <c r="T113" s="112">
        <f t="shared" ref="T113:X113" si="71">SUM(T101:T112)</f>
        <v>58320.36</v>
      </c>
      <c r="U113" s="112">
        <f t="shared" si="71"/>
        <v>54044.76</v>
      </c>
      <c r="V113" s="112">
        <f t="shared" si="71"/>
        <v>56582.400000000001</v>
      </c>
      <c r="W113" s="112">
        <f t="shared" si="71"/>
        <v>57159.9</v>
      </c>
      <c r="X113" s="112">
        <f t="shared" si="71"/>
        <v>56100.24</v>
      </c>
      <c r="Y113" s="136">
        <f>SUM(Y101:Y112)</f>
        <v>57991.885222299992</v>
      </c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13"/>
      <c r="AJ113" t="s">
        <v>201</v>
      </c>
      <c r="AK113" s="106">
        <f>AVERAGE(AK101:AK112)</f>
        <v>4950.05</v>
      </c>
      <c r="AL113" s="106">
        <f t="shared" ref="AL113:AN113" si="72">AVERAGE(AL101:AL112)</f>
        <v>4427.6049999999996</v>
      </c>
      <c r="AM113" s="106">
        <f t="shared" si="72"/>
        <v>4743.942</v>
      </c>
      <c r="AN113" s="107">
        <f t="shared" si="72"/>
        <v>150.80709677419352</v>
      </c>
    </row>
    <row r="114" spans="1:40" s="87" customForma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13"/>
    </row>
    <row r="115" spans="1:40" s="150" customFormat="1" ht="15.75" thickBot="1">
      <c r="A115" s="145" t="s">
        <v>243</v>
      </c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7"/>
      <c r="Y115" s="147"/>
      <c r="Z115" s="147"/>
      <c r="AA115" s="147"/>
      <c r="AB115" s="147"/>
      <c r="AC115" s="147"/>
      <c r="AD115" s="148"/>
      <c r="AE115" s="148"/>
      <c r="AF115" s="148"/>
      <c r="AG115" s="148"/>
      <c r="AH115" s="148"/>
      <c r="AI115" s="149"/>
    </row>
    <row r="116" spans="1:40" s="150" customFormat="1" ht="15.75" thickBot="1">
      <c r="A116" s="151"/>
      <c r="B116" s="152">
        <v>2001</v>
      </c>
      <c r="C116" s="152">
        <v>2002</v>
      </c>
      <c r="D116" s="152">
        <v>2003</v>
      </c>
      <c r="E116" s="152">
        <v>2004</v>
      </c>
      <c r="F116" s="152">
        <v>2005</v>
      </c>
      <c r="G116" s="152">
        <v>2006</v>
      </c>
      <c r="H116" s="152">
        <v>2007</v>
      </c>
      <c r="I116" s="152">
        <v>2008</v>
      </c>
      <c r="J116" s="152">
        <v>2009</v>
      </c>
      <c r="K116" s="152">
        <v>2010</v>
      </c>
      <c r="L116" s="152">
        <v>2011</v>
      </c>
      <c r="M116" s="152">
        <v>2012</v>
      </c>
      <c r="N116" s="152">
        <v>2013</v>
      </c>
      <c r="O116" s="152">
        <v>2014</v>
      </c>
      <c r="P116" s="152">
        <v>2015</v>
      </c>
      <c r="Q116" s="152">
        <v>2016</v>
      </c>
      <c r="R116" s="152">
        <v>2017</v>
      </c>
      <c r="S116" s="152">
        <v>2018</v>
      </c>
      <c r="T116" s="152">
        <v>2019</v>
      </c>
      <c r="U116" s="152">
        <v>2020</v>
      </c>
      <c r="V116" s="152">
        <v>2021</v>
      </c>
      <c r="W116" s="152">
        <v>2022</v>
      </c>
      <c r="X116" s="152">
        <v>2023</v>
      </c>
      <c r="Y116" s="152">
        <v>2024</v>
      </c>
      <c r="Z116" s="152">
        <v>2025</v>
      </c>
      <c r="AA116" s="152">
        <v>2026</v>
      </c>
      <c r="AB116" s="152">
        <v>2027</v>
      </c>
      <c r="AC116" s="152">
        <v>2028</v>
      </c>
      <c r="AD116" s="152">
        <v>2029</v>
      </c>
      <c r="AE116" s="152">
        <v>2030</v>
      </c>
      <c r="AF116" s="152">
        <v>2031</v>
      </c>
      <c r="AG116" s="152">
        <v>2032</v>
      </c>
      <c r="AH116" s="152">
        <v>2033</v>
      </c>
      <c r="AI116" s="149"/>
    </row>
    <row r="117" spans="1:40" s="150" customFormat="1" ht="14.25">
      <c r="A117" s="150" t="s">
        <v>167</v>
      </c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>
        <f>(comp!C471)</f>
        <v>26.026979999999998</v>
      </c>
      <c r="N117" s="153">
        <f>(comp!C483)</f>
        <v>16.604279999999999</v>
      </c>
      <c r="O117" s="153">
        <f>(comp!C495)</f>
        <v>26.669369999999997</v>
      </c>
      <c r="P117" s="153">
        <f>(comp!C507)</f>
        <v>25.699169999999999</v>
      </c>
      <c r="Q117" s="153">
        <f>(comp!C519)</f>
        <v>27.42033</v>
      </c>
      <c r="R117" s="153">
        <f>(comp!C531)</f>
        <v>128.43171599999999</v>
      </c>
      <c r="S117" s="153">
        <f>monthly_data!$CI543</f>
        <v>1300.278</v>
      </c>
      <c r="T117" s="153">
        <f>monthly_data!$CI555</f>
        <v>1666.0139999999999</v>
      </c>
      <c r="U117" s="153">
        <f>monthly_data!$CI567</f>
        <v>1609.944</v>
      </c>
      <c r="V117" s="153">
        <f>monthly_data!$CI579</f>
        <v>1173.8579999999999</v>
      </c>
      <c r="W117" s="153">
        <f>monthly_data!$CI591</f>
        <v>1219.848</v>
      </c>
      <c r="X117" s="153">
        <f>monthly_data!$CI603</f>
        <v>1223.712</v>
      </c>
      <c r="Y117" s="153">
        <f>monthly_data!$CI615</f>
        <v>1336.7760000000001</v>
      </c>
      <c r="Z117" s="154">
        <f t="shared" ref="Z117:Z127" si="73">Y$129*(SUM(U117:Y117)/SUM(U$129:Y$129))</f>
        <v>1341.2272829807473</v>
      </c>
      <c r="AA117" s="154">
        <f t="shared" ref="AA117:AA127" si="74">Z$129*(SUM(V117:Z117)/SUM(V$129:Z$129))</f>
        <v>88.85372230519188</v>
      </c>
      <c r="AB117" s="154">
        <f t="shared" ref="AB117:AH127" si="75">AA$129*(SUM(W117:AA117)/SUM(W$129:AA$129))</f>
        <v>969.74472225888746</v>
      </c>
      <c r="AC117" s="154">
        <f t="shared" si="75"/>
        <v>1174.9323436407126</v>
      </c>
      <c r="AD117" s="154">
        <f t="shared" si="75"/>
        <v>1271.6323602510186</v>
      </c>
      <c r="AE117" s="154">
        <f t="shared" si="75"/>
        <v>1294.5217358452915</v>
      </c>
      <c r="AF117" s="154">
        <f t="shared" si="75"/>
        <v>1045.4395943560689</v>
      </c>
      <c r="AG117" s="154">
        <f t="shared" si="75"/>
        <v>1198.456537130668</v>
      </c>
      <c r="AH117" s="154">
        <f t="shared" si="75"/>
        <v>1229.1722054096783</v>
      </c>
      <c r="AI117" s="149"/>
    </row>
    <row r="118" spans="1:40" s="150" customFormat="1" ht="14.25">
      <c r="A118" s="150" t="s">
        <v>168</v>
      </c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>
        <f>(comp!C472)</f>
        <v>23.602319999999999</v>
      </c>
      <c r="N118" s="153">
        <f>(comp!C484)</f>
        <v>26.406617999999998</v>
      </c>
      <c r="O118" s="153">
        <f>(comp!C496)</f>
        <v>15.648569999999999</v>
      </c>
      <c r="P118" s="153">
        <f>(comp!C508)</f>
        <v>49.008959999999995</v>
      </c>
      <c r="Q118" s="153">
        <f>(comp!C520)</f>
        <v>29.937809999999999</v>
      </c>
      <c r="R118" s="153">
        <f>(comp!C532)</f>
        <v>123.68021399999999</v>
      </c>
      <c r="S118" s="153">
        <f>monthly_data!$CI544</f>
        <v>1216.068</v>
      </c>
      <c r="T118" s="153">
        <f>monthly_data!$CI556</f>
        <v>1364.328</v>
      </c>
      <c r="U118" s="153">
        <f>monthly_data!$CI568</f>
        <v>1601.6279999999999</v>
      </c>
      <c r="V118" s="153">
        <f>monthly_data!$CI580</f>
        <v>1037.19</v>
      </c>
      <c r="W118" s="153">
        <f>monthly_data!$CI592</f>
        <v>1038.8699999999999</v>
      </c>
      <c r="X118" s="153">
        <f>monthly_data!$CI604</f>
        <v>1073.8979999999999</v>
      </c>
      <c r="Y118" s="153">
        <f>monthly_data!$CI616</f>
        <v>1157.604</v>
      </c>
      <c r="Z118" s="154">
        <f t="shared" si="73"/>
        <v>1207.4040564529575</v>
      </c>
      <c r="AA118" s="154">
        <f t="shared" si="74"/>
        <v>77.838359098759753</v>
      </c>
      <c r="AB118" s="154">
        <f t="shared" si="75"/>
        <v>847.87513775691434</v>
      </c>
      <c r="AC118" s="154">
        <f t="shared" si="75"/>
        <v>1033.8323264498893</v>
      </c>
      <c r="AD118" s="154">
        <f t="shared" si="75"/>
        <v>1119.6588636964555</v>
      </c>
      <c r="AE118" s="154">
        <f t="shared" si="75"/>
        <v>1144.9981733770637</v>
      </c>
      <c r="AF118" s="154">
        <f t="shared" si="75"/>
        <v>920.09142918462749</v>
      </c>
      <c r="AG118" s="154">
        <f t="shared" si="75"/>
        <v>1054.8369746593069</v>
      </c>
      <c r="AH118" s="154">
        <f t="shared" si="75"/>
        <v>1083.0338217402905</v>
      </c>
      <c r="AI118" s="149"/>
    </row>
    <row r="119" spans="1:40" s="150" customFormat="1" ht="14.25">
      <c r="A119" s="150" t="s">
        <v>169</v>
      </c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>
        <f>(comp!C473)</f>
        <v>29.674218</v>
      </c>
      <c r="N119" s="153">
        <f>(comp!C485)</f>
        <v>87.924479999999988</v>
      </c>
      <c r="O119" s="153">
        <f>(comp!C497)</f>
        <v>43.078559999999996</v>
      </c>
      <c r="P119" s="153">
        <f>(comp!C509)</f>
        <v>67.65549</v>
      </c>
      <c r="Q119" s="153">
        <f>(comp!C521)</f>
        <v>41.740985999999999</v>
      </c>
      <c r="R119" s="153">
        <f>(comp!C533)</f>
        <v>137.09455199999999</v>
      </c>
      <c r="S119" s="153">
        <f>monthly_data!$CI545</f>
        <v>1468.6559999999999</v>
      </c>
      <c r="T119" s="153">
        <f>monthly_data!$CI557</f>
        <v>1526.8679999999999</v>
      </c>
      <c r="U119" s="153">
        <f>monthly_data!$CI569</f>
        <v>1857.5340000000001</v>
      </c>
      <c r="V119" s="153">
        <f>monthly_data!$CI581</f>
        <v>1101.4079999999999</v>
      </c>
      <c r="W119" s="153">
        <f>monthly_data!$CI593</f>
        <v>1564.7940000000001</v>
      </c>
      <c r="X119" s="153">
        <f>monthly_data!$CI605</f>
        <v>1486.086</v>
      </c>
      <c r="Y119" s="153">
        <f>monthly_data!$CI617</f>
        <v>1467.3119999999999</v>
      </c>
      <c r="Z119" s="154">
        <f t="shared" si="73"/>
        <v>1527.7765518188328</v>
      </c>
      <c r="AA119" s="154">
        <f t="shared" si="74"/>
        <v>100.87823877058437</v>
      </c>
      <c r="AB119" s="154">
        <f t="shared" si="75"/>
        <v>1144.0297825799348</v>
      </c>
      <c r="AC119" s="154">
        <f t="shared" si="75"/>
        <v>1356.3173595683236</v>
      </c>
      <c r="AD119" s="154">
        <f t="shared" si="75"/>
        <v>1448.9269120096139</v>
      </c>
      <c r="AE119" s="154">
        <f t="shared" si="75"/>
        <v>1489.9233218367469</v>
      </c>
      <c r="AF119" s="154">
        <f t="shared" si="75"/>
        <v>1206.7072199564723</v>
      </c>
      <c r="AG119" s="154">
        <f t="shared" si="75"/>
        <v>1383.6784517780441</v>
      </c>
      <c r="AH119" s="154">
        <f t="shared" si="75"/>
        <v>1414.1278761750348</v>
      </c>
      <c r="AI119" s="149"/>
    </row>
    <row r="120" spans="1:40" s="150" customFormat="1" ht="14.25">
      <c r="A120" s="150" t="s">
        <v>170</v>
      </c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>
        <f>(comp!C474)</f>
        <v>16.138794000000001</v>
      </c>
      <c r="N120" s="153">
        <f>(comp!C486)</f>
        <v>29.043629999999997</v>
      </c>
      <c r="O120" s="153">
        <f>(comp!C498)</f>
        <v>11.724383999999999</v>
      </c>
      <c r="P120" s="153">
        <f>(comp!C510)</f>
        <v>36.571163999999996</v>
      </c>
      <c r="Q120" s="153">
        <f>(comp!C522)</f>
        <v>68.486586000000003</v>
      </c>
      <c r="R120" s="153">
        <f>(comp!C534)</f>
        <v>79.98236399999999</v>
      </c>
      <c r="S120" s="153">
        <f>monthly_data!$CI546</f>
        <v>1844.598</v>
      </c>
      <c r="T120" s="153">
        <f>monthly_data!$CI558</f>
        <v>1589.1959999999999</v>
      </c>
      <c r="U120" s="153">
        <f>monthly_data!$CI570</f>
        <v>1315.9860000000001</v>
      </c>
      <c r="V120" s="153">
        <f>monthly_data!$CI582</f>
        <v>1311.492</v>
      </c>
      <c r="W120" s="153">
        <f>monthly_data!$CI594</f>
        <v>1596.63</v>
      </c>
      <c r="X120" s="153">
        <f>monthly_data!$CI606</f>
        <v>1285.0740000000001</v>
      </c>
      <c r="Y120" s="153">
        <f>monthly_data!$CI618</f>
        <v>1547.91</v>
      </c>
      <c r="Z120" s="154">
        <f t="shared" si="73"/>
        <v>1441.9508439501378</v>
      </c>
      <c r="AA120" s="154">
        <f t="shared" si="74"/>
        <v>101.3818312430014</v>
      </c>
      <c r="AB120" s="154">
        <f t="shared" si="75"/>
        <v>1111.6640968901581</v>
      </c>
      <c r="AC120" s="154">
        <f t="shared" si="75"/>
        <v>1299.9190100805424</v>
      </c>
      <c r="AD120" s="154">
        <f t="shared" si="75"/>
        <v>1424.7221409855958</v>
      </c>
      <c r="AE120" s="154">
        <f t="shared" si="75"/>
        <v>1436.9577360754015</v>
      </c>
      <c r="AF120" s="154">
        <f t="shared" si="75"/>
        <v>1170.674040261898</v>
      </c>
      <c r="AG120" s="154">
        <f t="shared" si="75"/>
        <v>1341.628769477358</v>
      </c>
      <c r="AH120" s="154">
        <f t="shared" si="75"/>
        <v>1370.6597086656184</v>
      </c>
      <c r="AI120" s="149"/>
    </row>
    <row r="121" spans="1:40" s="150" customFormat="1" ht="14.25">
      <c r="A121" s="150" t="s">
        <v>171</v>
      </c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>
        <f>(comp!C475)</f>
        <v>25.109741999999997</v>
      </c>
      <c r="N121" s="153">
        <f>(comp!C487)</f>
        <v>44.706437999999999</v>
      </c>
      <c r="O121" s="153">
        <f>(comp!C499)</f>
        <v>51.957401999999995</v>
      </c>
      <c r="P121" s="153">
        <f>(comp!C511)</f>
        <v>42.775866000000001</v>
      </c>
      <c r="Q121" s="153">
        <f>(comp!C523)</f>
        <v>92.549982</v>
      </c>
      <c r="R121" s="153">
        <f>(comp!C535)</f>
        <v>131.83610999999999</v>
      </c>
      <c r="S121" s="153">
        <f>monthly_data!$CI547</f>
        <v>1786.134</v>
      </c>
      <c r="T121" s="153">
        <f>monthly_data!$CI559</f>
        <v>1676.0940000000001</v>
      </c>
      <c r="U121" s="153">
        <f>monthly_data!$CI571</f>
        <v>1040.424</v>
      </c>
      <c r="V121" s="153">
        <f>monthly_data!$CI583</f>
        <v>1354.5840000000001</v>
      </c>
      <c r="W121" s="153">
        <f>monthly_data!$CI595</f>
        <v>1538.3340000000001</v>
      </c>
      <c r="X121" s="153">
        <f>monthly_data!$CI607</f>
        <v>1523.172</v>
      </c>
      <c r="Y121" s="154">
        <f t="shared" ref="Y121:Y127" si="76">X$129*(SUM(T121:X121)/SUM(T$129:X$129))</f>
        <v>1345.7486250152065</v>
      </c>
      <c r="Z121" s="154">
        <f t="shared" si="73"/>
        <v>1389.8824519945545</v>
      </c>
      <c r="AA121" s="154">
        <f t="shared" si="74"/>
        <v>100.93955750010392</v>
      </c>
      <c r="AB121" s="154">
        <f t="shared" si="75"/>
        <v>1097.7295448698005</v>
      </c>
      <c r="AC121" s="154">
        <f t="shared" si="75"/>
        <v>1292.6925453254187</v>
      </c>
      <c r="AD121" s="154">
        <f t="shared" si="75"/>
        <v>1353.3069300132595</v>
      </c>
      <c r="AE121" s="154">
        <f t="shared" si="75"/>
        <v>1398.2035044860102</v>
      </c>
      <c r="AF121" s="154">
        <f t="shared" si="75"/>
        <v>1141.972065874153</v>
      </c>
      <c r="AG121" s="154">
        <f t="shared" si="75"/>
        <v>1308.3099899291649</v>
      </c>
      <c r="AH121" s="154">
        <f t="shared" si="75"/>
        <v>1333.8118197077329</v>
      </c>
      <c r="AI121" s="149"/>
    </row>
    <row r="122" spans="1:40" s="150" customFormat="1" ht="14.25">
      <c r="A122" s="150" t="s">
        <v>172</v>
      </c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>
        <f>(comp!C476)</f>
        <v>19.224449999999997</v>
      </c>
      <c r="N122" s="153">
        <f>(comp!C488)</f>
        <v>56.776691999999997</v>
      </c>
      <c r="O122" s="153">
        <f>(comp!C500)</f>
        <v>12.150053999999999</v>
      </c>
      <c r="P122" s="153">
        <f>(comp!C512)</f>
        <v>47.296367999999994</v>
      </c>
      <c r="Q122" s="153">
        <f>(comp!C524)</f>
        <v>61.312985999999995</v>
      </c>
      <c r="R122" s="153">
        <f>(comp!C536)</f>
        <v>114.51602399999999</v>
      </c>
      <c r="S122" s="153">
        <f>monthly_data!$CI548</f>
        <v>1848.672</v>
      </c>
      <c r="T122" s="153">
        <f>monthly_data!$CI560</f>
        <v>1909.992</v>
      </c>
      <c r="U122" s="153">
        <f>monthly_data!$CI572</f>
        <v>1644.636</v>
      </c>
      <c r="V122" s="153">
        <f>monthly_data!$CI584</f>
        <v>1584.3240000000001</v>
      </c>
      <c r="W122" s="153">
        <f>monthly_data!$CI596</f>
        <v>1524.768</v>
      </c>
      <c r="X122" s="153">
        <f>monthly_data!$CI608</f>
        <v>1504.3140000000001</v>
      </c>
      <c r="Y122" s="154">
        <f t="shared" si="76"/>
        <v>1541.1081787443604</v>
      </c>
      <c r="Z122" s="154">
        <f t="shared" si="73"/>
        <v>1593.5729876178884</v>
      </c>
      <c r="AA122" s="154">
        <f t="shared" si="74"/>
        <v>109.35668234587276</v>
      </c>
      <c r="AB122" s="154">
        <f t="shared" si="75"/>
        <v>1167.5312857321539</v>
      </c>
      <c r="AC122" s="154">
        <f t="shared" si="75"/>
        <v>1401.2747615649002</v>
      </c>
      <c r="AD122" s="154">
        <f t="shared" si="75"/>
        <v>1504.9881149381024</v>
      </c>
      <c r="AE122" s="154">
        <f t="shared" si="75"/>
        <v>1543.0235488766357</v>
      </c>
      <c r="AF122" s="154">
        <f t="shared" si="75"/>
        <v>1247.2421793124001</v>
      </c>
      <c r="AG122" s="154">
        <f t="shared" si="75"/>
        <v>1429.098420684553</v>
      </c>
      <c r="AH122" s="154">
        <f t="shared" si="75"/>
        <v>1463.4332817978548</v>
      </c>
      <c r="AI122" s="149"/>
    </row>
    <row r="123" spans="1:40" s="150" customFormat="1" ht="14.25">
      <c r="A123" s="150" t="s">
        <v>173</v>
      </c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>
        <f>(comp!C477)</f>
        <v>22.388562</v>
      </c>
      <c r="N123" s="153">
        <f>(comp!C489)</f>
        <v>56.595167999999994</v>
      </c>
      <c r="O123" s="153">
        <f>(comp!C501)</f>
        <v>14.314775999999998</v>
      </c>
      <c r="P123" s="153">
        <f>(comp!C513)</f>
        <v>63.167957999999999</v>
      </c>
      <c r="Q123" s="153">
        <f>(comp!C525)</f>
        <v>46.307477999999996</v>
      </c>
      <c r="R123" s="153">
        <f>(comp!C537)</f>
        <v>78.130373999999989</v>
      </c>
      <c r="S123" s="153">
        <f>monthly_data!$CI549</f>
        <v>1695.7919999999999</v>
      </c>
      <c r="T123" s="153">
        <f>monthly_data!$CI561</f>
        <v>1788.864</v>
      </c>
      <c r="U123" s="153">
        <f>monthly_data!$CI573</f>
        <v>1785.84</v>
      </c>
      <c r="V123" s="153">
        <f>monthly_data!$CI585</f>
        <v>1668.4079999999999</v>
      </c>
      <c r="W123" s="153">
        <f>monthly_data!$CI597</f>
        <v>1994.6220000000001</v>
      </c>
      <c r="X123" s="153">
        <f>monthly_data!$CI609</f>
        <v>1588.566</v>
      </c>
      <c r="Y123" s="154">
        <f>X$129*(SUM(T123:X123)/SUM(T$129:X$129))</f>
        <v>1665.3068679747596</v>
      </c>
      <c r="Z123" s="154">
        <f t="shared" si="73"/>
        <v>1778.2009109640694</v>
      </c>
      <c r="AA123" s="154">
        <f t="shared" si="74"/>
        <v>122.7228968261913</v>
      </c>
      <c r="AB123" s="154">
        <f t="shared" si="75"/>
        <v>1330.6249808813095</v>
      </c>
      <c r="AC123" s="154">
        <f t="shared" si="75"/>
        <v>1536.1793799912114</v>
      </c>
      <c r="AD123" s="154">
        <f t="shared" si="75"/>
        <v>1665.5601709472223</v>
      </c>
      <c r="AE123" s="154">
        <f t="shared" si="75"/>
        <v>1718.3988179253304</v>
      </c>
      <c r="AF123" s="154">
        <f t="shared" si="75"/>
        <v>1388.2359023283429</v>
      </c>
      <c r="AG123" s="154">
        <f t="shared" si="75"/>
        <v>1590.4409257818916</v>
      </c>
      <c r="AH123" s="154">
        <f t="shared" si="75"/>
        <v>1622.227630614937</v>
      </c>
      <c r="AI123" s="149"/>
    </row>
    <row r="124" spans="1:40" s="150" customFormat="1" ht="14.25">
      <c r="A124" s="150" t="s">
        <v>174</v>
      </c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>
        <f>(comp!C478)</f>
        <v>28.742363999999998</v>
      </c>
      <c r="N124" s="153">
        <f>(comp!C490)</f>
        <v>46.569263999999997</v>
      </c>
      <c r="O124" s="153">
        <f>(comp!C502)</f>
        <v>43.277975999999995</v>
      </c>
      <c r="P124" s="153">
        <f>(comp!C514)</f>
        <v>44.032505999999998</v>
      </c>
      <c r="Q124" s="153">
        <f>(comp!C526)</f>
        <v>71.877960000000002</v>
      </c>
      <c r="R124" s="153">
        <f>(comp!C538)</f>
        <v>113.082984</v>
      </c>
      <c r="S124" s="153">
        <f>monthly_data!$CI550</f>
        <v>1663.41</v>
      </c>
      <c r="T124" s="153">
        <f>monthly_data!$CI562</f>
        <v>1992.06</v>
      </c>
      <c r="U124" s="153">
        <f>monthly_data!$CI574</f>
        <v>1752.0719999999999</v>
      </c>
      <c r="V124" s="153">
        <f>monthly_data!$CI586</f>
        <v>1509.732</v>
      </c>
      <c r="W124" s="153">
        <f>monthly_data!$CI598</f>
        <v>1771.8119999999999</v>
      </c>
      <c r="X124" s="153">
        <f>monthly_data!$CI610</f>
        <v>1489.2360000000001</v>
      </c>
      <c r="Y124" s="154">
        <f t="shared" si="76"/>
        <v>1606.5555707148749</v>
      </c>
      <c r="Z124" s="154">
        <f t="shared" si="73"/>
        <v>1661.0533215957726</v>
      </c>
      <c r="AA124" s="154">
        <f t="shared" si="74"/>
        <v>113.45400765305598</v>
      </c>
      <c r="AB124" s="154">
        <f t="shared" si="75"/>
        <v>1236.2066190409555</v>
      </c>
      <c r="AC124" s="154">
        <f t="shared" si="75"/>
        <v>1446.426826000443</v>
      </c>
      <c r="AD124" s="154">
        <f t="shared" si="75"/>
        <v>1569.9356623180447</v>
      </c>
      <c r="AE124" s="154">
        <f t="shared" si="75"/>
        <v>1609.8953563833452</v>
      </c>
      <c r="AF124" s="154">
        <f t="shared" si="75"/>
        <v>1301.6399895491734</v>
      </c>
      <c r="AG124" s="154">
        <f t="shared" si="75"/>
        <v>1491.5677490083795</v>
      </c>
      <c r="AH124" s="154">
        <f t="shared" si="75"/>
        <v>1523.7806903206072</v>
      </c>
      <c r="AI124" s="149"/>
    </row>
    <row r="125" spans="1:40" s="150" customFormat="1" ht="14.25">
      <c r="A125" s="150" t="s">
        <v>175</v>
      </c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>
        <f>(comp!C479)</f>
        <v>26.816412</v>
      </c>
      <c r="N125" s="153">
        <f>(comp!C491)</f>
        <v>56.309483999999998</v>
      </c>
      <c r="O125" s="153">
        <f>(comp!C503)</f>
        <v>46.321883999999997</v>
      </c>
      <c r="P125" s="153">
        <f>(comp!C515)</f>
        <v>55.090433999999995</v>
      </c>
      <c r="Q125" s="153">
        <f>(comp!C527)</f>
        <v>106.01266199999999</v>
      </c>
      <c r="R125" s="153">
        <f>(comp!C539)</f>
        <v>59.674607999999999</v>
      </c>
      <c r="S125" s="153">
        <f>monthly_data!$CI551</f>
        <v>1635.69</v>
      </c>
      <c r="T125" s="153">
        <f>monthly_data!$CI563</f>
        <v>1798.0619999999999</v>
      </c>
      <c r="U125" s="153">
        <f>monthly_data!$CI575</f>
        <v>1491.5039999999999</v>
      </c>
      <c r="V125" s="153">
        <f>monthly_data!$CI587</f>
        <v>1174.53</v>
      </c>
      <c r="W125" s="153">
        <f>monthly_data!$CI599</f>
        <v>1649.55</v>
      </c>
      <c r="X125" s="153">
        <f>monthly_data!$CI611</f>
        <v>1317.162</v>
      </c>
      <c r="Y125" s="154">
        <f t="shared" si="76"/>
        <v>1402.0116693293667</v>
      </c>
      <c r="Z125" s="154">
        <f t="shared" si="73"/>
        <v>1437.3873485387726</v>
      </c>
      <c r="AA125" s="154">
        <f t="shared" si="74"/>
        <v>98.524929569162964</v>
      </c>
      <c r="AB125" s="154">
        <f t="shared" si="75"/>
        <v>1098.9503414176727</v>
      </c>
      <c r="AC125" s="154">
        <f t="shared" si="75"/>
        <v>1268.19204395675</v>
      </c>
      <c r="AD125" s="154">
        <f t="shared" si="75"/>
        <v>1373.5207624149143</v>
      </c>
      <c r="AE125" s="154">
        <f t="shared" si="75"/>
        <v>1409.4286616578718</v>
      </c>
      <c r="AF125" s="154">
        <f t="shared" si="75"/>
        <v>1143.223333789078</v>
      </c>
      <c r="AG125" s="154">
        <f t="shared" si="75"/>
        <v>1310.2692685732602</v>
      </c>
      <c r="AH125" s="154">
        <f t="shared" si="75"/>
        <v>1335.8961885918568</v>
      </c>
      <c r="AI125" s="149"/>
    </row>
    <row r="126" spans="1:40" s="150" customFormat="1" ht="14.25">
      <c r="A126" s="150" t="s">
        <v>176</v>
      </c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>
        <f>(comp!C480)</f>
        <v>58.04421</v>
      </c>
      <c r="N126" s="153">
        <f>(comp!C492)</f>
        <v>79.890803999999989</v>
      </c>
      <c r="O126" s="153">
        <f>(comp!C504)</f>
        <v>33.169205999999996</v>
      </c>
      <c r="P126" s="153">
        <f>(comp!C516)</f>
        <v>35.632841999999997</v>
      </c>
      <c r="Q126" s="153">
        <f>(comp!C528)</f>
        <v>84.583128000000002</v>
      </c>
      <c r="R126" s="153">
        <f>(comp!C540)</f>
        <v>101.32760399999999</v>
      </c>
      <c r="S126" s="153">
        <f>monthly_data!$CI552</f>
        <v>1737.33</v>
      </c>
      <c r="T126" s="153">
        <f>monthly_data!$CI564</f>
        <v>1568.7840000000001</v>
      </c>
      <c r="U126" s="153">
        <f>monthly_data!$CI576</f>
        <v>1367.4780000000001</v>
      </c>
      <c r="V126" s="153">
        <f>monthly_data!$CI588</f>
        <v>1337.952</v>
      </c>
      <c r="W126" s="153">
        <f>monthly_data!$CI600</f>
        <v>1329.72</v>
      </c>
      <c r="X126" s="153">
        <f>monthly_data!$CI612</f>
        <v>1389.9059999999999</v>
      </c>
      <c r="Y126" s="154">
        <f t="shared" si="76"/>
        <v>1319.5664984780253</v>
      </c>
      <c r="Z126" s="154">
        <f t="shared" si="73"/>
        <v>1378.1050472071888</v>
      </c>
      <c r="AA126" s="154">
        <f t="shared" si="74"/>
        <v>95.343749092259628</v>
      </c>
      <c r="AB126" s="154">
        <f t="shared" si="75"/>
        <v>1025.993657684887</v>
      </c>
      <c r="AC126" s="154">
        <f t="shared" si="75"/>
        <v>1233.8176553100782</v>
      </c>
      <c r="AD126" s="154">
        <f t="shared" si="75"/>
        <v>1308.2140390466384</v>
      </c>
      <c r="AE126" s="154">
        <f t="shared" si="75"/>
        <v>1346.6306435808781</v>
      </c>
      <c r="AF126" s="154">
        <f t="shared" si="75"/>
        <v>1091.249160537601</v>
      </c>
      <c r="AG126" s="154">
        <f t="shared" si="75"/>
        <v>1250.4304610487841</v>
      </c>
      <c r="AH126" s="154">
        <f t="shared" si="75"/>
        <v>1279.5631525588001</v>
      </c>
      <c r="AI126" s="149"/>
    </row>
    <row r="127" spans="1:40" s="150" customFormat="1" ht="14.25">
      <c r="A127" s="150" t="s">
        <v>177</v>
      </c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>
        <f>(comp!C481)</f>
        <v>25.807025999999997</v>
      </c>
      <c r="N127" s="153">
        <f>(comp!C493)</f>
        <v>36.350285999999997</v>
      </c>
      <c r="O127" s="153">
        <f>(comp!C505)</f>
        <v>63.22974</v>
      </c>
      <c r="P127" s="153">
        <f>(comp!C517)</f>
        <v>27.891821999999998</v>
      </c>
      <c r="Q127" s="153">
        <f>(comp!C529)</f>
        <v>104.166426</v>
      </c>
      <c r="R127" s="153">
        <f>(comp!C541)</f>
        <v>65.435705999999996</v>
      </c>
      <c r="S127" s="153">
        <f>monthly_data!$CI553</f>
        <v>1753.5419999999999</v>
      </c>
      <c r="T127" s="153">
        <f>monthly_data!$CI565</f>
        <v>1445.9760000000001</v>
      </c>
      <c r="U127" s="153">
        <f>monthly_data!$CI577</f>
        <v>1253.616</v>
      </c>
      <c r="V127" s="153">
        <f>monthly_data!$CI589</f>
        <v>1420.566</v>
      </c>
      <c r="W127" s="153">
        <f>monthly_data!$CI601</f>
        <v>1473.4860000000001</v>
      </c>
      <c r="X127" s="153">
        <f>monthly_data!$CI613</f>
        <v>1417.08</v>
      </c>
      <c r="Y127" s="154">
        <f t="shared" si="76"/>
        <v>1322.7520961983482</v>
      </c>
      <c r="Z127" s="154">
        <f t="shared" si="73"/>
        <v>1407.2987253701472</v>
      </c>
      <c r="AA127" s="154">
        <f t="shared" si="74"/>
        <v>99.37941799369294</v>
      </c>
      <c r="AB127" s="154">
        <f t="shared" si="75"/>
        <v>1064.5858400640063</v>
      </c>
      <c r="AC127" s="154">
        <f t="shared" si="75"/>
        <v>1258.0209452245401</v>
      </c>
      <c r="AD127" s="154">
        <f t="shared" si="75"/>
        <v>1333.9003470315306</v>
      </c>
      <c r="AE127" s="154">
        <f t="shared" si="75"/>
        <v>1379.1409627696826</v>
      </c>
      <c r="AF127" s="154">
        <f t="shared" si="75"/>
        <v>1118.4819857328871</v>
      </c>
      <c r="AG127" s="154">
        <f t="shared" si="75"/>
        <v>1281.2909152293878</v>
      </c>
      <c r="AH127" s="154">
        <f t="shared" si="75"/>
        <v>1308.4170932491336</v>
      </c>
      <c r="AI127" s="149"/>
    </row>
    <row r="128" spans="1:40" s="150" customFormat="1" ht="14.25">
      <c r="A128" s="150" t="s">
        <v>178</v>
      </c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>
        <f>(comp!C482)</f>
        <v>60.696593999999997</v>
      </c>
      <c r="N128" s="153">
        <f>(comp!C494)</f>
        <v>36.492162</v>
      </c>
      <c r="O128" s="153">
        <f>(comp!C506)</f>
        <v>38.147171999999998</v>
      </c>
      <c r="P128" s="153">
        <f>(comp!C518)</f>
        <v>29.529527999999999</v>
      </c>
      <c r="Q128" s="153">
        <f>(comp!C530)</f>
        <v>93.377129999999994</v>
      </c>
      <c r="R128" s="153">
        <f>(comp!C542)</f>
        <v>93.210641999999993</v>
      </c>
      <c r="S128" s="153">
        <f>monthly_data!$CI554</f>
        <v>1803.816</v>
      </c>
      <c r="T128" s="153">
        <f>monthly_data!$CI566</f>
        <v>1693.2719999999999</v>
      </c>
      <c r="U128" s="153">
        <f>monthly_data!$CI578</f>
        <v>1522.1220000000001</v>
      </c>
      <c r="V128" s="153">
        <f>monthly_data!$CI590</f>
        <v>1719.9</v>
      </c>
      <c r="W128" s="153">
        <f>monthly_data!$CI602</f>
        <v>1752.87</v>
      </c>
      <c r="X128" s="153">
        <f>monthly_data!$CI614</f>
        <v>1704.066</v>
      </c>
      <c r="Y128" s="154">
        <f>Y129-SUM(Y117:Y127)</f>
        <v>2287.3484935450615</v>
      </c>
      <c r="Z128" s="154">
        <f t="shared" ref="Z128:AH128" si="77">Z129-SUM(Z117:Z127)</f>
        <v>-15163.859528491068</v>
      </c>
      <c r="AA128" s="154">
        <f t="shared" si="77"/>
        <v>11344.528220086966</v>
      </c>
      <c r="AB128" s="154">
        <f t="shared" si="77"/>
        <v>2945.0024804610275</v>
      </c>
      <c r="AC128" s="154">
        <f t="shared" si="77"/>
        <v>1941.1909492600989</v>
      </c>
      <c r="AD128" s="154">
        <f t="shared" si="77"/>
        <v>930.18963867426464</v>
      </c>
      <c r="AE128" s="154">
        <f t="shared" si="77"/>
        <v>948.27197020927815</v>
      </c>
      <c r="AF128" s="154">
        <f t="shared" si="77"/>
        <v>4134.1936976765992</v>
      </c>
      <c r="AG128" s="154">
        <f t="shared" si="77"/>
        <v>2463.6115617961805</v>
      </c>
      <c r="AH128" s="154">
        <f t="shared" si="77"/>
        <v>2832.0592424204715</v>
      </c>
      <c r="AI128" s="149"/>
    </row>
    <row r="129" spans="1:35" s="150" customFormat="1" ht="14.25">
      <c r="A129" s="155" t="s">
        <v>179</v>
      </c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>
        <f t="shared" ref="M129:X129" si="78">SUM(M117:M128)</f>
        <v>362.27167200000002</v>
      </c>
      <c r="N129" s="156">
        <f t="shared" si="78"/>
        <v>573.66930600000001</v>
      </c>
      <c r="O129" s="156">
        <f t="shared" si="78"/>
        <v>399.68909399999995</v>
      </c>
      <c r="P129" s="156">
        <f t="shared" si="78"/>
        <v>524.35210799999993</v>
      </c>
      <c r="Q129" s="156">
        <f t="shared" si="78"/>
        <v>827.77346399999988</v>
      </c>
      <c r="R129" s="156">
        <f t="shared" si="78"/>
        <v>1226.4028979999998</v>
      </c>
      <c r="S129" s="156">
        <f t="shared" si="78"/>
        <v>19753.986000000001</v>
      </c>
      <c r="T129" s="156">
        <f t="shared" si="78"/>
        <v>20019.509999999998</v>
      </c>
      <c r="U129" s="156">
        <f t="shared" si="78"/>
        <v>18242.783999999996</v>
      </c>
      <c r="V129" s="156">
        <f t="shared" si="78"/>
        <v>16393.944</v>
      </c>
      <c r="W129" s="156">
        <f t="shared" si="78"/>
        <v>18455.303999999996</v>
      </c>
      <c r="X129" s="156">
        <f t="shared" si="78"/>
        <v>17002.272000000004</v>
      </c>
      <c r="Y129" s="157">
        <f t="shared" ref="Y129:AH129" si="79">Y11</f>
        <v>18000</v>
      </c>
      <c r="Z129" s="157">
        <f t="shared" si="79"/>
        <v>1000</v>
      </c>
      <c r="AA129" s="157">
        <f t="shared" si="79"/>
        <v>12453.201612484843</v>
      </c>
      <c r="AB129" s="157">
        <f t="shared" si="79"/>
        <v>15039.938489637707</v>
      </c>
      <c r="AC129" s="157">
        <f t="shared" si="79"/>
        <v>16242.796146372908</v>
      </c>
      <c r="AD129" s="157">
        <f t="shared" si="79"/>
        <v>16304.55594232666</v>
      </c>
      <c r="AE129" s="157">
        <f t="shared" si="79"/>
        <v>16719.394433023535</v>
      </c>
      <c r="AF129" s="157">
        <f t="shared" si="79"/>
        <v>16909.150598559303</v>
      </c>
      <c r="AG129" s="157">
        <f t="shared" si="79"/>
        <v>17103.620025096978</v>
      </c>
      <c r="AH129" s="157">
        <f t="shared" si="79"/>
        <v>17796.182711252015</v>
      </c>
      <c r="AI129" s="149"/>
    </row>
    <row r="130" spans="1:35" s="87" customFormat="1"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13"/>
    </row>
    <row r="131" spans="1:35" s="87" customFormat="1" ht="15.75" thickBot="1">
      <c r="A131" s="100" t="s">
        <v>248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98"/>
      <c r="Y131" s="98"/>
      <c r="Z131" s="98"/>
      <c r="AA131" s="98"/>
      <c r="AB131" s="98"/>
      <c r="AC131" s="98"/>
      <c r="AD131" s="102"/>
      <c r="AE131" s="102"/>
      <c r="AF131" s="102"/>
      <c r="AG131" s="102"/>
      <c r="AH131" s="102"/>
      <c r="AI131" s="113"/>
    </row>
    <row r="132" spans="1:35" s="100" customFormat="1" ht="15.75" thickBot="1">
      <c r="A132" s="103"/>
      <c r="B132" s="104">
        <v>2001</v>
      </c>
      <c r="C132" s="104">
        <v>2002</v>
      </c>
      <c r="D132" s="104">
        <v>2003</v>
      </c>
      <c r="E132" s="104">
        <v>2004</v>
      </c>
      <c r="F132" s="104">
        <v>2005</v>
      </c>
      <c r="G132" s="104">
        <v>2006</v>
      </c>
      <c r="H132" s="104">
        <v>2007</v>
      </c>
      <c r="I132" s="104">
        <f t="shared" ref="I132:AH132" si="80">I2</f>
        <v>2008</v>
      </c>
      <c r="J132" s="104">
        <f t="shared" si="80"/>
        <v>2009</v>
      </c>
      <c r="K132" s="104">
        <f t="shared" si="80"/>
        <v>2010</v>
      </c>
      <c r="L132" s="104">
        <f t="shared" si="80"/>
        <v>2011</v>
      </c>
      <c r="M132" s="104">
        <f t="shared" si="80"/>
        <v>2012</v>
      </c>
      <c r="N132" s="104">
        <f t="shared" si="80"/>
        <v>2013</v>
      </c>
      <c r="O132" s="104">
        <f t="shared" si="80"/>
        <v>2014</v>
      </c>
      <c r="P132" s="104">
        <f t="shared" si="80"/>
        <v>2015</v>
      </c>
      <c r="Q132" s="104">
        <f t="shared" si="80"/>
        <v>2016</v>
      </c>
      <c r="R132" s="104">
        <f t="shared" si="80"/>
        <v>2017</v>
      </c>
      <c r="S132" s="104">
        <f t="shared" si="80"/>
        <v>2018</v>
      </c>
      <c r="T132" s="104">
        <f t="shared" si="80"/>
        <v>2019</v>
      </c>
      <c r="U132" s="104">
        <f t="shared" si="80"/>
        <v>2020</v>
      </c>
      <c r="V132" s="104">
        <f t="shared" si="80"/>
        <v>2021</v>
      </c>
      <c r="W132" s="104">
        <f t="shared" si="80"/>
        <v>2022</v>
      </c>
      <c r="X132" s="104">
        <f t="shared" si="80"/>
        <v>2023</v>
      </c>
      <c r="Y132" s="104">
        <f t="shared" si="80"/>
        <v>2024</v>
      </c>
      <c r="Z132" s="104">
        <f t="shared" si="80"/>
        <v>2025</v>
      </c>
      <c r="AA132" s="104">
        <f t="shared" si="80"/>
        <v>2026</v>
      </c>
      <c r="AB132" s="104">
        <f t="shared" si="80"/>
        <v>2027</v>
      </c>
      <c r="AC132" s="104">
        <f t="shared" si="80"/>
        <v>2028</v>
      </c>
      <c r="AD132" s="104">
        <f t="shared" si="80"/>
        <v>2029</v>
      </c>
      <c r="AE132" s="104">
        <f t="shared" si="80"/>
        <v>2030</v>
      </c>
      <c r="AF132" s="104">
        <f t="shared" si="80"/>
        <v>2031</v>
      </c>
      <c r="AG132" s="104">
        <f t="shared" si="80"/>
        <v>2032</v>
      </c>
      <c r="AH132" s="104">
        <f t="shared" si="80"/>
        <v>2033</v>
      </c>
      <c r="AI132" s="102"/>
    </row>
    <row r="133" spans="1:35">
      <c r="A133" s="87" t="s">
        <v>167</v>
      </c>
      <c r="B133" s="106">
        <f>monthly_data!CB339*42/1000</f>
        <v>4964.6099999999997</v>
      </c>
      <c r="C133" s="106">
        <f>monthly_data!CB351*42/1000</f>
        <v>5751.69</v>
      </c>
      <c r="D133" s="106">
        <f>monthly_data!CB363*42/1000</f>
        <v>4728.7380000000003</v>
      </c>
      <c r="E133" s="106">
        <f>monthly_data!CB375*42/1000</f>
        <v>5157.2219999999998</v>
      </c>
      <c r="F133" s="106">
        <f>monthly_data!CB387*42/1000</f>
        <v>5119.59</v>
      </c>
      <c r="G133" s="106">
        <f>monthly_data!CB399*42/1000</f>
        <v>5855.8919999999998</v>
      </c>
      <c r="H133" s="106">
        <f>monthly_data!CB411*42/1000</f>
        <v>5863.5360000000001</v>
      </c>
      <c r="I133" s="106">
        <f>monthly_data!CB423*42/1000</f>
        <v>5500.4459999999999</v>
      </c>
      <c r="J133" s="106">
        <f>monthly_data!CB435*42/1000</f>
        <v>6036.66</v>
      </c>
      <c r="K133" s="106">
        <f>monthly_data!CB447*42/1000</f>
        <v>6868.134</v>
      </c>
      <c r="L133" s="106">
        <f>monthly_data!CB459*42/1000</f>
        <v>6849.6120000000001</v>
      </c>
      <c r="M133" s="106">
        <f>monthly_data!CB471*42/1000</f>
        <v>6182.82</v>
      </c>
      <c r="N133" s="106">
        <f>monthly_data!CB483*42/1000</f>
        <v>5513.2560000000003</v>
      </c>
      <c r="O133" s="106">
        <f>monthly_data!CB495*42/1000</f>
        <v>4816.0559999999996</v>
      </c>
      <c r="P133" s="106">
        <f>monthly_data!CB507*42/1000</f>
        <v>5569.5360000000001</v>
      </c>
      <c r="Q133" s="106">
        <f>monthly_data!CB519*42/1000</f>
        <v>6744.99</v>
      </c>
      <c r="R133" s="106">
        <f>monthly_data!CB531*42/1000</f>
        <v>7150.3739999999998</v>
      </c>
      <c r="S133" s="106">
        <f>monthly_data!$CB543*42/1000</f>
        <v>5936.28</v>
      </c>
      <c r="T133" s="106">
        <f>monthly_data!$CB555*42/1000</f>
        <v>5885.4179999999997</v>
      </c>
      <c r="U133" s="106">
        <f>monthly_data!$CB567*42/1000</f>
        <v>6013.98</v>
      </c>
      <c r="V133" s="106">
        <f>monthly_data!$CB579*42/1000</f>
        <v>6890.4359999999997</v>
      </c>
      <c r="W133" s="106">
        <f>monthly_data!$CB591*42/1000</f>
        <v>5261.8440000000001</v>
      </c>
      <c r="X133" s="106">
        <f>monthly_data!$CB603*42/1000</f>
        <v>5166.5460000000003</v>
      </c>
      <c r="Y133" s="106">
        <f>monthly_data!$CB615*42/1000</f>
        <v>5405.0219999999999</v>
      </c>
      <c r="Z133" s="135">
        <f t="shared" ref="Z133:AH133" si="81">Y144+Z21+Z37-Z69-Z117</f>
        <v>6472.2245795385743</v>
      </c>
      <c r="AA133" s="135">
        <f t="shared" si="81"/>
        <v>25470.446157534436</v>
      </c>
      <c r="AB133" s="135">
        <f t="shared" si="81"/>
        <v>31562.795110247542</v>
      </c>
      <c r="AC133" s="135">
        <f t="shared" si="81"/>
        <v>36324.993875992688</v>
      </c>
      <c r="AD133" s="135">
        <f t="shared" si="81"/>
        <v>40248.681635056193</v>
      </c>
      <c r="AE133" s="135">
        <f t="shared" si="81"/>
        <v>44511.023447198844</v>
      </c>
      <c r="AF133" s="135">
        <f t="shared" si="81"/>
        <v>48762.739011914309</v>
      </c>
      <c r="AG133" s="135">
        <f t="shared" si="81"/>
        <v>52716.862425471008</v>
      </c>
      <c r="AH133" s="135">
        <f t="shared" si="81"/>
        <v>56803.58368105656</v>
      </c>
    </row>
    <row r="134" spans="1:35">
      <c r="A134" s="87" t="s">
        <v>168</v>
      </c>
      <c r="B134" s="106">
        <f>monthly_data!CB340*42/1000</f>
        <v>4914.9660000000003</v>
      </c>
      <c r="C134" s="106">
        <f>monthly_data!CB352*42/1000</f>
        <v>5460.1679999999997</v>
      </c>
      <c r="D134" s="106">
        <f>monthly_data!CB364*42/1000</f>
        <v>4102.7280000000001</v>
      </c>
      <c r="E134" s="106">
        <f>monthly_data!CB376*42/1000</f>
        <v>4712.3159999999998</v>
      </c>
      <c r="F134" s="106">
        <f>monthly_data!CB388*42/1000</f>
        <v>4927.692</v>
      </c>
      <c r="G134" s="106">
        <f>monthly_data!CB400*42/1000</f>
        <v>5696.67</v>
      </c>
      <c r="H134" s="106">
        <f>monthly_data!CB412*42/1000</f>
        <v>5196.366</v>
      </c>
      <c r="I134" s="106">
        <f>monthly_data!CB424*42/1000</f>
        <v>4940.7120000000004</v>
      </c>
      <c r="J134" s="106">
        <f>monthly_data!CB436*42/1000</f>
        <v>6220.41</v>
      </c>
      <c r="K134" s="106">
        <f>monthly_data!CB448*42/1000</f>
        <v>6523.9859999999999</v>
      </c>
      <c r="L134" s="106">
        <f>monthly_data!CB460*42/1000</f>
        <v>6471.2340000000004</v>
      </c>
      <c r="M134" s="106">
        <f>monthly_data!CB472*42/1000</f>
        <v>5850.1379999999999</v>
      </c>
      <c r="N134" s="106">
        <f>monthly_data!CB484*42/1000</f>
        <v>5122.4459999999999</v>
      </c>
      <c r="O134" s="106">
        <f>monthly_data!CB496*42/1000</f>
        <v>4750.326</v>
      </c>
      <c r="P134" s="106">
        <f>monthly_data!CB508*42/1000</f>
        <v>5191.5360000000001</v>
      </c>
      <c r="Q134" s="106">
        <f>monthly_data!CB520*42/1000</f>
        <v>6824.8320000000003</v>
      </c>
      <c r="R134" s="106">
        <f>monthly_data!CB532*42/1000</f>
        <v>6838.9440000000004</v>
      </c>
      <c r="S134" s="106">
        <f>monthly_data!$CB544*42/1000</f>
        <v>5833.2960000000003</v>
      </c>
      <c r="T134" s="106">
        <f>monthly_data!$CB556*42/1000</f>
        <v>5725.5659999999998</v>
      </c>
      <c r="U134" s="106">
        <f>monthly_data!$CB568*42/1000</f>
        <v>5582.5559999999996</v>
      </c>
      <c r="V134" s="106">
        <f>monthly_data!$CB580*42/1000</f>
        <v>6048.5039999999999</v>
      </c>
      <c r="W134" s="106">
        <f>monthly_data!$CB592*42/1000</f>
        <v>5065.62</v>
      </c>
      <c r="X134" s="106">
        <f>monthly_data!$CB604*42/1000</f>
        <v>5242.482</v>
      </c>
      <c r="Y134" s="106">
        <f>monthly_data!$CB616*42/1000</f>
        <v>4947.4319999999998</v>
      </c>
      <c r="Z134" s="135">
        <f t="shared" ref="Z134:AH144" si="82">Z133+Z22+Z38-Z70-Z118</f>
        <v>6124.4766752972318</v>
      </c>
      <c r="AA134" s="135">
        <f t="shared" si="82"/>
        <v>26251.89977320447</v>
      </c>
      <c r="AB134" s="135">
        <f t="shared" si="82"/>
        <v>31708.471338253974</v>
      </c>
      <c r="AC134" s="135">
        <f t="shared" si="82"/>
        <v>36313.691981445088</v>
      </c>
      <c r="AD134" s="135">
        <f t="shared" si="82"/>
        <v>40108.526410218241</v>
      </c>
      <c r="AE134" s="135">
        <f t="shared" si="82"/>
        <v>44394.595782429671</v>
      </c>
      <c r="AF134" s="135">
        <f t="shared" si="82"/>
        <v>48897.365061061377</v>
      </c>
      <c r="AG134" s="135">
        <f t="shared" si="82"/>
        <v>52757.693677729068</v>
      </c>
      <c r="AH134" s="135">
        <f t="shared" si="82"/>
        <v>56806.539690951715</v>
      </c>
    </row>
    <row r="135" spans="1:35">
      <c r="A135" s="87" t="s">
        <v>169</v>
      </c>
      <c r="B135" s="106">
        <f>monthly_data!CB341*42/1000</f>
        <v>4410.8819999999996</v>
      </c>
      <c r="C135" s="106">
        <f>monthly_data!CB353*42/1000</f>
        <v>5170.1580000000004</v>
      </c>
      <c r="D135" s="106">
        <f>monthly_data!CB365*42/1000</f>
        <v>4141.2839999999997</v>
      </c>
      <c r="E135" s="106">
        <f>monthly_data!CB377*42/1000</f>
        <v>4383.96</v>
      </c>
      <c r="F135" s="106">
        <f>monthly_data!CB389*42/1000</f>
        <v>4428.6059999999998</v>
      </c>
      <c r="G135" s="106">
        <f>monthly_data!CB401*42/1000</f>
        <v>5062.848</v>
      </c>
      <c r="H135" s="106">
        <f>monthly_data!CB413*42/1000</f>
        <v>5040.2939999999999</v>
      </c>
      <c r="I135" s="106">
        <f>monthly_data!CB425*42/1000</f>
        <v>4526.9279999999999</v>
      </c>
      <c r="J135" s="106">
        <f>monthly_data!CB437*42/1000</f>
        <v>6102.6419999999998</v>
      </c>
      <c r="K135" s="106">
        <f>monthly_data!CB449*42/1000</f>
        <v>6166.3140000000003</v>
      </c>
      <c r="L135" s="106">
        <f>monthly_data!CB461*42/1000</f>
        <v>6268.0379999999996</v>
      </c>
      <c r="M135" s="106">
        <f>monthly_data!CB473*42/1000</f>
        <v>5615.2740000000003</v>
      </c>
      <c r="N135" s="106">
        <f>monthly_data!CB485*42/1000</f>
        <v>4986.9539999999997</v>
      </c>
      <c r="O135" s="106">
        <f>monthly_data!CB497*42/1000</f>
        <v>4839.5339999999997</v>
      </c>
      <c r="P135" s="106">
        <f>monthly_data!CB509*42/1000</f>
        <v>5405.0640000000003</v>
      </c>
      <c r="Q135" s="106">
        <f>monthly_data!CB521*42/1000</f>
        <v>6723.0659999999998</v>
      </c>
      <c r="R135" s="106">
        <f>monthly_data!CB533*42/1000</f>
        <v>6385.2179999999998</v>
      </c>
      <c r="S135" s="106">
        <f>monthly_data!$CB545*42/1000</f>
        <v>5480.076</v>
      </c>
      <c r="T135" s="106">
        <f>monthly_data!$CB557*42/1000</f>
        <v>5551.2240000000002</v>
      </c>
      <c r="U135" s="106">
        <f>monthly_data!$CB569*42/1000</f>
        <v>5324.8440000000001</v>
      </c>
      <c r="V135" s="106">
        <f>monthly_data!$CB581*42/1000</f>
        <v>6135.3180000000002</v>
      </c>
      <c r="W135" s="106">
        <f>monthly_data!$CB593*42/1000</f>
        <v>4815.6360000000004</v>
      </c>
      <c r="X135" s="106">
        <f>monthly_data!$CB605*42/1000</f>
        <v>4716.2640000000001</v>
      </c>
      <c r="Y135" s="106">
        <f>monthly_data!$CB617*42/1000</f>
        <v>5088.93</v>
      </c>
      <c r="Z135" s="135">
        <f t="shared" si="82"/>
        <v>6007.2943003564378</v>
      </c>
      <c r="AA135" s="135">
        <f t="shared" si="82"/>
        <v>27588.861276492225</v>
      </c>
      <c r="AB135" s="135">
        <f t="shared" si="82"/>
        <v>32026.800896218752</v>
      </c>
      <c r="AC135" s="135">
        <f t="shared" si="82"/>
        <v>36446.902501695578</v>
      </c>
      <c r="AD135" s="135">
        <f t="shared" si="82"/>
        <v>40238.101697567159</v>
      </c>
      <c r="AE135" s="135">
        <f t="shared" si="82"/>
        <v>44462.893429640448</v>
      </c>
      <c r="AF135" s="135">
        <f t="shared" si="82"/>
        <v>49269.110304324364</v>
      </c>
      <c r="AG135" s="135">
        <f t="shared" si="82"/>
        <v>52975.641013467401</v>
      </c>
      <c r="AH135" s="135">
        <f t="shared" si="82"/>
        <v>56986.663888070856</v>
      </c>
    </row>
    <row r="136" spans="1:35">
      <c r="A136" s="87" t="s">
        <v>170</v>
      </c>
      <c r="B136" s="106">
        <f>monthly_data!CB342*42/1000</f>
        <v>4407.6899999999996</v>
      </c>
      <c r="C136" s="106">
        <f>monthly_data!CB354*42/1000</f>
        <v>5140.674</v>
      </c>
      <c r="D136" s="106">
        <f>monthly_data!CB366*42/1000</f>
        <v>4081.6019999999999</v>
      </c>
      <c r="E136" s="106">
        <f>monthly_data!CB378*42/1000</f>
        <v>4263.21</v>
      </c>
      <c r="F136" s="106">
        <f>monthly_data!CB390*42/1000</f>
        <v>4426.884</v>
      </c>
      <c r="G136" s="106">
        <f>monthly_data!CB402*42/1000</f>
        <v>4892.6220000000003</v>
      </c>
      <c r="H136" s="106">
        <f>monthly_data!CB414*42/1000</f>
        <v>5095.0619999999999</v>
      </c>
      <c r="I136" s="106">
        <f>monthly_data!CB426*42/1000</f>
        <v>4496.1419999999998</v>
      </c>
      <c r="J136" s="106">
        <f>monthly_data!CB438*42/1000</f>
        <v>6302.4359999999997</v>
      </c>
      <c r="K136" s="106">
        <f>monthly_data!CB450*42/1000</f>
        <v>6081.6840000000002</v>
      </c>
      <c r="L136" s="106">
        <f>monthly_data!CB462*42/1000</f>
        <v>6002.598</v>
      </c>
      <c r="M136" s="106">
        <f>monthly_data!CB474*42/1000</f>
        <v>5235.93</v>
      </c>
      <c r="N136" s="106">
        <f>monthly_data!CB486*42/1000</f>
        <v>4989.2219999999998</v>
      </c>
      <c r="O136" s="106">
        <f>monthly_data!CB498*42/1000</f>
        <v>4901.0640000000003</v>
      </c>
      <c r="P136" s="106">
        <f>monthly_data!CB510*42/1000</f>
        <v>5450.5919999999996</v>
      </c>
      <c r="Q136" s="106">
        <f>monthly_data!CB522*42/1000</f>
        <v>6499.1220000000003</v>
      </c>
      <c r="R136" s="106">
        <f>monthly_data!CB534*42/1000</f>
        <v>6508.1940000000004</v>
      </c>
      <c r="S136" s="106">
        <f>monthly_data!$CB546*42/1000</f>
        <v>5078.9759999999997</v>
      </c>
      <c r="T136" s="106">
        <f>monthly_data!$CB558*42/1000</f>
        <v>5387.5079999999998</v>
      </c>
      <c r="U136" s="106">
        <f>monthly_data!$CB570*42/1000</f>
        <v>6338.7240000000002</v>
      </c>
      <c r="V136" s="106">
        <f>monthly_data!$CB582*42/1000</f>
        <v>5763.1559999999999</v>
      </c>
      <c r="W136" s="106">
        <f>monthly_data!$CB594*42/1000</f>
        <v>4464.2219999999998</v>
      </c>
      <c r="X136" s="106">
        <f>monthly_data!$CB606*42/1000</f>
        <v>4706.5619999999999</v>
      </c>
      <c r="Y136" s="106">
        <f>monthly_data!$CB618*42/1000</f>
        <v>4949.3639999999996</v>
      </c>
      <c r="Z136" s="135">
        <f t="shared" si="82"/>
        <v>6094.6668270417031</v>
      </c>
      <c r="AA136" s="135">
        <f t="shared" si="82"/>
        <v>28907.922865179342</v>
      </c>
      <c r="AB136" s="135">
        <f t="shared" si="82"/>
        <v>32394.698073069285</v>
      </c>
      <c r="AC136" s="135">
        <f t="shared" si="82"/>
        <v>36668.3667508832</v>
      </c>
      <c r="AD136" s="135">
        <f t="shared" si="82"/>
        <v>40361.191566275789</v>
      </c>
      <c r="AE136" s="135">
        <f t="shared" si="82"/>
        <v>44588.054591425382</v>
      </c>
      <c r="AF136" s="135">
        <f t="shared" si="82"/>
        <v>49657.897139344772</v>
      </c>
      <c r="AG136" s="135">
        <f t="shared" si="82"/>
        <v>53215.826261704096</v>
      </c>
      <c r="AH136" s="135">
        <f t="shared" si="82"/>
        <v>57183.266073835126</v>
      </c>
    </row>
    <row r="137" spans="1:35">
      <c r="A137" s="87" t="s">
        <v>171</v>
      </c>
      <c r="B137" s="106">
        <f>monthly_data!CB343*42/1000</f>
        <v>4499.9639999999999</v>
      </c>
      <c r="C137" s="106">
        <f>monthly_data!CB355*42/1000</f>
        <v>5334.8819999999996</v>
      </c>
      <c r="D137" s="106">
        <f>monthly_data!CB367*42/1000</f>
        <v>4480.9380000000001</v>
      </c>
      <c r="E137" s="106">
        <f>monthly_data!CB379*42/1000</f>
        <v>4513.2780000000002</v>
      </c>
      <c r="F137" s="106">
        <f>monthly_data!CB391*42/1000</f>
        <v>4719.4979999999996</v>
      </c>
      <c r="G137" s="106">
        <f>monthly_data!CB403*42/1000</f>
        <v>5205.9840000000004</v>
      </c>
      <c r="H137" s="106">
        <f>monthly_data!CB415*42/1000</f>
        <v>5253.4859999999999</v>
      </c>
      <c r="I137" s="106">
        <f>monthly_data!CB427*42/1000</f>
        <v>4785.5219999999999</v>
      </c>
      <c r="J137" s="106">
        <f>monthly_data!CB439*42/1000</f>
        <v>6581.652</v>
      </c>
      <c r="K137" s="106">
        <f>monthly_data!CB451*42/1000</f>
        <v>6301.7219999999998</v>
      </c>
      <c r="L137" s="106">
        <f>monthly_data!CB463*42/1000</f>
        <v>6083.5739999999996</v>
      </c>
      <c r="M137" s="106">
        <f>monthly_data!CB475*42/1000</f>
        <v>5100.6899999999996</v>
      </c>
      <c r="N137" s="106">
        <f>monthly_data!CB487*42/1000</f>
        <v>5129.5439999999999</v>
      </c>
      <c r="O137" s="106">
        <f>monthly_data!CB499*42/1000</f>
        <v>5105.6880000000001</v>
      </c>
      <c r="P137" s="106">
        <f>monthly_data!CB511*42/1000</f>
        <v>5686.884</v>
      </c>
      <c r="Q137" s="106">
        <f>monthly_data!CB523*42/1000</f>
        <v>6507.7740000000003</v>
      </c>
      <c r="R137" s="106">
        <f>monthly_data!CB535*42/1000</f>
        <v>6478.3739999999998</v>
      </c>
      <c r="S137" s="106">
        <f>monthly_data!$CB547*42/1000</f>
        <v>4854.3599999999997</v>
      </c>
      <c r="T137" s="106">
        <f>monthly_data!$CB559*42/1000</f>
        <v>5454.33</v>
      </c>
      <c r="U137" s="106">
        <f>monthly_data!$CB571*42/1000</f>
        <v>7418.3339999999998</v>
      </c>
      <c r="V137" s="106">
        <f>monthly_data!$CB583*42/1000</f>
        <v>5863.2</v>
      </c>
      <c r="W137" s="106">
        <f>monthly_data!$CB595*42/1000</f>
        <v>4607.9040000000005</v>
      </c>
      <c r="X137" s="106">
        <f>monthly_data!$CB607*42/1000</f>
        <v>4751.88</v>
      </c>
      <c r="Y137" s="135">
        <f t="shared" ref="Y137:Y144" si="83">Y136+Y25+Y41-Y73-Y121</f>
        <v>5832.4466311153101</v>
      </c>
      <c r="Z137" s="135">
        <f t="shared" si="82"/>
        <v>6613.8777157891</v>
      </c>
      <c r="AA137" s="135">
        <f t="shared" si="82"/>
        <v>30735.555338404447</v>
      </c>
      <c r="AB137" s="135">
        <f t="shared" si="82"/>
        <v>33287.310213312761</v>
      </c>
      <c r="AC137" s="135">
        <f t="shared" si="82"/>
        <v>37423.860074990182</v>
      </c>
      <c r="AD137" s="135">
        <f t="shared" si="82"/>
        <v>41127.178258164895</v>
      </c>
      <c r="AE137" s="135">
        <f t="shared" si="82"/>
        <v>45269.918759479653</v>
      </c>
      <c r="AF137" s="135">
        <f t="shared" si="82"/>
        <v>50621.397375024855</v>
      </c>
      <c r="AG137" s="135">
        <f t="shared" si="82"/>
        <v>54037.556895889327</v>
      </c>
      <c r="AH137" s="135">
        <f t="shared" si="82"/>
        <v>57967.874505867694</v>
      </c>
    </row>
    <row r="138" spans="1:35">
      <c r="A138" s="87" t="s">
        <v>172</v>
      </c>
      <c r="B138" s="106">
        <f>monthly_data!CB344*42/1000</f>
        <v>4782.8339999999998</v>
      </c>
      <c r="C138" s="106">
        <f>monthly_data!CB356*42/1000</f>
        <v>5591.2079999999996</v>
      </c>
      <c r="D138" s="106">
        <f>monthly_data!CB368*42/1000</f>
        <v>4712.5680000000002</v>
      </c>
      <c r="E138" s="106">
        <f>monthly_data!CB380*42/1000</f>
        <v>4800.2640000000001</v>
      </c>
      <c r="F138" s="106">
        <f>monthly_data!CB392*42/1000</f>
        <v>5028.2820000000002</v>
      </c>
      <c r="G138" s="106">
        <f>monthly_data!CB404*42/1000</f>
        <v>5456.3040000000001</v>
      </c>
      <c r="H138" s="106">
        <f>monthly_data!CB416*42/1000</f>
        <v>5199.6000000000004</v>
      </c>
      <c r="I138" s="106">
        <f>monthly_data!CB428*42/1000</f>
        <v>5111.82</v>
      </c>
      <c r="J138" s="106">
        <f>monthly_data!CB440*42/1000</f>
        <v>6834.366</v>
      </c>
      <c r="K138" s="106">
        <f>monthly_data!CB452*42/1000</f>
        <v>6633.6480000000001</v>
      </c>
      <c r="L138" s="106">
        <f>monthly_data!CB464*42/1000</f>
        <v>6042.54</v>
      </c>
      <c r="M138" s="106">
        <f>monthly_data!CB476*42/1000</f>
        <v>5035.38</v>
      </c>
      <c r="N138" s="106">
        <f>monthly_data!CB488*42/1000</f>
        <v>5143.4459999999999</v>
      </c>
      <c r="O138" s="106">
        <f>monthly_data!CB500*42/1000</f>
        <v>5106.57</v>
      </c>
      <c r="P138" s="106">
        <f>monthly_data!CB512*42/1000</f>
        <v>5864.7120000000004</v>
      </c>
      <c r="Q138" s="106">
        <f>monthly_data!CB524*42/1000</f>
        <v>6290.2139999999999</v>
      </c>
      <c r="R138" s="106">
        <f>monthly_data!CB536*42/1000</f>
        <v>6386.52</v>
      </c>
      <c r="S138" s="106">
        <f>monthly_data!$CB548*42/1000</f>
        <v>5063.058</v>
      </c>
      <c r="T138" s="106">
        <f>monthly_data!$CB560*42/1000</f>
        <v>5505.9480000000003</v>
      </c>
      <c r="U138" s="106">
        <f>monthly_data!$CB572*42/1000</f>
        <v>7431.7740000000003</v>
      </c>
      <c r="V138" s="106">
        <f>monthly_data!$CB584*42/1000</f>
        <v>5885.5860000000002</v>
      </c>
      <c r="W138" s="106">
        <f>monthly_data!$CB596*42/1000</f>
        <v>4675.8180000000002</v>
      </c>
      <c r="X138" s="106">
        <f>monthly_data!$CB608*42/1000</f>
        <v>4729.116</v>
      </c>
      <c r="Y138" s="135">
        <f t="shared" si="83"/>
        <v>5978.6651555589924</v>
      </c>
      <c r="Z138" s="135">
        <f t="shared" si="82"/>
        <v>6724.3498634633397</v>
      </c>
      <c r="AA138" s="135">
        <f t="shared" si="82"/>
        <v>32395.595476340826</v>
      </c>
      <c r="AB138" s="135">
        <f t="shared" si="82"/>
        <v>33877.670840046056</v>
      </c>
      <c r="AC138" s="135">
        <f t="shared" si="82"/>
        <v>37806.756231788102</v>
      </c>
      <c r="AD138" s="135">
        <f t="shared" si="82"/>
        <v>41442.022257308839</v>
      </c>
      <c r="AE138" s="135">
        <f t="shared" si="82"/>
        <v>45558.078602520894</v>
      </c>
      <c r="AF138" s="135">
        <f t="shared" si="82"/>
        <v>51221.975637878546</v>
      </c>
      <c r="AG138" s="135">
        <f t="shared" si="82"/>
        <v>54462.801882767548</v>
      </c>
      <c r="AH138" s="135">
        <f t="shared" si="82"/>
        <v>58340.650755319497</v>
      </c>
    </row>
    <row r="139" spans="1:35">
      <c r="A139" s="87" t="s">
        <v>173</v>
      </c>
      <c r="B139" s="106">
        <f>monthly_data!CB345*42/1000</f>
        <v>5257.3919999999998</v>
      </c>
      <c r="C139" s="106">
        <f>monthly_data!CB357*42/1000</f>
        <v>5619.39</v>
      </c>
      <c r="D139" s="106">
        <f>monthly_data!CB369*42/1000</f>
        <v>4957.8900000000003</v>
      </c>
      <c r="E139" s="106">
        <f>monthly_data!CB381*42/1000</f>
        <v>5118.75</v>
      </c>
      <c r="F139" s="106">
        <f>monthly_data!CB393*42/1000</f>
        <v>5596.71</v>
      </c>
      <c r="G139" s="106">
        <f>monthly_data!CB405*42/1000</f>
        <v>5775.2520000000004</v>
      </c>
      <c r="H139" s="106">
        <f>monthly_data!CB417*42/1000</f>
        <v>5472.4740000000002</v>
      </c>
      <c r="I139" s="106">
        <f>monthly_data!CB429*42/1000</f>
        <v>5498.0519999999997</v>
      </c>
      <c r="J139" s="106">
        <f>monthly_data!CB441*42/1000</f>
        <v>6969.48</v>
      </c>
      <c r="K139" s="106">
        <f>monthly_data!CB453*42/1000</f>
        <v>6998.3760000000002</v>
      </c>
      <c r="L139" s="106">
        <f>monthly_data!CB465*42/1000</f>
        <v>6487.11</v>
      </c>
      <c r="M139" s="106">
        <f>monthly_data!CB477*42/1000</f>
        <v>5311.0680000000002</v>
      </c>
      <c r="N139" s="106">
        <f>monthly_data!CB489*42/1000</f>
        <v>5292.84</v>
      </c>
      <c r="O139" s="106">
        <f>monthly_data!CB501*42/1000</f>
        <v>5269.1940000000004</v>
      </c>
      <c r="P139" s="106">
        <f>monthly_data!CB513*42/1000</f>
        <v>5966.2259999999997</v>
      </c>
      <c r="Q139" s="106">
        <f>monthly_data!CB525*42/1000</f>
        <v>6573.2939999999999</v>
      </c>
      <c r="R139" s="106">
        <f>monthly_data!CB537*42/1000</f>
        <v>6362.7479999999996</v>
      </c>
      <c r="S139" s="106">
        <f>monthly_data!$CB549*42/1000</f>
        <v>5343.03</v>
      </c>
      <c r="T139" s="106">
        <f>monthly_data!$CB561*42/1000</f>
        <v>5782.308</v>
      </c>
      <c r="U139" s="106">
        <f>monthly_data!$CB573*42/1000</f>
        <v>7509.6</v>
      </c>
      <c r="V139" s="106">
        <f>monthly_data!$CB585*42/1000</f>
        <v>5969.8379999999997</v>
      </c>
      <c r="W139" s="106">
        <f>monthly_data!$CB597*42/1000</f>
        <v>4728.8220000000001</v>
      </c>
      <c r="X139" s="106">
        <f>monthly_data!$CB609*42/1000</f>
        <v>5048.7359999999999</v>
      </c>
      <c r="Y139" s="135">
        <f t="shared" si="83"/>
        <v>6269.583647304783</v>
      </c>
      <c r="Z139" s="135">
        <f t="shared" si="82"/>
        <v>6962.6166304545422</v>
      </c>
      <c r="AA139" s="135">
        <f t="shared" si="82"/>
        <v>34374.140421001961</v>
      </c>
      <c r="AB139" s="135">
        <f t="shared" si="82"/>
        <v>34675.461448058806</v>
      </c>
      <c r="AC139" s="135">
        <f t="shared" si="82"/>
        <v>38405.7203680292</v>
      </c>
      <c r="AD139" s="135">
        <f t="shared" si="82"/>
        <v>41929.592977171815</v>
      </c>
      <c r="AE139" s="135">
        <f t="shared" si="82"/>
        <v>46015.49509351085</v>
      </c>
      <c r="AF139" s="135">
        <f t="shared" si="82"/>
        <v>52033.320147594168</v>
      </c>
      <c r="AG139" s="135">
        <f t="shared" si="82"/>
        <v>55078.496902011801</v>
      </c>
      <c r="AH139" s="135">
        <f t="shared" si="82"/>
        <v>58900.139427387527</v>
      </c>
    </row>
    <row r="140" spans="1:35">
      <c r="A140" s="87" t="s">
        <v>174</v>
      </c>
      <c r="B140" s="106">
        <f>monthly_data!CB346*42/1000</f>
        <v>5124.1679999999997</v>
      </c>
      <c r="C140" s="106">
        <f>monthly_data!CB358*42/1000</f>
        <v>5484.5280000000002</v>
      </c>
      <c r="D140" s="106">
        <f>monthly_data!CB370*42/1000</f>
        <v>5314.0079999999998</v>
      </c>
      <c r="E140" s="106">
        <f>monthly_data!CB382*42/1000</f>
        <v>5492.6760000000004</v>
      </c>
      <c r="F140" s="106">
        <f>monthly_data!CB394*42/1000</f>
        <v>5840.4780000000001</v>
      </c>
      <c r="G140" s="106">
        <f>monthly_data!CB406*42/1000</f>
        <v>6093.4859999999999</v>
      </c>
      <c r="H140" s="106">
        <f>monthly_data!CB418*42/1000</f>
        <v>5651.8980000000001</v>
      </c>
      <c r="I140" s="106">
        <f>monthly_data!CB430*42/1000</f>
        <v>5584.866</v>
      </c>
      <c r="J140" s="106">
        <f>monthly_data!CB442*42/1000</f>
        <v>7083.2579999999998</v>
      </c>
      <c r="K140" s="106">
        <f>monthly_data!CB454*42/1000</f>
        <v>7154.0280000000002</v>
      </c>
      <c r="L140" s="106">
        <f>monthly_data!CB466*42/1000</f>
        <v>6512.6880000000001</v>
      </c>
      <c r="M140" s="106">
        <f>monthly_data!CB478*42/1000</f>
        <v>5346.9780000000001</v>
      </c>
      <c r="N140" s="106">
        <f>monthly_data!CB490*42/1000</f>
        <v>5420.52</v>
      </c>
      <c r="O140" s="106">
        <f>monthly_data!CB502*42/1000</f>
        <v>5389.1459999999997</v>
      </c>
      <c r="P140" s="106">
        <f>monthly_data!CB514*42/1000</f>
        <v>6406.2179999999998</v>
      </c>
      <c r="Q140" s="106">
        <f>monthly_data!CB526*42/1000</f>
        <v>6734.1959999999999</v>
      </c>
      <c r="R140" s="106">
        <f>monthly_data!CB538*42/1000</f>
        <v>6207.8519999999999</v>
      </c>
      <c r="S140" s="106">
        <f>monthly_data!$CB550*42/1000</f>
        <v>5555.1719999999996</v>
      </c>
      <c r="T140" s="106">
        <f>monthly_data!$CB562*42/1000</f>
        <v>5696.7120000000004</v>
      </c>
      <c r="U140" s="106">
        <f>monthly_data!$CB574*42/1000</f>
        <v>7550.0460000000003</v>
      </c>
      <c r="V140" s="106">
        <f>monthly_data!$CB586*42/1000</f>
        <v>5780.25</v>
      </c>
      <c r="W140" s="106">
        <f>monthly_data!$CB598*42/1000</f>
        <v>4751.1239999999998</v>
      </c>
      <c r="X140" s="106">
        <f>monthly_data!$CB610*42/1000</f>
        <v>4909.38</v>
      </c>
      <c r="Y140" s="135">
        <f t="shared" si="83"/>
        <v>6318.4769042594817</v>
      </c>
      <c r="Z140" s="135">
        <f t="shared" si="82"/>
        <v>6981.3859999490978</v>
      </c>
      <c r="AA140" s="135">
        <f t="shared" si="82"/>
        <v>35976.267554916645</v>
      </c>
      <c r="AB140" s="135">
        <f t="shared" si="82"/>
        <v>35195.225569514259</v>
      </c>
      <c r="AC140" s="135">
        <f t="shared" si="82"/>
        <v>38698.874774375407</v>
      </c>
      <c r="AD140" s="135">
        <f t="shared" si="82"/>
        <v>42153.93057281174</v>
      </c>
      <c r="AE140" s="135">
        <f t="shared" si="82"/>
        <v>46212.508981271822</v>
      </c>
      <c r="AF140" s="135">
        <f t="shared" si="82"/>
        <v>52554.897175809354</v>
      </c>
      <c r="AG140" s="135">
        <f t="shared" si="82"/>
        <v>55423.585265786474</v>
      </c>
      <c r="AH140" s="135">
        <f t="shared" si="82"/>
        <v>59190.729570163625</v>
      </c>
    </row>
    <row r="141" spans="1:35">
      <c r="A141" s="87" t="s">
        <v>175</v>
      </c>
      <c r="B141" s="106">
        <f>monthly_data!CB347*42/1000</f>
        <v>5333.6220000000003</v>
      </c>
      <c r="C141" s="106">
        <f>monthly_data!CB359*42/1000</f>
        <v>5327.826</v>
      </c>
      <c r="D141" s="106">
        <f>monthly_data!CB371*42/1000</f>
        <v>5514.3059999999996</v>
      </c>
      <c r="E141" s="106">
        <f>monthly_data!CB383*42/1000</f>
        <v>5170.0739999999996</v>
      </c>
      <c r="F141" s="106">
        <f>monthly_data!CB395*42/1000</f>
        <v>5364.1980000000003</v>
      </c>
      <c r="G141" s="106">
        <f>monthly_data!CB407*42/1000</f>
        <v>6270.9359999999997</v>
      </c>
      <c r="H141" s="106">
        <f>monthly_data!CB419*42/1000</f>
        <v>5637.9120000000003</v>
      </c>
      <c r="I141" s="106">
        <f>monthly_data!CB431*42/1000</f>
        <v>5362.518</v>
      </c>
      <c r="J141" s="106">
        <f>monthly_data!CB443*42/1000</f>
        <v>7254.7020000000002</v>
      </c>
      <c r="K141" s="106">
        <f>monthly_data!CB455*42/1000</f>
        <v>7002.87</v>
      </c>
      <c r="L141" s="106">
        <f>monthly_data!CB467*42/1000</f>
        <v>6442.7579999999998</v>
      </c>
      <c r="M141" s="106">
        <f>monthly_data!CB479*42/1000</f>
        <v>5350.1279999999997</v>
      </c>
      <c r="N141" s="106">
        <f>monthly_data!CB491*42/1000</f>
        <v>5431.692</v>
      </c>
      <c r="O141" s="106">
        <f>monthly_data!CB503*42/1000</f>
        <v>5520.3119999999999</v>
      </c>
      <c r="P141" s="106">
        <f>monthly_data!CB515*42/1000</f>
        <v>6274.9260000000004</v>
      </c>
      <c r="Q141" s="106">
        <f>monthly_data!CB527*42/1000</f>
        <v>6764.1419999999998</v>
      </c>
      <c r="R141" s="106">
        <f>monthly_data!CB539*42/1000</f>
        <v>5767.902</v>
      </c>
      <c r="S141" s="106">
        <f>monthly_data!$CB551*42/1000</f>
        <v>5764.4579999999996</v>
      </c>
      <c r="T141" s="106">
        <f>monthly_data!$CB563*42/1000</f>
        <v>5537.1959999999999</v>
      </c>
      <c r="U141" s="106">
        <f>monthly_data!$CB575*42/1000</f>
        <v>7245.0839999999998</v>
      </c>
      <c r="V141" s="106">
        <f>monthly_data!$CB587*42/1000</f>
        <v>5547.99</v>
      </c>
      <c r="W141" s="106">
        <f>monthly_data!$CB599*42/1000</f>
        <v>4642.3019999999997</v>
      </c>
      <c r="X141" s="106">
        <f>monthly_data!$CB611*42/1000</f>
        <v>5005.1400000000003</v>
      </c>
      <c r="Y141" s="135">
        <f t="shared" si="83"/>
        <v>6286.9840256271827</v>
      </c>
      <c r="Z141" s="135">
        <f t="shared" si="82"/>
        <v>6923.7223267195877</v>
      </c>
      <c r="AA141" s="135">
        <f t="shared" si="82"/>
        <v>37351.946704838774</v>
      </c>
      <c r="AB141" s="135">
        <f t="shared" si="82"/>
        <v>35635.665130008616</v>
      </c>
      <c r="AC141" s="135">
        <f t="shared" si="82"/>
        <v>38961.033457447062</v>
      </c>
      <c r="AD141" s="135">
        <f t="shared" si="82"/>
        <v>42311.065627172095</v>
      </c>
      <c r="AE141" s="135">
        <f t="shared" si="82"/>
        <v>46352.066537394334</v>
      </c>
      <c r="AF141" s="135">
        <f t="shared" si="82"/>
        <v>52985.643662434981</v>
      </c>
      <c r="AG141" s="135">
        <f t="shared" si="82"/>
        <v>55701.163027030518</v>
      </c>
      <c r="AH141" s="135">
        <f t="shared" si="82"/>
        <v>59416.644318264793</v>
      </c>
    </row>
    <row r="142" spans="1:35">
      <c r="A142" s="87" t="s">
        <v>176</v>
      </c>
      <c r="B142" s="106">
        <f>monthly_data!CB348*42/1000</f>
        <v>5414.598</v>
      </c>
      <c r="C142" s="106">
        <f>monthly_data!CB360*42/1000</f>
        <v>5100.1859999999997</v>
      </c>
      <c r="D142" s="106">
        <f>monthly_data!CB372*42/1000</f>
        <v>5546.8140000000003</v>
      </c>
      <c r="E142" s="106">
        <f>monthly_data!CB384*42/1000</f>
        <v>4969.6499999999996</v>
      </c>
      <c r="F142" s="106">
        <f>monthly_data!CB396*42/1000</f>
        <v>5237.82</v>
      </c>
      <c r="G142" s="106">
        <f>monthly_data!CB408*42/1000</f>
        <v>5999.4059999999999</v>
      </c>
      <c r="H142" s="106">
        <f>monthly_data!CB420*42/1000</f>
        <v>5646.1019999999999</v>
      </c>
      <c r="I142" s="106">
        <f>monthly_data!CB432*42/1000</f>
        <v>5358.99</v>
      </c>
      <c r="J142" s="106">
        <f>monthly_data!CB444*42/1000</f>
        <v>7188.8879999999999</v>
      </c>
      <c r="K142" s="106">
        <f>monthly_data!CB456*42/1000</f>
        <v>6783.42</v>
      </c>
      <c r="L142" s="106">
        <f>monthly_data!CB468*42/1000</f>
        <v>5977.7340000000004</v>
      </c>
      <c r="M142" s="106">
        <f>monthly_data!CB480*42/1000</f>
        <v>4983.4260000000004</v>
      </c>
      <c r="N142" s="106">
        <f>monthly_data!CB492*42/1000</f>
        <v>4957.47</v>
      </c>
      <c r="O142" s="106">
        <f>monthly_data!CB504*42/1000</f>
        <v>5055.6239999999998</v>
      </c>
      <c r="P142" s="106">
        <f>monthly_data!CB516*42/1000</f>
        <v>6032.25</v>
      </c>
      <c r="Q142" s="106">
        <f>monthly_data!CB528*42/1000</f>
        <v>6498.03</v>
      </c>
      <c r="R142" s="106">
        <f>monthly_data!CB540*42/1000</f>
        <v>5462.2259999999997</v>
      </c>
      <c r="S142" s="106">
        <f>monthly_data!$CB552*42/1000</f>
        <v>5240.4660000000003</v>
      </c>
      <c r="T142" s="106">
        <f>monthly_data!$CB564*42/1000</f>
        <v>5043.0659999999998</v>
      </c>
      <c r="U142" s="106">
        <f>monthly_data!$CB576*42/1000</f>
        <v>6561.87</v>
      </c>
      <c r="V142" s="106">
        <f>monthly_data!$CB588*42/1000</f>
        <v>5578.0619999999999</v>
      </c>
      <c r="W142" s="106">
        <f>monthly_data!$CB600*42/1000</f>
        <v>4640.6639999999998</v>
      </c>
      <c r="X142" s="106">
        <f>monthly_data!$CB612*42/1000</f>
        <v>4638.1859999999997</v>
      </c>
      <c r="Y142" s="135">
        <f t="shared" si="83"/>
        <v>6077.6710395726468</v>
      </c>
      <c r="Z142" s="135">
        <f t="shared" si="82"/>
        <v>6727.2192491398273</v>
      </c>
      <c r="AA142" s="135">
        <f t="shared" si="82"/>
        <v>38602.582708860275</v>
      </c>
      <c r="AB142" s="135">
        <f t="shared" si="82"/>
        <v>35907.992403488417</v>
      </c>
      <c r="AC142" s="135">
        <f t="shared" si="82"/>
        <v>39012.503175149708</v>
      </c>
      <c r="AD142" s="135">
        <f t="shared" si="82"/>
        <v>42321.519686386302</v>
      </c>
      <c r="AE142" s="135">
        <f t="shared" si="82"/>
        <v>46352.455818889925</v>
      </c>
      <c r="AF142" s="135">
        <f t="shared" si="82"/>
        <v>53264.486648372484</v>
      </c>
      <c r="AG142" s="135">
        <f t="shared" si="82"/>
        <v>55822.557670726179</v>
      </c>
      <c r="AH142" s="135">
        <f t="shared" si="82"/>
        <v>59488.759476980245</v>
      </c>
    </row>
    <row r="143" spans="1:35">
      <c r="A143" s="87" t="s">
        <v>177</v>
      </c>
      <c r="B143" s="106">
        <f>monthly_data!CB349*42/1000</f>
        <v>5835.6059999999998</v>
      </c>
      <c r="C143" s="106">
        <f>monthly_data!CB361*42/1000</f>
        <v>5224.9260000000004</v>
      </c>
      <c r="D143" s="106">
        <f>monthly_data!CB373*42/1000</f>
        <v>5717.7539999999999</v>
      </c>
      <c r="E143" s="106">
        <f>monthly_data!CB385*42/1000</f>
        <v>5174.5680000000002</v>
      </c>
      <c r="F143" s="106">
        <f>monthly_data!CB397*42/1000</f>
        <v>5614.7280000000001</v>
      </c>
      <c r="G143" s="106">
        <f>monthly_data!CB409*42/1000</f>
        <v>5906.2920000000004</v>
      </c>
      <c r="H143" s="106">
        <f>monthly_data!CB421*42/1000</f>
        <v>5661.6</v>
      </c>
      <c r="I143" s="106">
        <f>monthly_data!CB433*42/1000</f>
        <v>5706.7920000000004</v>
      </c>
      <c r="J143" s="106">
        <f>monthly_data!CB445*42/1000</f>
        <v>7187.25</v>
      </c>
      <c r="K143" s="106">
        <f>monthly_data!CB457*42/1000</f>
        <v>6803.6220000000003</v>
      </c>
      <c r="L143" s="106">
        <f>monthly_data!CB469*42/1000</f>
        <v>6041.9939999999997</v>
      </c>
      <c r="M143" s="106">
        <f>monthly_data!CB481*42/1000</f>
        <v>4955.7060000000001</v>
      </c>
      <c r="N143" s="106">
        <f>monthly_data!CB493*42/1000</f>
        <v>5086.9560000000001</v>
      </c>
      <c r="O143" s="106">
        <f>monthly_data!CB505*42/1000</f>
        <v>5301.03</v>
      </c>
      <c r="P143" s="106">
        <f>monthly_data!CB517*42/1000</f>
        <v>6602.82</v>
      </c>
      <c r="Q143" s="106">
        <f>monthly_data!CB529*42/1000</f>
        <v>6773.6760000000004</v>
      </c>
      <c r="R143" s="106">
        <f>monthly_data!CB541*42/1000</f>
        <v>5602.2539999999999</v>
      </c>
      <c r="S143" s="106">
        <f>monthly_data!$CB553*42/1000</f>
        <v>5314.8059999999996</v>
      </c>
      <c r="T143" s="106">
        <f>monthly_data!$CB565*42/1000</f>
        <v>5301.2820000000002</v>
      </c>
      <c r="U143" s="106">
        <f>monthly_data!$CB577*42/1000</f>
        <v>6602.61</v>
      </c>
      <c r="V143" s="106">
        <f>monthly_data!$CB589*42/1000</f>
        <v>5531.0640000000003</v>
      </c>
      <c r="W143" s="106">
        <f>monthly_data!$CB601*42/1000</f>
        <v>5065.2420000000002</v>
      </c>
      <c r="X143" s="106">
        <f>monthly_data!$CB613*42/1000</f>
        <v>4778.8860000000004</v>
      </c>
      <c r="Y143" s="135">
        <f t="shared" si="83"/>
        <v>6320.9053157868429</v>
      </c>
      <c r="Z143" s="135">
        <f t="shared" si="82"/>
        <v>6940.5027778056919</v>
      </c>
      <c r="AA143" s="135">
        <f t="shared" si="82"/>
        <v>40260.070020098108</v>
      </c>
      <c r="AB143" s="135">
        <f t="shared" si="82"/>
        <v>36648.244790399003</v>
      </c>
      <c r="AC143" s="135">
        <f t="shared" si="82"/>
        <v>39534.519363147119</v>
      </c>
      <c r="AD143" s="135">
        <f t="shared" si="82"/>
        <v>42792.037697028078</v>
      </c>
      <c r="AE143" s="135">
        <f t="shared" si="82"/>
        <v>46810.238464302536</v>
      </c>
      <c r="AF143" s="135">
        <f t="shared" si="82"/>
        <v>54016.843364314307</v>
      </c>
      <c r="AG143" s="135">
        <f t="shared" si="82"/>
        <v>56427.081585421809</v>
      </c>
      <c r="AH143" s="135">
        <f t="shared" si="82"/>
        <v>60044.742003980798</v>
      </c>
    </row>
    <row r="144" spans="1:35">
      <c r="A144" s="87" t="s">
        <v>178</v>
      </c>
      <c r="B144" s="106">
        <f>monthly_data!CB350*42/1000</f>
        <v>6069.5460000000003</v>
      </c>
      <c r="C144" s="106">
        <f>monthly_data!CB362*42/1000</f>
        <v>5631.57</v>
      </c>
      <c r="D144" s="106">
        <f>monthly_data!CB374*42/1000</f>
        <v>5734.7640000000001</v>
      </c>
      <c r="E144" s="106">
        <f>monthly_data!CB386*42/1000</f>
        <v>5303.424</v>
      </c>
      <c r="F144" s="106">
        <f>monthly_data!CB398*42/1000</f>
        <v>5712.924</v>
      </c>
      <c r="G144" s="106">
        <f>monthly_data!CB410*42/1000</f>
        <v>6033.3419999999996</v>
      </c>
      <c r="H144" s="106">
        <f>monthly_data!CB422*42/1000</f>
        <v>5625.6480000000001</v>
      </c>
      <c r="I144" s="106">
        <f>monthly_data!CB434*42/1000</f>
        <v>6132.5460000000003</v>
      </c>
      <c r="J144" s="106">
        <f>monthly_data!CB446*42/1000</f>
        <v>6970.4880000000003</v>
      </c>
      <c r="K144" s="106">
        <f>monthly_data!CB458*42/1000</f>
        <v>6900.8519999999999</v>
      </c>
      <c r="L144" s="106">
        <f>monthly_data!CB470*42/1000</f>
        <v>6266.9040000000005</v>
      </c>
      <c r="M144" s="106">
        <f>monthly_data!CB482*42/1000</f>
        <v>5661.9780000000001</v>
      </c>
      <c r="N144" s="106">
        <f>monthly_data!CB494*42/1000</f>
        <v>5356.8059999999996</v>
      </c>
      <c r="O144" s="106">
        <f>monthly_data!CB506*42/1000</f>
        <v>5724.0119999999997</v>
      </c>
      <c r="P144" s="106">
        <f>monthly_data!CB518*42/1000</f>
        <v>6775.692</v>
      </c>
      <c r="Q144" s="106">
        <f>monthly_data!CB530*42/1000</f>
        <v>6975.99</v>
      </c>
      <c r="R144" s="106">
        <f>monthly_data!CB542*42/1000</f>
        <v>6116.7960000000003</v>
      </c>
      <c r="S144" s="106">
        <f>monthly_data!$CB554*42/1000</f>
        <v>5886.8040000000001</v>
      </c>
      <c r="T144" s="106">
        <f>monthly_data!$CB566*42/1000</f>
        <v>5883.4859999999999</v>
      </c>
      <c r="U144" s="106">
        <f>monthly_data!$CB578*42/1000</f>
        <v>6769.8959999999997</v>
      </c>
      <c r="V144" s="106">
        <f>monthly_data!$CB590*42/1000</f>
        <v>5461.6379999999999</v>
      </c>
      <c r="W144" s="106">
        <f>monthly_data!$CB602*42/1000</f>
        <v>4993.7579999999998</v>
      </c>
      <c r="X144" s="106">
        <f>monthly_data!$CB614*42/1000</f>
        <v>5489.9459999999999</v>
      </c>
      <c r="Y144" s="135">
        <f t="shared" si="83"/>
        <v>6402.0089701774814</v>
      </c>
      <c r="Z144" s="135">
        <f t="shared" si="82"/>
        <v>24146.343096537727</v>
      </c>
      <c r="AA144" s="135">
        <f t="shared" si="82"/>
        <v>31111.114815876561</v>
      </c>
      <c r="AB144" s="135">
        <f t="shared" si="82"/>
        <v>35995.533628179255</v>
      </c>
      <c r="AC144" s="135">
        <f t="shared" si="82"/>
        <v>40016.177824440485</v>
      </c>
      <c r="AD144" s="135">
        <f t="shared" si="82"/>
        <v>44262.372697573664</v>
      </c>
      <c r="AE144" s="135">
        <f t="shared" si="82"/>
        <v>48247.539322418103</v>
      </c>
      <c r="AF144" s="135">
        <f t="shared" si="82"/>
        <v>52328.430765688281</v>
      </c>
      <c r="AG144" s="135">
        <f t="shared" si="82"/>
        <v>56447.72578328407</v>
      </c>
      <c r="AH144" s="135">
        <f t="shared" si="82"/>
        <v>59695.406096587998</v>
      </c>
    </row>
    <row r="145" spans="1:34">
      <c r="A145" s="117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</row>
    <row r="146" spans="1:34" ht="16.5">
      <c r="A146" s="87" t="s">
        <v>236</v>
      </c>
      <c r="N146" s="127"/>
      <c r="O146" s="127"/>
      <c r="P146" s="127"/>
      <c r="Q146" s="127"/>
    </row>
    <row r="147" spans="1:34">
      <c r="A147" s="87" t="s">
        <v>167</v>
      </c>
    </row>
    <row r="148" spans="1:34">
      <c r="A148" s="87" t="s">
        <v>168</v>
      </c>
    </row>
    <row r="162" spans="1:35">
      <c r="A162" s="87"/>
      <c r="AD162" s="159"/>
    </row>
    <row r="163" spans="1:35" s="87" customFormat="1">
      <c r="A163" s="100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98"/>
      <c r="Y163" s="98"/>
      <c r="Z163" s="98"/>
      <c r="AA163" s="98"/>
      <c r="AB163" s="98"/>
      <c r="AC163" s="98"/>
      <c r="AD163" s="102"/>
      <c r="AE163" s="102"/>
      <c r="AF163" s="102"/>
      <c r="AG163" s="102"/>
      <c r="AH163" s="102"/>
      <c r="AI163" s="113"/>
    </row>
    <row r="210" spans="2:35" s="87" customFormat="1"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13"/>
    </row>
    <row r="211" spans="2:35" s="87" customFormat="1"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13"/>
    </row>
    <row r="212" spans="2:35" s="87" customFormat="1"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13"/>
    </row>
    <row r="213" spans="2:35" s="87" customFormat="1"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13"/>
    </row>
    <row r="214" spans="2:35" s="87" customFormat="1"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13"/>
    </row>
    <row r="215" spans="2:35" s="87" customFormat="1"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13"/>
    </row>
    <row r="216" spans="2:35" s="87" customFormat="1"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13"/>
    </row>
    <row r="217" spans="2:35" s="87" customFormat="1"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13"/>
    </row>
    <row r="218" spans="2:35" s="87" customFormat="1"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13"/>
    </row>
    <row r="219" spans="2:35" s="87" customFormat="1"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13"/>
    </row>
    <row r="220" spans="2:35" s="87" customFormat="1"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13"/>
    </row>
    <row r="221" spans="2:35" s="87" customFormat="1"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13"/>
    </row>
    <row r="222" spans="2:35" s="87" customFormat="1"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13"/>
    </row>
    <row r="223" spans="2:35" s="87" customFormat="1"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13"/>
    </row>
    <row r="224" spans="2:35" s="87" customFormat="1"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13"/>
    </row>
    <row r="225" spans="2:35" s="87" customFormat="1"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13"/>
    </row>
    <row r="226" spans="2:35" s="87" customFormat="1"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13"/>
    </row>
    <row r="227" spans="2:35" s="87" customFormat="1"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13"/>
    </row>
    <row r="228" spans="2:35" s="87" customFormat="1"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13"/>
    </row>
    <row r="229" spans="2:35" s="87" customFormat="1"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13"/>
    </row>
    <row r="230" spans="2:35" s="87" customFormat="1"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13"/>
    </row>
    <row r="231" spans="2:35" s="87" customFormat="1"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13"/>
    </row>
    <row r="232" spans="2:35" s="87" customFormat="1"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13"/>
    </row>
    <row r="233" spans="2:35" s="87" customFormat="1"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13"/>
    </row>
    <row r="234" spans="2:35" s="87" customFormat="1"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13"/>
    </row>
    <row r="235" spans="2:35" s="87" customFormat="1"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13"/>
    </row>
    <row r="236" spans="2:35" s="87" customFormat="1"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13"/>
    </row>
    <row r="237" spans="2:35" s="87" customFormat="1"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13"/>
    </row>
    <row r="238" spans="2:35" s="87" customFormat="1"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13"/>
    </row>
    <row r="239" spans="2:35" s="87" customFormat="1"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13"/>
    </row>
    <row r="240" spans="2:35" s="87" customFormat="1"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13"/>
    </row>
    <row r="241" spans="2:35" s="87" customFormat="1"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13"/>
    </row>
    <row r="242" spans="2:35" s="87" customFormat="1"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13"/>
    </row>
    <row r="243" spans="2:35" s="87" customFormat="1"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13"/>
    </row>
    <row r="244" spans="2:35" s="87" customFormat="1"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13"/>
    </row>
    <row r="245" spans="2:35" s="87" customFormat="1"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13"/>
    </row>
    <row r="246" spans="2:35" s="87" customFormat="1"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13"/>
    </row>
    <row r="247" spans="2:35" s="87" customFormat="1"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13"/>
    </row>
    <row r="248" spans="2:35" s="87" customFormat="1"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13"/>
    </row>
    <row r="249" spans="2:35" s="87" customFormat="1"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13"/>
    </row>
    <row r="250" spans="2:35" s="87" customFormat="1"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13"/>
    </row>
    <row r="251" spans="2:35" s="87" customFormat="1"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13"/>
    </row>
    <row r="252" spans="2:35" s="87" customFormat="1"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13"/>
    </row>
    <row r="253" spans="2:35" s="87" customFormat="1"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13"/>
    </row>
    <row r="254" spans="2:35" s="87" customFormat="1"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13"/>
    </row>
    <row r="255" spans="2:35" s="87" customFormat="1"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13"/>
    </row>
    <row r="256" spans="2:35" s="87" customFormat="1"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13"/>
    </row>
    <row r="257" spans="2:35" s="87" customFormat="1"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13"/>
    </row>
    <row r="258" spans="2:35" s="87" customFormat="1"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13"/>
    </row>
    <row r="259" spans="2:35" s="87" customFormat="1"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13"/>
    </row>
    <row r="260" spans="2:35" s="87" customFormat="1"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13"/>
    </row>
    <row r="261" spans="2:35" s="87" customFormat="1"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13"/>
    </row>
    <row r="262" spans="2:35" s="87" customFormat="1"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13"/>
    </row>
    <row r="263" spans="2:35" s="87" customFormat="1"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13"/>
    </row>
    <row r="264" spans="2:35" s="87" customFormat="1"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13"/>
    </row>
    <row r="265" spans="2:35" s="87" customFormat="1"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13"/>
    </row>
    <row r="266" spans="2:35" s="87" customFormat="1"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13"/>
    </row>
    <row r="267" spans="2:35" s="87" customFormat="1"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13"/>
    </row>
    <row r="268" spans="2:35" s="87" customFormat="1"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13"/>
    </row>
    <row r="269" spans="2:35" s="87" customFormat="1"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13"/>
    </row>
    <row r="270" spans="2:35" s="87" customFormat="1"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13"/>
    </row>
    <row r="271" spans="2:35" s="87" customFormat="1"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13"/>
    </row>
    <row r="272" spans="2:35" s="87" customFormat="1"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13"/>
    </row>
    <row r="273" spans="2:35" s="87" customFormat="1"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13"/>
    </row>
    <row r="274" spans="2:35" s="87" customFormat="1"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13"/>
    </row>
    <row r="275" spans="2:35" s="87" customFormat="1"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13"/>
    </row>
    <row r="276" spans="2:35" s="87" customFormat="1"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13"/>
    </row>
    <row r="277" spans="2:35" s="87" customFormat="1"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13"/>
    </row>
    <row r="278" spans="2:35" s="87" customFormat="1"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13"/>
    </row>
    <row r="279" spans="2:35" s="87" customFormat="1"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13"/>
    </row>
    <row r="280" spans="2:35" s="87" customFormat="1"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13"/>
    </row>
    <row r="281" spans="2:35" s="87" customFormat="1"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13"/>
    </row>
    <row r="282" spans="2:35" s="87" customFormat="1"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13"/>
    </row>
    <row r="283" spans="2:35" s="87" customFormat="1"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13"/>
    </row>
    <row r="284" spans="2:35" s="87" customFormat="1"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13"/>
    </row>
    <row r="285" spans="2:35" s="87" customFormat="1"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13"/>
    </row>
    <row r="286" spans="2:35" s="87" customFormat="1"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13"/>
    </row>
    <row r="287" spans="2:35" s="87" customFormat="1"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13"/>
    </row>
    <row r="288" spans="2:35" s="87" customFormat="1"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13"/>
    </row>
    <row r="289" spans="2:35" s="87" customFormat="1"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13"/>
    </row>
    <row r="290" spans="2:35" s="87" customFormat="1"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13"/>
    </row>
    <row r="291" spans="2:35" s="87" customFormat="1"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13"/>
    </row>
    <row r="292" spans="2:35" s="87" customFormat="1"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13"/>
    </row>
    <row r="293" spans="2:35" s="87" customFormat="1"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13"/>
    </row>
    <row r="294" spans="2:35" s="87" customFormat="1"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13"/>
    </row>
    <row r="295" spans="2:35" s="87" customFormat="1"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13"/>
    </row>
    <row r="296" spans="2:35" s="87" customFormat="1"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13"/>
    </row>
    <row r="297" spans="2:35" s="87" customFormat="1"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13"/>
    </row>
    <row r="298" spans="2:35" s="87" customFormat="1"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13"/>
    </row>
    <row r="299" spans="2:35" s="87" customFormat="1"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13"/>
    </row>
    <row r="300" spans="2:35" s="87" customFormat="1"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13"/>
    </row>
    <row r="301" spans="2:35" s="87" customFormat="1"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13"/>
    </row>
    <row r="302" spans="2:35" s="87" customFormat="1"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13"/>
    </row>
    <row r="303" spans="2:35" s="87" customFormat="1"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13"/>
    </row>
    <row r="304" spans="2:35" s="87" customFormat="1"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13"/>
    </row>
    <row r="305" spans="2:35" s="87" customFormat="1"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13"/>
    </row>
    <row r="306" spans="2:35" s="87" customFormat="1"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13"/>
    </row>
    <row r="307" spans="2:35" s="87" customFormat="1"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13"/>
    </row>
    <row r="308" spans="2:35" s="87" customFormat="1"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13"/>
    </row>
    <row r="309" spans="2:35" s="87" customFormat="1"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13"/>
    </row>
    <row r="310" spans="2:35" s="87" customFormat="1"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13"/>
    </row>
    <row r="311" spans="2:35" s="87" customFormat="1"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13"/>
    </row>
    <row r="312" spans="2:35" s="87" customFormat="1"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13"/>
    </row>
    <row r="313" spans="2:35" s="87" customFormat="1"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13"/>
    </row>
    <row r="314" spans="2:35" s="87" customFormat="1"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13"/>
    </row>
    <row r="315" spans="2:35" s="87" customFormat="1"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13"/>
    </row>
    <row r="316" spans="2:35" s="87" customFormat="1"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13"/>
    </row>
    <row r="317" spans="2:35" s="87" customFormat="1"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13"/>
    </row>
    <row r="318" spans="2:35" s="87" customFormat="1"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13"/>
    </row>
    <row r="319" spans="2:35" s="87" customFormat="1"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13"/>
    </row>
    <row r="320" spans="2:35" s="87" customFormat="1"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13"/>
    </row>
    <row r="321" spans="2:35" s="87" customFormat="1"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13"/>
    </row>
    <row r="322" spans="2:35" s="87" customFormat="1"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13"/>
    </row>
    <row r="323" spans="2:35" s="87" customFormat="1"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13"/>
    </row>
    <row r="324" spans="2:35" s="87" customFormat="1"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13"/>
    </row>
    <row r="325" spans="2:35" s="87" customFormat="1"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13"/>
    </row>
    <row r="326" spans="2:35" s="87" customFormat="1"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13"/>
    </row>
    <row r="327" spans="2:35" s="87" customFormat="1"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13"/>
    </row>
    <row r="328" spans="2:35" s="87" customFormat="1"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13"/>
    </row>
    <row r="329" spans="2:35" s="87" customFormat="1"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13"/>
    </row>
    <row r="330" spans="2:35" s="87" customFormat="1"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13"/>
    </row>
    <row r="331" spans="2:35" s="87" customFormat="1"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13"/>
    </row>
    <row r="332" spans="2:35" s="87" customFormat="1"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13"/>
    </row>
    <row r="333" spans="2:35" s="87" customFormat="1"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13"/>
    </row>
    <row r="334" spans="2:35" s="87" customFormat="1"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13"/>
    </row>
    <row r="335" spans="2:35" s="87" customFormat="1"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13"/>
    </row>
    <row r="336" spans="2:35" s="87" customFormat="1"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13"/>
    </row>
    <row r="337" spans="2:35" s="87" customFormat="1"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13"/>
    </row>
    <row r="338" spans="2:35" s="87" customFormat="1"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13"/>
    </row>
    <row r="339" spans="2:35" s="87" customFormat="1"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13"/>
    </row>
    <row r="340" spans="2:35" s="87" customFormat="1"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13"/>
    </row>
    <row r="341" spans="2:35" s="87" customFormat="1"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13"/>
    </row>
    <row r="342" spans="2:35" s="87" customFormat="1"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13"/>
    </row>
    <row r="343" spans="2:35" s="87" customFormat="1"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13"/>
    </row>
    <row r="344" spans="2:35" s="87" customFormat="1"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13"/>
    </row>
    <row r="345" spans="2:35" s="87" customFormat="1"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13"/>
    </row>
    <row r="346" spans="2:35" s="87" customFormat="1"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13"/>
    </row>
    <row r="347" spans="2:35" s="87" customFormat="1"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13"/>
    </row>
    <row r="348" spans="2:35" s="87" customFormat="1"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13"/>
    </row>
    <row r="349" spans="2:35" s="87" customFormat="1"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13"/>
    </row>
    <row r="350" spans="2:35" s="87" customFormat="1"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13"/>
    </row>
    <row r="351" spans="2:35" s="87" customFormat="1"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13"/>
    </row>
    <row r="352" spans="2:35" s="87" customFormat="1"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13"/>
    </row>
    <row r="353" spans="2:35" s="87" customFormat="1"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13"/>
    </row>
    <row r="354" spans="2:35" s="87" customFormat="1"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13"/>
    </row>
    <row r="355" spans="2:35" s="87" customFormat="1"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13"/>
    </row>
    <row r="356" spans="2:35" s="87" customFormat="1"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13"/>
    </row>
    <row r="357" spans="2:35" s="87" customFormat="1"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13"/>
    </row>
    <row r="358" spans="2:35" s="87" customFormat="1"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13"/>
    </row>
    <row r="359" spans="2:35" s="87" customFormat="1"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13"/>
    </row>
    <row r="360" spans="2:35" s="87" customFormat="1"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13"/>
    </row>
    <row r="361" spans="2:35" s="87" customFormat="1"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13"/>
    </row>
    <row r="362" spans="2:35" s="87" customFormat="1"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13"/>
    </row>
    <row r="363" spans="2:35" s="87" customFormat="1"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13"/>
    </row>
    <row r="364" spans="2:35" s="87" customFormat="1"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13"/>
    </row>
    <row r="365" spans="2:35" s="87" customFormat="1"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13"/>
    </row>
    <row r="366" spans="2:35" s="87" customFormat="1"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13"/>
    </row>
    <row r="367" spans="2:35" s="87" customFormat="1"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13"/>
    </row>
    <row r="368" spans="2:35" s="87" customFormat="1"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13"/>
    </row>
    <row r="369" spans="2:35" s="87" customFormat="1"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13"/>
    </row>
    <row r="370" spans="2:35" s="87" customFormat="1"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13"/>
    </row>
    <row r="371" spans="2:35" s="87" customFormat="1"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13"/>
    </row>
    <row r="372" spans="2:35" s="87" customFormat="1"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13"/>
    </row>
    <row r="373" spans="2:35" s="87" customFormat="1"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13"/>
    </row>
    <row r="374" spans="2:35" s="87" customFormat="1"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13"/>
    </row>
    <row r="375" spans="2:35" s="87" customFormat="1"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13"/>
    </row>
    <row r="376" spans="2:35" s="87" customFormat="1"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13"/>
    </row>
    <row r="377" spans="2:35" s="87" customFormat="1"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13"/>
    </row>
    <row r="378" spans="2:35" s="87" customFormat="1"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13"/>
    </row>
    <row r="379" spans="2:35" s="87" customFormat="1"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13"/>
    </row>
    <row r="380" spans="2:35" s="87" customFormat="1"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13"/>
    </row>
    <row r="381" spans="2:35" s="87" customFormat="1"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13"/>
    </row>
    <row r="382" spans="2:35" s="87" customFormat="1"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13"/>
    </row>
    <row r="383" spans="2:35" s="87" customFormat="1"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13"/>
    </row>
    <row r="384" spans="2:35" s="87" customFormat="1"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13"/>
    </row>
    <row r="385" spans="2:35" s="87" customFormat="1"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13"/>
    </row>
    <row r="386" spans="2:35" s="87" customFormat="1"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13"/>
    </row>
    <row r="387" spans="2:35" s="87" customFormat="1"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13"/>
    </row>
    <row r="388" spans="2:35" s="87" customFormat="1"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13"/>
    </row>
    <row r="389" spans="2:35" s="87" customFormat="1"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13"/>
    </row>
    <row r="390" spans="2:35" s="87" customFormat="1"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13"/>
    </row>
    <row r="391" spans="2:35" s="87" customFormat="1"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13"/>
    </row>
    <row r="392" spans="2:35" s="87" customFormat="1"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13"/>
    </row>
    <row r="393" spans="2:35" s="87" customFormat="1"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13"/>
    </row>
    <row r="394" spans="2:35" s="87" customFormat="1"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13"/>
    </row>
    <row r="395" spans="2:35" s="87" customFormat="1"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13"/>
    </row>
    <row r="396" spans="2:35" s="87" customFormat="1"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13"/>
    </row>
    <row r="397" spans="2:35" s="87" customFormat="1"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13"/>
    </row>
    <row r="398" spans="2:35" s="87" customFormat="1"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13"/>
    </row>
    <row r="399" spans="2:35" s="87" customFormat="1"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13"/>
    </row>
    <row r="400" spans="2:35" s="87" customFormat="1"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13"/>
    </row>
    <row r="401" spans="2:35" s="87" customFormat="1"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13"/>
    </row>
    <row r="402" spans="2:35" s="87" customFormat="1"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13"/>
    </row>
    <row r="403" spans="2:35" s="87" customFormat="1"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13"/>
    </row>
    <row r="404" spans="2:35" s="87" customFormat="1"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13"/>
    </row>
    <row r="405" spans="2:35" s="87" customFormat="1"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13"/>
    </row>
    <row r="406" spans="2:35" s="87" customFormat="1"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13"/>
    </row>
    <row r="407" spans="2:35" s="87" customFormat="1"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13"/>
    </row>
    <row r="408" spans="2:35" s="87" customFormat="1"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13"/>
    </row>
    <row r="409" spans="2:35" s="87" customFormat="1"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13"/>
    </row>
    <row r="410" spans="2:35" s="87" customFormat="1"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13"/>
    </row>
    <row r="411" spans="2:35" s="87" customFormat="1"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13"/>
    </row>
    <row r="412" spans="2:35" s="87" customFormat="1"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13"/>
    </row>
    <row r="413" spans="2:35" s="87" customFormat="1"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13"/>
    </row>
    <row r="414" spans="2:35" s="87" customFormat="1"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13"/>
    </row>
    <row r="415" spans="2:35" s="87" customFormat="1"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13"/>
    </row>
    <row r="416" spans="2:35" s="87" customFormat="1"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13"/>
    </row>
    <row r="417" spans="2:35" s="87" customFormat="1"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13"/>
    </row>
    <row r="418" spans="2:35" s="87" customFormat="1"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13"/>
    </row>
    <row r="419" spans="2:35" s="87" customFormat="1"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13"/>
    </row>
    <row r="420" spans="2:35" s="87" customFormat="1"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13"/>
    </row>
    <row r="421" spans="2:35" s="87" customFormat="1"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13"/>
    </row>
    <row r="422" spans="2:35" s="87" customFormat="1"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13"/>
    </row>
    <row r="423" spans="2:35" s="87" customFormat="1"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13"/>
    </row>
    <row r="424" spans="2:35" s="87" customFormat="1"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13"/>
    </row>
    <row r="425" spans="2:35" s="87" customFormat="1"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13"/>
    </row>
    <row r="426" spans="2:35" s="87" customFormat="1"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13"/>
    </row>
    <row r="427" spans="2:35" s="87" customFormat="1"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13"/>
    </row>
    <row r="428" spans="2:35" s="87" customFormat="1"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13"/>
    </row>
    <row r="429" spans="2:35" s="87" customFormat="1"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13"/>
    </row>
    <row r="430" spans="2:35" s="87" customFormat="1"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13"/>
    </row>
    <row r="431" spans="2:35" s="87" customFormat="1"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13"/>
    </row>
    <row r="432" spans="2:35" s="87" customFormat="1"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13"/>
    </row>
    <row r="433" spans="2:35" s="87" customFormat="1"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13"/>
    </row>
    <row r="434" spans="2:35" s="87" customFormat="1"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13"/>
    </row>
    <row r="435" spans="2:35" s="87" customFormat="1"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13"/>
    </row>
    <row r="436" spans="2:35" s="87" customFormat="1"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13"/>
    </row>
    <row r="437" spans="2:35" s="87" customFormat="1"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13"/>
    </row>
    <row r="438" spans="2:35" s="87" customFormat="1"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13"/>
    </row>
    <row r="439" spans="2:35" s="87" customFormat="1"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13"/>
    </row>
    <row r="440" spans="2:35" s="87" customFormat="1"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13"/>
    </row>
    <row r="441" spans="2:35" s="87" customFormat="1"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13"/>
    </row>
    <row r="442" spans="2:35" s="87" customFormat="1"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13"/>
    </row>
    <row r="443" spans="2:35" s="87" customFormat="1"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13"/>
    </row>
    <row r="444" spans="2:35" s="87" customFormat="1"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13"/>
    </row>
    <row r="445" spans="2:35" s="87" customFormat="1"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13"/>
    </row>
    <row r="446" spans="2:35" s="87" customFormat="1"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13"/>
    </row>
    <row r="447" spans="2:35" s="87" customFormat="1"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13"/>
    </row>
    <row r="448" spans="2:35" s="87" customFormat="1"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13"/>
    </row>
    <row r="449" spans="2:35" s="87" customFormat="1"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13"/>
    </row>
    <row r="450" spans="2:35" s="87" customFormat="1"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13"/>
    </row>
    <row r="451" spans="2:35" s="87" customFormat="1"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13"/>
    </row>
    <row r="452" spans="2:35" s="87" customFormat="1"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13"/>
    </row>
    <row r="453" spans="2:35" s="87" customFormat="1"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13"/>
    </row>
    <row r="454" spans="2:35" s="87" customFormat="1"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13"/>
    </row>
    <row r="455" spans="2:35" s="87" customFormat="1"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13"/>
    </row>
    <row r="456" spans="2:35" s="87" customFormat="1"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13"/>
    </row>
    <row r="457" spans="2:35" s="87" customFormat="1"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13"/>
    </row>
    <row r="458" spans="2:35" s="87" customFormat="1"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13"/>
    </row>
    <row r="459" spans="2:35" s="87" customFormat="1"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13"/>
    </row>
    <row r="460" spans="2:35" s="87" customFormat="1"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13"/>
    </row>
    <row r="461" spans="2:35" s="87" customFormat="1"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13"/>
    </row>
    <row r="462" spans="2:35" s="87" customFormat="1"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13"/>
    </row>
    <row r="463" spans="2:35" s="87" customFormat="1"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13"/>
    </row>
    <row r="464" spans="2:35" s="87" customFormat="1"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13"/>
    </row>
    <row r="465" spans="2:35" s="87" customFormat="1"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13"/>
    </row>
    <row r="466" spans="2:35" s="87" customFormat="1"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13"/>
    </row>
    <row r="467" spans="2:35" s="87" customFormat="1"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13"/>
    </row>
    <row r="468" spans="2:35" s="87" customFormat="1"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13"/>
    </row>
    <row r="469" spans="2:35" s="87" customFormat="1"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13"/>
    </row>
    <row r="470" spans="2:35" s="87" customFormat="1"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13"/>
    </row>
    <row r="471" spans="2:35" s="87" customFormat="1"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13"/>
    </row>
    <row r="472" spans="2:35" s="87" customFormat="1"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13"/>
    </row>
    <row r="473" spans="2:35" s="87" customFormat="1"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13"/>
    </row>
    <row r="474" spans="2:35" s="87" customFormat="1"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13"/>
    </row>
    <row r="475" spans="2:35" s="87" customFormat="1"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13"/>
    </row>
    <row r="476" spans="2:35" s="87" customFormat="1"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13"/>
    </row>
    <row r="477" spans="2:35" s="87" customFormat="1"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13"/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577C157-6863-4238-AB4A-FF7CD0D3BB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Diesel!X53:X64</xm:f>
              <xm:sqref>X66</xm:sqref>
            </x14:sparkline>
            <x14:sparkline>
              <xm:f>Diesel!W53:W64</xm:f>
              <xm:sqref>W66</xm:sqref>
            </x14:sparkline>
            <x14:sparkline>
              <xm:f>Diesel!V53:V64</xm:f>
              <xm:sqref>V66</xm:sqref>
            </x14:sparkline>
            <x14:sparkline>
              <xm:f>Diesel!U53:U64</xm:f>
              <xm:sqref>U66</xm:sqref>
            </x14:sparkline>
            <x14:sparkline>
              <xm:f>Diesel!T53:T64</xm:f>
              <xm:sqref>T66</xm:sqref>
            </x14:sparkline>
            <x14:sparkline>
              <xm:f>Diesel!S53:S64</xm:f>
              <xm:sqref>S66</xm:sqref>
            </x14:sparkline>
            <x14:sparkline>
              <xm:f>Diesel!R53:R64</xm:f>
              <xm:sqref>R66</xm:sqref>
            </x14:sparkline>
            <x14:sparkline>
              <xm:f>Diesel!Q53:Q64</xm:f>
              <xm:sqref>Q66</xm:sqref>
            </x14:sparkline>
            <x14:sparkline>
              <xm:f>Diesel!P53:P64</xm:f>
              <xm:sqref>P66</xm:sqref>
            </x14:sparkline>
          </x14:sparklines>
        </x14:sparklineGroup>
        <x14:sparklineGroup displayEmptyCellsAs="gap" xr2:uid="{57AF379F-CE34-4CEA-8A13-B74C860FC9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Diesel!X69:X80</xm:f>
              <xm:sqref>X82</xm:sqref>
            </x14:sparkline>
            <x14:sparkline>
              <xm:f>Diesel!W69:W80</xm:f>
              <xm:sqref>W82</xm:sqref>
            </x14:sparkline>
            <x14:sparkline>
              <xm:f>Diesel!V69:V80</xm:f>
              <xm:sqref>V82</xm:sqref>
            </x14:sparkline>
            <x14:sparkline>
              <xm:f>Diesel!U69:U80</xm:f>
              <xm:sqref>U82</xm:sqref>
            </x14:sparkline>
            <x14:sparkline>
              <xm:f>Diesel!T69:T80</xm:f>
              <xm:sqref>T82</xm:sqref>
            </x14:sparkline>
            <x14:sparkline>
              <xm:f>Diesel!S69:S80</xm:f>
              <xm:sqref>S82</xm:sqref>
            </x14:sparkline>
            <x14:sparkline>
              <xm:f>Diesel!R69:R80</xm:f>
              <xm:sqref>R82</xm:sqref>
            </x14:sparkline>
            <x14:sparkline>
              <xm:f>Diesel!Q69:Q80</xm:f>
              <xm:sqref>Q82</xm:sqref>
            </x14:sparkline>
            <x14:sparkline>
              <xm:f>Diesel!P69:P80</xm:f>
              <xm:sqref>P82</xm:sqref>
            </x14:sparkline>
          </x14:sparklines>
        </x14:sparklineGroup>
        <x14:sparklineGroup displayEmptyCellsAs="gap" xr2:uid="{B68FADD6-7390-49B0-AC64-D1FAE8D738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Diesel!AG85:AG96</xm:f>
              <xm:sqref>AG97</xm:sqref>
            </x14:sparkline>
            <x14:sparkline>
              <xm:f>Diesel!AF85:AF96</xm:f>
              <xm:sqref>AF97</xm:sqref>
            </x14:sparkline>
            <x14:sparkline>
              <xm:f>Diesel!AE85:AE96</xm:f>
              <xm:sqref>AE97</xm:sqref>
            </x14:sparkline>
            <x14:sparkline>
              <xm:f>Diesel!AD85:AD96</xm:f>
              <xm:sqref>AD97</xm:sqref>
            </x14:sparkline>
            <x14:sparkline>
              <xm:f>Diesel!AC85:AC96</xm:f>
              <xm:sqref>AC97</xm:sqref>
            </x14:sparkline>
            <x14:sparkline>
              <xm:f>Diesel!AB85:AB96</xm:f>
              <xm:sqref>AB97</xm:sqref>
            </x14:sparkline>
            <x14:sparkline>
              <xm:f>Diesel!AA85:AA96</xm:f>
              <xm:sqref>AA97</xm:sqref>
            </x14:sparkline>
            <x14:sparkline>
              <xm:f>Diesel!Z85:Z96</xm:f>
              <xm:sqref>Z97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9402-3F74-42F5-AF09-DE3C1064851F}">
  <dimension ref="A1:AT477"/>
  <sheetViews>
    <sheetView zoomScaleNormal="100" workbookViewId="0">
      <pane xSplit="1" ySplit="3" topLeftCell="B158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8.85546875" defaultRowHeight="15"/>
  <cols>
    <col min="1" max="1" width="57.85546875" customWidth="1"/>
    <col min="2" max="11" width="9.140625" style="101" customWidth="1"/>
    <col min="12" max="12" width="9.5703125" style="101" customWidth="1"/>
    <col min="13" max="23" width="9.5703125" style="101" bestFit="1" customWidth="1"/>
    <col min="24" max="24" width="11" style="98" bestFit="1" customWidth="1"/>
    <col min="25" max="26" width="9.5703125" style="98" bestFit="1" customWidth="1"/>
    <col min="27" max="34" width="9.5703125" style="98" customWidth="1"/>
    <col min="35" max="35" width="8.85546875" style="101"/>
  </cols>
  <sheetData>
    <row r="1" spans="1:46" ht="15.75" thickBot="1">
      <c r="A1" s="89" t="s">
        <v>231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</row>
    <row r="2" spans="1:46" s="87" customFormat="1" ht="17.25" thickTop="1">
      <c r="A2" s="120"/>
      <c r="B2" s="88">
        <v>2001</v>
      </c>
      <c r="C2" s="88">
        <v>2002</v>
      </c>
      <c r="D2" s="88">
        <v>2003</v>
      </c>
      <c r="E2" s="88">
        <v>2004</v>
      </c>
      <c r="F2" s="88">
        <v>2005</v>
      </c>
      <c r="G2" s="88">
        <v>2006</v>
      </c>
      <c r="H2" s="88">
        <v>2007</v>
      </c>
      <c r="I2" s="88">
        <v>2008</v>
      </c>
      <c r="J2" s="88">
        <v>2009</v>
      </c>
      <c r="K2" s="88">
        <v>2010</v>
      </c>
      <c r="L2" s="88">
        <v>2011</v>
      </c>
      <c r="M2" s="88">
        <v>2012</v>
      </c>
      <c r="N2" s="88">
        <v>2013</v>
      </c>
      <c r="O2" s="88">
        <v>2014</v>
      </c>
      <c r="P2" s="88">
        <v>2015</v>
      </c>
      <c r="Q2" s="88">
        <v>2016</v>
      </c>
      <c r="R2" s="88">
        <v>2017</v>
      </c>
      <c r="S2" s="88">
        <v>2018</v>
      </c>
      <c r="T2" s="88">
        <v>2019</v>
      </c>
      <c r="U2" s="88">
        <v>2020</v>
      </c>
      <c r="V2" s="88">
        <v>2021</v>
      </c>
      <c r="W2" s="88">
        <v>2022</v>
      </c>
      <c r="X2" s="88">
        <v>2023</v>
      </c>
      <c r="Y2" s="88">
        <v>2024</v>
      </c>
      <c r="Z2" s="88">
        <v>2025</v>
      </c>
      <c r="AA2" s="88">
        <v>2026</v>
      </c>
      <c r="AB2" s="88">
        <v>2027</v>
      </c>
      <c r="AC2" s="88">
        <v>2028</v>
      </c>
      <c r="AD2" s="88">
        <v>2029</v>
      </c>
      <c r="AE2" s="88">
        <v>2030</v>
      </c>
      <c r="AF2" s="88">
        <v>2031</v>
      </c>
      <c r="AG2" s="88">
        <v>2032</v>
      </c>
      <c r="AH2" s="88">
        <v>2033</v>
      </c>
      <c r="AI2" s="113"/>
    </row>
    <row r="3" spans="1:46" ht="16.5" hidden="1">
      <c r="A3" s="89" t="s">
        <v>232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</row>
    <row r="4" spans="1:46" ht="16.5">
      <c r="A4" s="92" t="s">
        <v>149</v>
      </c>
      <c r="B4" s="99"/>
      <c r="C4" s="99">
        <f t="shared" ref="C4:AH4" si="0">B13</f>
        <v>6069.5460000000003</v>
      </c>
      <c r="D4" s="99">
        <f t="shared" si="0"/>
        <v>5631.57</v>
      </c>
      <c r="E4" s="99">
        <f t="shared" si="0"/>
        <v>5734.7640000000001</v>
      </c>
      <c r="F4" s="99">
        <f t="shared" si="0"/>
        <v>5303.424</v>
      </c>
      <c r="G4" s="99">
        <f t="shared" si="0"/>
        <v>5712.924</v>
      </c>
      <c r="H4" s="99">
        <f t="shared" si="0"/>
        <v>6033.3419999999996</v>
      </c>
      <c r="I4" s="99">
        <f t="shared" si="0"/>
        <v>5625.6480000000001</v>
      </c>
      <c r="J4" s="99">
        <f t="shared" si="0"/>
        <v>6132.5460000000003</v>
      </c>
      <c r="K4" s="99">
        <f t="shared" si="0"/>
        <v>6970.4880000000003</v>
      </c>
      <c r="L4" s="99">
        <f t="shared" si="0"/>
        <v>6900.8519999999999</v>
      </c>
      <c r="M4" s="99">
        <f>L13</f>
        <v>6266.9040000000005</v>
      </c>
      <c r="N4" s="99">
        <f t="shared" si="0"/>
        <v>5661.9780000000001</v>
      </c>
      <c r="O4" s="99">
        <f t="shared" si="0"/>
        <v>5356.8059999999996</v>
      </c>
      <c r="P4" s="99">
        <f t="shared" si="0"/>
        <v>5724.0119999999997</v>
      </c>
      <c r="Q4" s="99">
        <f t="shared" si="0"/>
        <v>6775.692</v>
      </c>
      <c r="R4" s="99">
        <f t="shared" si="0"/>
        <v>6975.99</v>
      </c>
      <c r="S4" s="99">
        <f t="shared" si="0"/>
        <v>6116.7960000000003</v>
      </c>
      <c r="T4" s="99">
        <f t="shared" si="0"/>
        <v>5886.8040000000001</v>
      </c>
      <c r="U4" s="99">
        <f t="shared" si="0"/>
        <v>5883.4859999999999</v>
      </c>
      <c r="V4" s="99">
        <f t="shared" si="0"/>
        <v>6769.8959999999997</v>
      </c>
      <c r="W4" s="99">
        <f t="shared" si="0"/>
        <v>5461.6379999999999</v>
      </c>
      <c r="X4" s="99">
        <f t="shared" si="0"/>
        <v>4993.7579999999998</v>
      </c>
      <c r="Y4" s="97">
        <f t="shared" si="0"/>
        <v>5000</v>
      </c>
      <c r="Z4" s="97">
        <f t="shared" si="0"/>
        <v>5900</v>
      </c>
      <c r="AA4" s="97">
        <f t="shared" si="0"/>
        <v>5850</v>
      </c>
      <c r="AB4" s="97">
        <f t="shared" si="0"/>
        <v>5850</v>
      </c>
      <c r="AC4" s="97">
        <f t="shared" si="0"/>
        <v>5850</v>
      </c>
      <c r="AD4" s="97">
        <f t="shared" si="0"/>
        <v>5850</v>
      </c>
      <c r="AE4" s="97">
        <f t="shared" si="0"/>
        <v>5800</v>
      </c>
      <c r="AF4" s="97">
        <f t="shared" si="0"/>
        <v>5800</v>
      </c>
      <c r="AG4" s="97">
        <f t="shared" si="0"/>
        <v>5800</v>
      </c>
      <c r="AH4" s="97">
        <f t="shared" si="0"/>
        <v>5800</v>
      </c>
      <c r="AI4" s="121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</row>
    <row r="5" spans="1:46" ht="16.5">
      <c r="A5" s="92" t="s">
        <v>150</v>
      </c>
      <c r="B5" s="99" t="e" cm="1" vm="1">
        <f t="array" aca="1" ref="B5" ca="1">TRANSPOSE(annual_data!CA55:CA76)</f>
        <v>#VALUE!</v>
      </c>
      <c r="C5" s="99"/>
      <c r="D5" s="99"/>
      <c r="E5" s="99"/>
      <c r="F5" s="99"/>
      <c r="G5" s="99"/>
      <c r="H5" s="99"/>
      <c r="I5" s="99"/>
      <c r="J5" s="99"/>
      <c r="K5" s="99"/>
      <c r="L5" s="99">
        <f t="shared" ref="L5:X5" si="1">L33</f>
        <v>68863.45199999999</v>
      </c>
      <c r="M5" s="99">
        <f t="shared" si="1"/>
        <v>69940.751999999993</v>
      </c>
      <c r="N5" s="99">
        <f t="shared" si="1"/>
        <v>72554.705999999976</v>
      </c>
      <c r="O5" s="99">
        <f t="shared" si="1"/>
        <v>75366.185999999987</v>
      </c>
      <c r="P5" s="99">
        <f t="shared" si="1"/>
        <v>76388.760000000009</v>
      </c>
      <c r="Q5" s="99">
        <f t="shared" si="1"/>
        <v>74312.069999999992</v>
      </c>
      <c r="R5" s="99">
        <f t="shared" si="1"/>
        <v>77022.918000000005</v>
      </c>
      <c r="S5" s="99">
        <f t="shared" si="1"/>
        <v>79226.322</v>
      </c>
      <c r="T5" s="99">
        <f t="shared" si="1"/>
        <v>78750.63</v>
      </c>
      <c r="U5" s="99">
        <f t="shared" si="1"/>
        <v>72826.23599999999</v>
      </c>
      <c r="V5" s="99">
        <f t="shared" si="1"/>
        <v>71554.896000000008</v>
      </c>
      <c r="W5" s="99">
        <f t="shared" si="1"/>
        <v>76816.361999999994</v>
      </c>
      <c r="X5" s="99">
        <f t="shared" si="1"/>
        <v>75221.538</v>
      </c>
      <c r="Y5" s="97">
        <f>MROUND(X5*1.025,100)</f>
        <v>77100</v>
      </c>
      <c r="Z5" s="97">
        <f>MROUND(Y5*1.02,100)</f>
        <v>78600</v>
      </c>
      <c r="AA5" s="97">
        <f>MROUND(Z5*1.015,100)</f>
        <v>79800</v>
      </c>
      <c r="AB5" s="97">
        <f>MROUND(AA5*1.01,100)</f>
        <v>80600</v>
      </c>
      <c r="AC5" s="97">
        <f>MROUND(AB5*1.005,100)</f>
        <v>81000</v>
      </c>
      <c r="AD5" s="97">
        <f>MROUND(AC5*1.0025,100)</f>
        <v>81200</v>
      </c>
      <c r="AE5" s="97">
        <f>MROUND(AD5*1.005,100)</f>
        <v>81600</v>
      </c>
      <c r="AF5" s="97">
        <f>MROUND(AE5*1.0075,100)</f>
        <v>82200</v>
      </c>
      <c r="AG5" s="97">
        <f>MROUND(AF5*0.995,100)</f>
        <v>81800</v>
      </c>
      <c r="AH5" s="97">
        <f>MROUND(AG5*0.995,100)</f>
        <v>81400</v>
      </c>
      <c r="AI5" s="123">
        <f>(AH5/X5)-1</f>
        <v>8.2136874148996952E-2</v>
      </c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</row>
    <row r="6" spans="1:46" ht="16.5">
      <c r="A6" s="93" t="s">
        <v>151</v>
      </c>
      <c r="B6" s="99" t="e" cm="1" vm="1">
        <f t="array" aca="1" ref="B6" ca="1">TRANSPOSE(annual_data!CB55:CB76)</f>
        <v>#VALUE!</v>
      </c>
      <c r="C6" s="124"/>
      <c r="D6" s="124"/>
      <c r="E6" s="124"/>
      <c r="F6" s="124"/>
      <c r="G6" s="124"/>
      <c r="H6" s="124"/>
      <c r="I6" s="124"/>
      <c r="J6" s="124"/>
      <c r="K6" s="124"/>
      <c r="L6" s="124">
        <f t="shared" ref="L6:W6" si="2">L49</f>
        <v>0</v>
      </c>
      <c r="M6" s="124">
        <f t="shared" si="2"/>
        <v>1939.5180000000003</v>
      </c>
      <c r="N6" s="124">
        <f t="shared" si="2"/>
        <v>2371.5300000000002</v>
      </c>
      <c r="O6" s="124">
        <f t="shared" si="2"/>
        <v>2984.1</v>
      </c>
      <c r="P6" s="124">
        <f t="shared" si="2"/>
        <v>3073.4760000000006</v>
      </c>
      <c r="Q6" s="124">
        <f t="shared" si="2"/>
        <v>2252.9639999999999</v>
      </c>
      <c r="R6" s="124">
        <f t="shared" si="2"/>
        <v>2308.9499999999998</v>
      </c>
      <c r="S6" s="124">
        <f t="shared" si="2"/>
        <v>2678.2979999999998</v>
      </c>
      <c r="T6" s="124">
        <f t="shared" si="2"/>
        <v>3103.2119999999995</v>
      </c>
      <c r="U6" s="124">
        <f t="shared" si="2"/>
        <v>3351.1379999999995</v>
      </c>
      <c r="V6" s="124">
        <f t="shared" si="2"/>
        <v>4421.0039999999999</v>
      </c>
      <c r="W6" s="124">
        <f t="shared" si="2"/>
        <v>2882.3760000000002</v>
      </c>
      <c r="X6" s="125">
        <v>15500</v>
      </c>
      <c r="Y6" s="125">
        <v>15100</v>
      </c>
      <c r="Z6" s="125">
        <v>13900</v>
      </c>
      <c r="AA6" s="125">
        <v>12200</v>
      </c>
      <c r="AB6" s="125">
        <v>11500</v>
      </c>
      <c r="AC6" s="125">
        <v>10900</v>
      </c>
      <c r="AD6" s="125">
        <v>9300</v>
      </c>
      <c r="AE6" s="125">
        <v>8400</v>
      </c>
      <c r="AF6" s="125">
        <v>7900</v>
      </c>
      <c r="AG6" s="125">
        <v>7400</v>
      </c>
      <c r="AH6" s="125">
        <v>6500</v>
      </c>
      <c r="AI6" s="125">
        <v>25</v>
      </c>
    </row>
    <row r="7" spans="1:46" ht="16.5">
      <c r="A7" s="94" t="s">
        <v>233</v>
      </c>
      <c r="B7" s="126" t="e" vm="2">
        <f ca="1">SUM(B4:B6)</f>
        <v>#VALUE!</v>
      </c>
      <c r="C7" s="126">
        <f t="shared" ref="C7:AH7" si="3">SUM(C4:C6)</f>
        <v>6069.5460000000003</v>
      </c>
      <c r="D7" s="126">
        <f t="shared" si="3"/>
        <v>5631.57</v>
      </c>
      <c r="E7" s="126">
        <f t="shared" si="3"/>
        <v>5734.7640000000001</v>
      </c>
      <c r="F7" s="126">
        <f t="shared" si="3"/>
        <v>5303.424</v>
      </c>
      <c r="G7" s="126">
        <f t="shared" si="3"/>
        <v>5712.924</v>
      </c>
      <c r="H7" s="126">
        <f t="shared" si="3"/>
        <v>6033.3419999999996</v>
      </c>
      <c r="I7" s="126">
        <f t="shared" si="3"/>
        <v>5625.6480000000001</v>
      </c>
      <c r="J7" s="126">
        <f t="shared" si="3"/>
        <v>6132.5460000000003</v>
      </c>
      <c r="K7" s="126">
        <f t="shared" si="3"/>
        <v>6970.4880000000003</v>
      </c>
      <c r="L7" s="126">
        <f t="shared" si="3"/>
        <v>75764.303999999989</v>
      </c>
      <c r="M7" s="126">
        <f t="shared" si="3"/>
        <v>78147.173999999985</v>
      </c>
      <c r="N7" s="126">
        <f t="shared" si="3"/>
        <v>80588.213999999978</v>
      </c>
      <c r="O7" s="126">
        <f t="shared" si="3"/>
        <v>83707.09199999999</v>
      </c>
      <c r="P7" s="126">
        <f t="shared" si="3"/>
        <v>85186.248000000007</v>
      </c>
      <c r="Q7" s="126">
        <f t="shared" si="3"/>
        <v>83340.725999999995</v>
      </c>
      <c r="R7" s="126">
        <f t="shared" si="3"/>
        <v>86307.858000000007</v>
      </c>
      <c r="S7" s="126">
        <f>SUM(S4:S6)</f>
        <v>88021.415999999997</v>
      </c>
      <c r="T7" s="126">
        <f t="shared" si="3"/>
        <v>87740.646000000008</v>
      </c>
      <c r="U7" s="126">
        <f t="shared" si="3"/>
        <v>82060.86</v>
      </c>
      <c r="V7" s="126">
        <f t="shared" si="3"/>
        <v>82745.796000000002</v>
      </c>
      <c r="W7" s="126">
        <f t="shared" si="3"/>
        <v>85160.376000000004</v>
      </c>
      <c r="X7" s="127">
        <f t="shared" si="3"/>
        <v>95715.296000000002</v>
      </c>
      <c r="Y7" s="127">
        <f t="shared" si="3"/>
        <v>97200</v>
      </c>
      <c r="Z7" s="127">
        <f t="shared" si="3"/>
        <v>98400</v>
      </c>
      <c r="AA7" s="127">
        <f t="shared" si="3"/>
        <v>97850</v>
      </c>
      <c r="AB7" s="127">
        <f t="shared" si="3"/>
        <v>97950</v>
      </c>
      <c r="AC7" s="127">
        <f t="shared" si="3"/>
        <v>97750</v>
      </c>
      <c r="AD7" s="127">
        <f t="shared" si="3"/>
        <v>96350</v>
      </c>
      <c r="AE7" s="127">
        <f t="shared" si="3"/>
        <v>95800</v>
      </c>
      <c r="AF7" s="127">
        <f t="shared" si="3"/>
        <v>95900</v>
      </c>
      <c r="AG7" s="127">
        <f t="shared" si="3"/>
        <v>95000</v>
      </c>
      <c r="AH7" s="127">
        <f t="shared" si="3"/>
        <v>93700</v>
      </c>
      <c r="AI7" s="123">
        <f t="shared" ref="AI7:AI13" si="4">(AH7/X7)-1</f>
        <v>-2.1055109101893232E-2</v>
      </c>
    </row>
    <row r="8" spans="1:46" ht="16.5">
      <c r="A8" s="94" t="s">
        <v>234</v>
      </c>
      <c r="B8" s="126" t="e" cm="1" vm="1">
        <f t="array" aca="1" ref="B8" ca="1">TRANSPOSE(annual_data!CC55:CC76)</f>
        <v>#VALUE!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>
        <f>S12-S11</f>
        <v>62380.625999999989</v>
      </c>
      <c r="T8" s="126">
        <f t="shared" ref="T8:X8" si="5">T12-T11</f>
        <v>61837.650000000009</v>
      </c>
      <c r="U8" s="126">
        <f t="shared" si="5"/>
        <v>57048.180000000008</v>
      </c>
      <c r="V8" s="126">
        <f>V12-V11</f>
        <v>60890.213999999993</v>
      </c>
      <c r="W8" s="126">
        <f t="shared" si="5"/>
        <v>61711.314000000006</v>
      </c>
      <c r="X8" s="127">
        <f t="shared" si="5"/>
        <v>73713.024000000005</v>
      </c>
      <c r="Y8" s="127">
        <f>FORECAST(Y7,N8:X8,N7:X7)</f>
        <v>73990.580858603615</v>
      </c>
      <c r="Z8" s="127">
        <f t="shared" ref="Z8:AH8" si="6">FORECAST(Z7,O8:Y8,O7:Y7)</f>
        <v>75280.098889142784</v>
      </c>
      <c r="AA8" s="127">
        <f t="shared" si="6"/>
        <v>74689.069791812319</v>
      </c>
      <c r="AB8" s="127">
        <f t="shared" si="6"/>
        <v>74796.529627690586</v>
      </c>
      <c r="AC8" s="127">
        <f t="shared" si="6"/>
        <v>74581.609955934066</v>
      </c>
      <c r="AD8" s="127">
        <f t="shared" si="6"/>
        <v>73077.172253638346</v>
      </c>
      <c r="AE8" s="127">
        <f t="shared" si="6"/>
        <v>72588.020280513083</v>
      </c>
      <c r="AF8" s="127">
        <f t="shared" si="6"/>
        <v>72822.448416119849</v>
      </c>
      <c r="AG8" s="127">
        <f t="shared" si="6"/>
        <v>72013.740843297841</v>
      </c>
      <c r="AH8" s="127">
        <f t="shared" si="6"/>
        <v>70582.960008230133</v>
      </c>
      <c r="AI8" s="123">
        <f t="shared" si="4"/>
        <v>-4.2462835221220518E-2</v>
      </c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</row>
    <row r="9" spans="1:46" ht="16.5">
      <c r="A9" s="92" t="s">
        <v>235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>
        <f>S97</f>
        <v>-3851.5260000000035</v>
      </c>
      <c r="T9" s="99">
        <f t="shared" ref="T9:W9" si="7">T97</f>
        <v>-3517.2900000000036</v>
      </c>
      <c r="U9" s="99">
        <f t="shared" si="7"/>
        <v>-3003.420000000001</v>
      </c>
      <c r="V9" s="99">
        <f t="shared" si="7"/>
        <v>-4307.8139999999985</v>
      </c>
      <c r="W9" s="99">
        <f t="shared" si="7"/>
        <v>-4551.4139999999998</v>
      </c>
      <c r="X9" s="97">
        <v>-20000</v>
      </c>
      <c r="Y9" s="97">
        <v>-20000</v>
      </c>
      <c r="Z9" s="97">
        <v>-20000</v>
      </c>
      <c r="AA9" s="97">
        <v>-20000</v>
      </c>
      <c r="AB9" s="97">
        <v>-20000</v>
      </c>
      <c r="AC9" s="97">
        <v>-20000</v>
      </c>
      <c r="AD9" s="97">
        <v>-20000</v>
      </c>
      <c r="AE9" s="97">
        <v>-20000</v>
      </c>
      <c r="AF9" s="97">
        <v>-20000</v>
      </c>
      <c r="AG9" s="97">
        <v>-20000</v>
      </c>
      <c r="AH9" s="97">
        <v>-20000</v>
      </c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</row>
    <row r="10" spans="1:46" ht="16.5">
      <c r="A10" s="92" t="s">
        <v>236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>
        <f>S8+S9</f>
        <v>58529.099999999984</v>
      </c>
      <c r="T10" s="99">
        <f t="shared" ref="T10:AH10" si="8">T8+T9</f>
        <v>58320.360000000008</v>
      </c>
      <c r="U10" s="99">
        <f t="shared" si="8"/>
        <v>54044.760000000009</v>
      </c>
      <c r="V10" s="99">
        <f t="shared" si="8"/>
        <v>56582.399999999994</v>
      </c>
      <c r="W10" s="99">
        <f t="shared" si="8"/>
        <v>57159.900000000009</v>
      </c>
      <c r="X10" s="97">
        <f t="shared" si="8"/>
        <v>53713.024000000005</v>
      </c>
      <c r="Y10" s="97">
        <f t="shared" si="8"/>
        <v>53990.580858603615</v>
      </c>
      <c r="Z10" s="97">
        <f t="shared" si="8"/>
        <v>55280.098889142784</v>
      </c>
      <c r="AA10" s="97">
        <f t="shared" si="8"/>
        <v>54689.069791812319</v>
      </c>
      <c r="AB10" s="97">
        <f t="shared" si="8"/>
        <v>54796.529627690586</v>
      </c>
      <c r="AC10" s="97">
        <f t="shared" si="8"/>
        <v>54581.609955934066</v>
      </c>
      <c r="AD10" s="97">
        <f t="shared" si="8"/>
        <v>53077.172253638346</v>
      </c>
      <c r="AE10" s="97">
        <f t="shared" si="8"/>
        <v>52588.020280513083</v>
      </c>
      <c r="AF10" s="97">
        <f t="shared" si="8"/>
        <v>52822.448416119849</v>
      </c>
      <c r="AG10" s="97">
        <f t="shared" si="8"/>
        <v>52013.740843297841</v>
      </c>
      <c r="AH10" s="97">
        <f t="shared" si="8"/>
        <v>50582.960008230133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</row>
    <row r="11" spans="1:46" ht="16.5">
      <c r="A11" s="92" t="s">
        <v>155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>
        <f t="shared" ref="L11:X11" si="9">L129</f>
        <v>0</v>
      </c>
      <c r="M11" s="99">
        <f t="shared" si="9"/>
        <v>362.27167200000002</v>
      </c>
      <c r="N11" s="99">
        <f t="shared" si="9"/>
        <v>573.66930600000001</v>
      </c>
      <c r="O11" s="99">
        <f t="shared" si="9"/>
        <v>399.68909399999995</v>
      </c>
      <c r="P11" s="99">
        <f t="shared" si="9"/>
        <v>524.35210799999993</v>
      </c>
      <c r="Q11" s="99">
        <f t="shared" si="9"/>
        <v>827.77346399999988</v>
      </c>
      <c r="R11" s="99">
        <f t="shared" si="9"/>
        <v>1226.4028979999998</v>
      </c>
      <c r="S11" s="99">
        <f t="shared" si="9"/>
        <v>19753.986000000001</v>
      </c>
      <c r="T11" s="99">
        <f t="shared" si="9"/>
        <v>20019.509999999998</v>
      </c>
      <c r="U11" s="99">
        <f t="shared" si="9"/>
        <v>18242.783999999996</v>
      </c>
      <c r="V11" s="99">
        <f t="shared" si="9"/>
        <v>16393.944</v>
      </c>
      <c r="W11" s="99">
        <f t="shared" si="9"/>
        <v>18455.303999999996</v>
      </c>
      <c r="X11" s="99">
        <f t="shared" si="9"/>
        <v>17002.272000000004</v>
      </c>
      <c r="Y11" s="97">
        <v>18000</v>
      </c>
      <c r="Z11" s="97">
        <v>1000</v>
      </c>
      <c r="AA11" s="97">
        <f t="shared" ref="AA11:AH11" si="10">FORECAST(AA6,P11:Z11,P6:Z6)</f>
        <v>12681.146855655135</v>
      </c>
      <c r="AB11" s="97">
        <f t="shared" si="10"/>
        <v>13002.68285643424</v>
      </c>
      <c r="AC11" s="97">
        <f t="shared" si="10"/>
        <v>13469.468267143648</v>
      </c>
      <c r="AD11" s="97">
        <f t="shared" si="10"/>
        <v>14938.558885386878</v>
      </c>
      <c r="AE11" s="97">
        <f t="shared" si="10"/>
        <v>15293.421363821362</v>
      </c>
      <c r="AF11" s="97">
        <f t="shared" si="10"/>
        <v>15249.073518058558</v>
      </c>
      <c r="AG11" s="97">
        <f t="shared" si="10"/>
        <v>15281.814003767582</v>
      </c>
      <c r="AH11" s="97">
        <f t="shared" si="10"/>
        <v>15682.73535849791</v>
      </c>
      <c r="AI11" s="123">
        <f t="shared" si="4"/>
        <v>-7.7609430169220617E-2</v>
      </c>
      <c r="AJ11" s="128">
        <f>AH11/AH6</f>
        <v>2.4127285166919861</v>
      </c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</row>
    <row r="12" spans="1:46" ht="16.5">
      <c r="A12" s="94" t="s">
        <v>237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>
        <f>SUM(L8:L11)</f>
        <v>0</v>
      </c>
      <c r="M12" s="126">
        <f t="shared" ref="M12:AH12" si="11">SUM(M8:M11)</f>
        <v>362.27167200000002</v>
      </c>
      <c r="N12" s="126">
        <f t="shared" si="11"/>
        <v>573.66930600000001</v>
      </c>
      <c r="O12" s="126">
        <f t="shared" si="11"/>
        <v>399.68909399999995</v>
      </c>
      <c r="P12" s="126">
        <f t="shared" si="11"/>
        <v>524.35210799999993</v>
      </c>
      <c r="Q12" s="126">
        <f t="shared" si="11"/>
        <v>827.77346399999988</v>
      </c>
      <c r="R12" s="126">
        <f t="shared" si="11"/>
        <v>1226.4028979999998</v>
      </c>
      <c r="S12" s="126">
        <f>S7-S13</f>
        <v>82134.611999999994</v>
      </c>
      <c r="T12" s="126">
        <f t="shared" ref="T12:X12" si="12">T7-T13</f>
        <v>81857.16</v>
      </c>
      <c r="U12" s="126">
        <f t="shared" si="12"/>
        <v>75290.964000000007</v>
      </c>
      <c r="V12" s="126">
        <f t="shared" si="12"/>
        <v>77284.157999999996</v>
      </c>
      <c r="W12" s="126">
        <f t="shared" si="12"/>
        <v>80166.618000000002</v>
      </c>
      <c r="X12" s="127">
        <f t="shared" si="12"/>
        <v>90715.296000000002</v>
      </c>
      <c r="Y12" s="127">
        <f t="shared" si="11"/>
        <v>125981.16171720723</v>
      </c>
      <c r="Z12" s="127">
        <f t="shared" si="11"/>
        <v>111560.19777828557</v>
      </c>
      <c r="AA12" s="127">
        <f t="shared" si="11"/>
        <v>122059.28643927978</v>
      </c>
      <c r="AB12" s="127">
        <f t="shared" si="11"/>
        <v>122595.74211181542</v>
      </c>
      <c r="AC12" s="127">
        <f t="shared" si="11"/>
        <v>122632.68817901178</v>
      </c>
      <c r="AD12" s="127">
        <f t="shared" si="11"/>
        <v>121092.90339266357</v>
      </c>
      <c r="AE12" s="127">
        <f t="shared" si="11"/>
        <v>120469.46192484754</v>
      </c>
      <c r="AF12" s="127">
        <f t="shared" si="11"/>
        <v>120893.97035029826</v>
      </c>
      <c r="AG12" s="127">
        <f t="shared" si="11"/>
        <v>119309.29569036326</v>
      </c>
      <c r="AH12" s="127">
        <f t="shared" si="11"/>
        <v>116848.65537495818</v>
      </c>
      <c r="AI12" s="123">
        <f t="shared" si="4"/>
        <v>0.28808106821321711</v>
      </c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</row>
    <row r="13" spans="1:46" ht="16.5">
      <c r="A13" s="96" t="s">
        <v>207</v>
      </c>
      <c r="B13" s="126">
        <f>B144</f>
        <v>6069.5460000000003</v>
      </c>
      <c r="C13" s="126">
        <f t="shared" ref="C13:R13" si="13">C144</f>
        <v>5631.57</v>
      </c>
      <c r="D13" s="126">
        <f t="shared" si="13"/>
        <v>5734.7640000000001</v>
      </c>
      <c r="E13" s="126">
        <f t="shared" si="13"/>
        <v>5303.424</v>
      </c>
      <c r="F13" s="126">
        <f t="shared" si="13"/>
        <v>5712.924</v>
      </c>
      <c r="G13" s="126">
        <f t="shared" si="13"/>
        <v>6033.3419999999996</v>
      </c>
      <c r="H13" s="126">
        <f t="shared" si="13"/>
        <v>5625.6480000000001</v>
      </c>
      <c r="I13" s="126">
        <f t="shared" si="13"/>
        <v>6132.5460000000003</v>
      </c>
      <c r="J13" s="126">
        <f t="shared" si="13"/>
        <v>6970.4880000000003</v>
      </c>
      <c r="K13" s="126">
        <f t="shared" si="13"/>
        <v>6900.8519999999999</v>
      </c>
      <c r="L13" s="126">
        <f t="shared" si="13"/>
        <v>6266.9040000000005</v>
      </c>
      <c r="M13" s="126">
        <f t="shared" si="13"/>
        <v>5661.9780000000001</v>
      </c>
      <c r="N13" s="126">
        <f t="shared" si="13"/>
        <v>5356.8059999999996</v>
      </c>
      <c r="O13" s="126">
        <f t="shared" si="13"/>
        <v>5724.0119999999997</v>
      </c>
      <c r="P13" s="126">
        <f t="shared" si="13"/>
        <v>6775.692</v>
      </c>
      <c r="Q13" s="126">
        <f t="shared" si="13"/>
        <v>6975.99</v>
      </c>
      <c r="R13" s="126">
        <f t="shared" si="13"/>
        <v>6116.7960000000003</v>
      </c>
      <c r="S13" s="126">
        <f>S144</f>
        <v>5886.8040000000001</v>
      </c>
      <c r="T13" s="126">
        <f t="shared" ref="T13:W13" si="14">T144</f>
        <v>5883.4859999999999</v>
      </c>
      <c r="U13" s="126">
        <f t="shared" si="14"/>
        <v>6769.8959999999997</v>
      </c>
      <c r="V13" s="126">
        <f t="shared" si="14"/>
        <v>5461.6379999999999</v>
      </c>
      <c r="W13" s="126">
        <f t="shared" si="14"/>
        <v>4993.7579999999998</v>
      </c>
      <c r="X13" s="127">
        <f>MROUND(FORECAST(X7,C13:W13,C7:W7),50)-1000</f>
        <v>5000</v>
      </c>
      <c r="Y13" s="127">
        <f t="shared" ref="Y13:AH13" si="15">MROUND(FORECAST(Y7,D13:X13,D7:X7),50)</f>
        <v>5900</v>
      </c>
      <c r="Z13" s="127">
        <f t="shared" si="15"/>
        <v>5850</v>
      </c>
      <c r="AA13" s="127">
        <f t="shared" si="15"/>
        <v>5850</v>
      </c>
      <c r="AB13" s="127">
        <f t="shared" si="15"/>
        <v>5850</v>
      </c>
      <c r="AC13" s="127">
        <f t="shared" si="15"/>
        <v>5850</v>
      </c>
      <c r="AD13" s="127">
        <f t="shared" si="15"/>
        <v>5800</v>
      </c>
      <c r="AE13" s="127">
        <f t="shared" si="15"/>
        <v>5800</v>
      </c>
      <c r="AF13" s="127">
        <f t="shared" si="15"/>
        <v>5800</v>
      </c>
      <c r="AG13" s="127">
        <f t="shared" si="15"/>
        <v>5800</v>
      </c>
      <c r="AH13" s="127">
        <f t="shared" si="15"/>
        <v>5800</v>
      </c>
      <c r="AI13" s="123">
        <f t="shared" si="4"/>
        <v>0.15999999999999992</v>
      </c>
    </row>
    <row r="14" spans="1:46" ht="16.5">
      <c r="A14" s="95" t="s">
        <v>238</v>
      </c>
      <c r="B14" s="99"/>
      <c r="C14" s="99">
        <f>C13-B13</f>
        <v>-437.97600000000057</v>
      </c>
      <c r="D14" s="99">
        <f t="shared" ref="D14:AH14" si="16">D13-C13</f>
        <v>103.19400000000041</v>
      </c>
      <c r="E14" s="99">
        <f t="shared" si="16"/>
        <v>-431.34000000000015</v>
      </c>
      <c r="F14" s="99">
        <f t="shared" si="16"/>
        <v>409.5</v>
      </c>
      <c r="G14" s="99">
        <f t="shared" si="16"/>
        <v>320.41799999999967</v>
      </c>
      <c r="H14" s="99">
        <f t="shared" si="16"/>
        <v>-407.69399999999951</v>
      </c>
      <c r="I14" s="99">
        <f t="shared" si="16"/>
        <v>506.89800000000014</v>
      </c>
      <c r="J14" s="99">
        <f t="shared" si="16"/>
        <v>837.94200000000001</v>
      </c>
      <c r="K14" s="99">
        <f t="shared" si="16"/>
        <v>-69.636000000000422</v>
      </c>
      <c r="L14" s="99">
        <f t="shared" si="16"/>
        <v>-633.94799999999941</v>
      </c>
      <c r="M14" s="99">
        <f>M13-L13</f>
        <v>-604.92600000000039</v>
      </c>
      <c r="N14" s="99">
        <f t="shared" si="16"/>
        <v>-305.17200000000048</v>
      </c>
      <c r="O14" s="99">
        <f t="shared" si="16"/>
        <v>367.20600000000013</v>
      </c>
      <c r="P14" s="99">
        <f t="shared" si="16"/>
        <v>1051.6800000000003</v>
      </c>
      <c r="Q14" s="99">
        <f t="shared" si="16"/>
        <v>200.29799999999977</v>
      </c>
      <c r="R14" s="99">
        <f t="shared" si="16"/>
        <v>-859.19399999999951</v>
      </c>
      <c r="S14" s="99">
        <f t="shared" si="16"/>
        <v>-229.99200000000019</v>
      </c>
      <c r="T14" s="99">
        <f t="shared" si="16"/>
        <v>-3.318000000000211</v>
      </c>
      <c r="U14" s="99">
        <f t="shared" si="16"/>
        <v>886.40999999999985</v>
      </c>
      <c r="V14" s="99">
        <f t="shared" si="16"/>
        <v>-1308.2579999999998</v>
      </c>
      <c r="W14" s="99">
        <f t="shared" si="16"/>
        <v>-467.88000000000011</v>
      </c>
      <c r="X14" s="97">
        <f t="shared" si="16"/>
        <v>6.2420000000001892</v>
      </c>
      <c r="Y14" s="97">
        <f t="shared" si="16"/>
        <v>900</v>
      </c>
      <c r="Z14" s="97">
        <f t="shared" si="16"/>
        <v>-50</v>
      </c>
      <c r="AA14" s="97">
        <f t="shared" si="16"/>
        <v>0</v>
      </c>
      <c r="AB14" s="97">
        <f t="shared" si="16"/>
        <v>0</v>
      </c>
      <c r="AC14" s="97">
        <f t="shared" si="16"/>
        <v>0</v>
      </c>
      <c r="AD14" s="97">
        <f t="shared" si="16"/>
        <v>-50</v>
      </c>
      <c r="AE14" s="97">
        <f t="shared" si="16"/>
        <v>0</v>
      </c>
      <c r="AF14" s="97">
        <f t="shared" si="16"/>
        <v>0</v>
      </c>
      <c r="AG14" s="97">
        <f t="shared" si="16"/>
        <v>0</v>
      </c>
      <c r="AH14" s="97">
        <f t="shared" si="16"/>
        <v>0</v>
      </c>
    </row>
    <row r="15" spans="1:46" ht="16.5">
      <c r="A15" s="93" t="s">
        <v>159</v>
      </c>
      <c r="B15" s="129" t="e" vm="2">
        <f t="shared" ref="B15:AH15" ca="1" si="17">B13/B8</f>
        <v>#VALUE!</v>
      </c>
      <c r="C15" s="129" t="e">
        <f>C13/C8</f>
        <v>#DIV/0!</v>
      </c>
      <c r="D15" s="129" t="e">
        <f t="shared" si="17"/>
        <v>#DIV/0!</v>
      </c>
      <c r="E15" s="129" t="e">
        <f t="shared" si="17"/>
        <v>#DIV/0!</v>
      </c>
      <c r="F15" s="129" t="e">
        <f t="shared" si="17"/>
        <v>#DIV/0!</v>
      </c>
      <c r="G15" s="129" t="e">
        <f t="shared" si="17"/>
        <v>#DIV/0!</v>
      </c>
      <c r="H15" s="129" t="e">
        <f t="shared" si="17"/>
        <v>#DIV/0!</v>
      </c>
      <c r="I15" s="129" t="e">
        <f t="shared" si="17"/>
        <v>#DIV/0!</v>
      </c>
      <c r="J15" s="129" t="e">
        <f t="shared" si="17"/>
        <v>#DIV/0!</v>
      </c>
      <c r="K15" s="129" t="e">
        <f t="shared" si="17"/>
        <v>#DIV/0!</v>
      </c>
      <c r="L15" s="129" t="e">
        <f t="shared" si="17"/>
        <v>#DIV/0!</v>
      </c>
      <c r="M15" s="129" t="e">
        <f t="shared" si="17"/>
        <v>#DIV/0!</v>
      </c>
      <c r="N15" s="129" t="e">
        <f t="shared" si="17"/>
        <v>#DIV/0!</v>
      </c>
      <c r="O15" s="129" t="e">
        <f t="shared" si="17"/>
        <v>#DIV/0!</v>
      </c>
      <c r="P15" s="129" t="e">
        <f t="shared" si="17"/>
        <v>#DIV/0!</v>
      </c>
      <c r="Q15" s="129" t="e">
        <f t="shared" si="17"/>
        <v>#DIV/0!</v>
      </c>
      <c r="R15" s="129" t="e">
        <f t="shared" si="17"/>
        <v>#DIV/0!</v>
      </c>
      <c r="S15" s="130">
        <f t="shared" si="17"/>
        <v>9.4369107485391401E-2</v>
      </c>
      <c r="T15" s="130">
        <f t="shared" si="17"/>
        <v>9.5144074847604967E-2</v>
      </c>
      <c r="U15" s="130">
        <f t="shared" si="17"/>
        <v>0.11866979805490725</v>
      </c>
      <c r="V15" s="130">
        <f t="shared" si="17"/>
        <v>8.9696482262322158E-2</v>
      </c>
      <c r="W15" s="130">
        <f t="shared" si="17"/>
        <v>8.0921271584008067E-2</v>
      </c>
      <c r="X15" s="131">
        <f t="shared" si="17"/>
        <v>6.783061837213461E-2</v>
      </c>
      <c r="Y15" s="131">
        <f t="shared" si="17"/>
        <v>7.9739879475671779E-2</v>
      </c>
      <c r="Z15" s="131">
        <f t="shared" si="17"/>
        <v>7.7709781022135604E-2</v>
      </c>
      <c r="AA15" s="131">
        <f t="shared" si="17"/>
        <v>7.8324713593384415E-2</v>
      </c>
      <c r="AB15" s="131">
        <f t="shared" si="17"/>
        <v>7.8212184831557466E-2</v>
      </c>
      <c r="AC15" s="131">
        <f t="shared" si="17"/>
        <v>7.8437566626094885E-2</v>
      </c>
      <c r="AD15" s="131">
        <f t="shared" si="17"/>
        <v>7.9368150424173417E-2</v>
      </c>
      <c r="AE15" s="131">
        <f t="shared" si="17"/>
        <v>7.9902991948067534E-2</v>
      </c>
      <c r="AF15" s="131">
        <f t="shared" si="17"/>
        <v>7.9645770310520378E-2</v>
      </c>
      <c r="AG15" s="131">
        <f t="shared" si="17"/>
        <v>8.0540184860286884E-2</v>
      </c>
      <c r="AH15" s="131">
        <f t="shared" si="17"/>
        <v>8.2172807704914988E-2</v>
      </c>
    </row>
    <row r="17" spans="1:40" ht="16.5">
      <c r="A17" s="95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132"/>
      <c r="T17" s="132"/>
      <c r="U17" s="132"/>
      <c r="V17" s="133">
        <f t="shared" ref="V17:X17" si="18">V5/U5-1</f>
        <v>-1.7457170242877629E-2</v>
      </c>
      <c r="W17" s="133">
        <f t="shared" si="18"/>
        <v>7.3530482107052153E-2</v>
      </c>
      <c r="X17" s="133">
        <f t="shared" si="18"/>
        <v>-2.0761514324252883E-2</v>
      </c>
      <c r="Y17" s="133">
        <f>Y5/X5-1</f>
        <v>2.497239553916053E-2</v>
      </c>
      <c r="Z17" s="133">
        <f t="shared" ref="Z17:AH17" si="19">Z5/Y5-1</f>
        <v>1.9455252918287869E-2</v>
      </c>
      <c r="AA17" s="133">
        <f t="shared" si="19"/>
        <v>1.5267175572519109E-2</v>
      </c>
      <c r="AB17" s="133">
        <f t="shared" si="19"/>
        <v>1.0025062656641603E-2</v>
      </c>
      <c r="AC17" s="133">
        <f t="shared" si="19"/>
        <v>4.9627791563275903E-3</v>
      </c>
      <c r="AD17" s="133">
        <f t="shared" si="19"/>
        <v>2.4691358024691024E-3</v>
      </c>
      <c r="AE17" s="133">
        <f t="shared" si="19"/>
        <v>4.9261083743843415E-3</v>
      </c>
      <c r="AF17" s="133">
        <f t="shared" si="19"/>
        <v>7.3529411764705621E-3</v>
      </c>
      <c r="AG17" s="133">
        <f t="shared" si="19"/>
        <v>-4.8661800486617945E-3</v>
      </c>
      <c r="AH17" s="133">
        <f t="shared" si="19"/>
        <v>-4.8899755501222719E-3</v>
      </c>
    </row>
    <row r="18" spans="1:40" ht="16.5">
      <c r="V18" s="160">
        <f>1815402/1000</f>
        <v>1815.402</v>
      </c>
      <c r="W18" s="160">
        <f>V18*42</f>
        <v>76246.884000000005</v>
      </c>
      <c r="X18" s="133">
        <f>X8/W8-1</f>
        <v>0.19448151760307675</v>
      </c>
      <c r="Y18" s="133">
        <f t="shared" ref="Y18:AH18" si="20">Y8/X8-1</f>
        <v>3.7653706705020884E-3</v>
      </c>
      <c r="Z18" s="133">
        <f t="shared" si="20"/>
        <v>1.7428137684220246E-2</v>
      </c>
      <c r="AA18" s="133">
        <f t="shared" si="20"/>
        <v>-7.8510669626087326E-3</v>
      </c>
      <c r="AB18" s="133">
        <f t="shared" si="20"/>
        <v>1.4387625415310801E-3</v>
      </c>
      <c r="AC18" s="133">
        <f t="shared" si="20"/>
        <v>-2.8733909557877579E-3</v>
      </c>
      <c r="AD18" s="133">
        <f t="shared" si="20"/>
        <v>-2.0171697864723059E-2</v>
      </c>
      <c r="AE18" s="133">
        <f t="shared" si="20"/>
        <v>-6.6936357557391135E-3</v>
      </c>
      <c r="AF18" s="133">
        <f t="shared" si="20"/>
        <v>3.2295705916876027E-3</v>
      </c>
      <c r="AG18" s="133">
        <f t="shared" si="20"/>
        <v>-1.1105196136786177E-2</v>
      </c>
      <c r="AH18" s="133">
        <f t="shared" si="20"/>
        <v>-1.9868164301880875E-2</v>
      </c>
    </row>
    <row r="19" spans="1:40" s="87" customFormat="1" ht="15.75" thickBot="1">
      <c r="A19" s="100" t="s">
        <v>241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34"/>
      <c r="T19" s="101"/>
      <c r="U19" s="101"/>
      <c r="V19" s="101"/>
      <c r="W19" s="101"/>
      <c r="X19" s="98"/>
      <c r="Y19" s="98"/>
      <c r="Z19" s="98"/>
      <c r="AA19" s="98"/>
      <c r="AB19" s="98"/>
      <c r="AC19" s="98"/>
      <c r="AD19" s="102"/>
      <c r="AE19" s="102"/>
      <c r="AF19" s="102"/>
      <c r="AG19" s="102"/>
      <c r="AH19" s="102"/>
      <c r="AI19" s="113"/>
    </row>
    <row r="20" spans="1:40" s="100" customFormat="1" ht="15.75" thickBot="1">
      <c r="A20" s="103"/>
      <c r="B20" s="104">
        <v>2001</v>
      </c>
      <c r="C20" s="104">
        <v>2002</v>
      </c>
      <c r="D20" s="104">
        <v>2003</v>
      </c>
      <c r="E20" s="104">
        <v>2004</v>
      </c>
      <c r="F20" s="104">
        <v>2005</v>
      </c>
      <c r="G20" s="104">
        <v>2006</v>
      </c>
      <c r="H20" s="104">
        <v>2007</v>
      </c>
      <c r="I20" s="104">
        <f t="shared" ref="I20:AH20" si="21">I2</f>
        <v>2008</v>
      </c>
      <c r="J20" s="104">
        <f t="shared" si="21"/>
        <v>2009</v>
      </c>
      <c r="K20" s="104">
        <f t="shared" si="21"/>
        <v>2010</v>
      </c>
      <c r="L20" s="104">
        <f t="shared" si="21"/>
        <v>2011</v>
      </c>
      <c r="M20" s="104">
        <f t="shared" si="21"/>
        <v>2012</v>
      </c>
      <c r="N20" s="104">
        <f t="shared" si="21"/>
        <v>2013</v>
      </c>
      <c r="O20" s="104">
        <f t="shared" si="21"/>
        <v>2014</v>
      </c>
      <c r="P20" s="104">
        <f t="shared" si="21"/>
        <v>2015</v>
      </c>
      <c r="Q20" s="104">
        <f t="shared" si="21"/>
        <v>2016</v>
      </c>
      <c r="R20" s="104">
        <f t="shared" si="21"/>
        <v>2017</v>
      </c>
      <c r="S20" s="104">
        <f t="shared" si="21"/>
        <v>2018</v>
      </c>
      <c r="T20" s="104">
        <f t="shared" si="21"/>
        <v>2019</v>
      </c>
      <c r="U20" s="104">
        <f t="shared" si="21"/>
        <v>2020</v>
      </c>
      <c r="V20" s="104">
        <f t="shared" si="21"/>
        <v>2021</v>
      </c>
      <c r="W20" s="104">
        <f t="shared" si="21"/>
        <v>2022</v>
      </c>
      <c r="X20" s="104">
        <f t="shared" si="21"/>
        <v>2023</v>
      </c>
      <c r="Y20" s="104">
        <f t="shared" si="21"/>
        <v>2024</v>
      </c>
      <c r="Z20" s="104">
        <f t="shared" si="21"/>
        <v>2025</v>
      </c>
      <c r="AA20" s="104">
        <f t="shared" si="21"/>
        <v>2026</v>
      </c>
      <c r="AB20" s="104">
        <f t="shared" si="21"/>
        <v>2027</v>
      </c>
      <c r="AC20" s="104">
        <f t="shared" si="21"/>
        <v>2028</v>
      </c>
      <c r="AD20" s="104">
        <f t="shared" si="21"/>
        <v>2029</v>
      </c>
      <c r="AE20" s="104">
        <f t="shared" si="21"/>
        <v>2030</v>
      </c>
      <c r="AF20" s="104">
        <f t="shared" si="21"/>
        <v>2031</v>
      </c>
      <c r="AG20" s="104">
        <f t="shared" si="21"/>
        <v>2032</v>
      </c>
      <c r="AH20" s="104">
        <f t="shared" si="21"/>
        <v>2033</v>
      </c>
      <c r="AK20" s="105" t="s">
        <v>210</v>
      </c>
      <c r="AL20" s="105" t="s">
        <v>211</v>
      </c>
      <c r="AM20" s="105" t="s">
        <v>212</v>
      </c>
      <c r="AN20" s="100" t="s">
        <v>213</v>
      </c>
    </row>
    <row r="21" spans="1:40">
      <c r="A21" s="87" t="s">
        <v>167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6">
        <f>monthly_data!BY459*42/1000</f>
        <v>5602.9260000000004</v>
      </c>
      <c r="M21" s="106">
        <f>monthly_data!BY471*42/1000</f>
        <v>5859.5039999999999</v>
      </c>
      <c r="N21" s="106">
        <f>monthly_data!BY483*42/1000</f>
        <v>5832.75</v>
      </c>
      <c r="O21" s="106">
        <f>monthly_data!BY495*42/1000</f>
        <v>6100.2479999999996</v>
      </c>
      <c r="P21" s="106">
        <f>monthly_data!BY507*42/1000</f>
        <v>6295.4639999999999</v>
      </c>
      <c r="Q21" s="106">
        <f>monthly_data!BY519*42/1000</f>
        <v>5898.3959999999997</v>
      </c>
      <c r="R21" s="106">
        <f>monthly_data!$BY531*42/1000</f>
        <v>6230.6580000000004</v>
      </c>
      <c r="S21" s="106">
        <f>monthly_data!$BY543*42/1000</f>
        <v>6517.7280000000001</v>
      </c>
      <c r="T21" s="106">
        <f>monthly_data!$BY555*42/1000</f>
        <v>6834.87</v>
      </c>
      <c r="U21" s="106">
        <f>monthly_data!$BY567*42/1000</f>
        <v>6622.6859999999997</v>
      </c>
      <c r="V21" s="106">
        <f>monthly_data!$BY579*42/1000</f>
        <v>5937.33</v>
      </c>
      <c r="W21" s="106">
        <f>monthly_data!$BY591*42/1000</f>
        <v>6080.8860000000004</v>
      </c>
      <c r="X21" s="106">
        <f>monthly_data!$BY603*42/1000</f>
        <v>6123.6840000000002</v>
      </c>
      <c r="Y21" s="106">
        <f>monthly_data!$BY615*42/1000</f>
        <v>6049.4279999999999</v>
      </c>
      <c r="Z21" s="135">
        <f t="shared" ref="Z21:Z31" si="22">Z$33*(SUM(U21:Y21)/SUM(U$33:Y$33))</f>
        <v>6484.2251475956928</v>
      </c>
      <c r="AA21" s="135">
        <f t="shared" ref="AA21:AA31" si="23">AA$33*(SUM(V21:Z21)/SUM(V$33:Z$33))</f>
        <v>6453.8772341411322</v>
      </c>
      <c r="AB21" s="135">
        <f t="shared" ref="AB21:AH31" si="24">AB$33*(SUM(W21:AA21)/SUM(W$33:AA$33))</f>
        <v>6487.3223774190546</v>
      </c>
      <c r="AC21" s="135">
        <f t="shared" si="24"/>
        <v>6540.6097772508147</v>
      </c>
      <c r="AD21" s="135">
        <f t="shared" si="24"/>
        <v>6546.6017576334016</v>
      </c>
      <c r="AE21" s="135">
        <f t="shared" si="24"/>
        <v>6612.7395852284944</v>
      </c>
      <c r="AF21" s="135">
        <f t="shared" si="24"/>
        <v>6638.0568781383281</v>
      </c>
      <c r="AG21" s="135">
        <f t="shared" si="24"/>
        <v>6603.81708000446</v>
      </c>
      <c r="AH21" s="135">
        <f t="shared" si="24"/>
        <v>6575.4403172388365</v>
      </c>
      <c r="AJ21" t="s">
        <v>214</v>
      </c>
      <c r="AK21" s="106">
        <f>MAX(S21:W21)</f>
        <v>6834.87</v>
      </c>
      <c r="AL21" s="106">
        <f>MIN(S21:W21)</f>
        <v>5937.33</v>
      </c>
      <c r="AM21" s="106">
        <f>AVERAGE(S21:W21)</f>
        <v>6398.7</v>
      </c>
      <c r="AN21" s="107">
        <f>X21/31</f>
        <v>197.53819354838711</v>
      </c>
    </row>
    <row r="22" spans="1:40">
      <c r="A22" s="87" t="s">
        <v>168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06">
        <f>monthly_data!BY460*42/1000</f>
        <v>4743.018</v>
      </c>
      <c r="M22" s="106">
        <f>monthly_data!BY472*42/1000</f>
        <v>5368.5659999999998</v>
      </c>
      <c r="N22" s="106">
        <f>monthly_data!BY484*42/1000</f>
        <v>5033.8680000000004</v>
      </c>
      <c r="O22" s="106">
        <f>monthly_data!BY496*42/1000</f>
        <v>5403.09</v>
      </c>
      <c r="P22" s="106">
        <f>monthly_data!BY508*42/1000</f>
        <v>5588.7719999999999</v>
      </c>
      <c r="Q22" s="106">
        <f>monthly_data!BY520*42/1000</f>
        <v>5685.3720000000003</v>
      </c>
      <c r="R22" s="106">
        <f>monthly_data!$BY532*42/1000</f>
        <v>5476.2120000000004</v>
      </c>
      <c r="S22" s="106">
        <f>monthly_data!$BY544*42/1000</f>
        <v>5390.9520000000002</v>
      </c>
      <c r="T22" s="106">
        <f>monthly_data!$BY556*42/1000</f>
        <v>5767.902</v>
      </c>
      <c r="U22" s="106">
        <f>monthly_data!$BY568*42/1000</f>
        <v>5862.0659999999998</v>
      </c>
      <c r="V22" s="106">
        <f>monthly_data!$BY580*42/1000</f>
        <v>4447.59</v>
      </c>
      <c r="W22" s="106">
        <f>monthly_data!$BY592*42/1000</f>
        <v>5506.2</v>
      </c>
      <c r="X22" s="106">
        <f>monthly_data!$BY604*42/1000</f>
        <v>5522.4539999999997</v>
      </c>
      <c r="Y22" s="106">
        <f>monthly_data!$BY616*42/1000</f>
        <v>5259.576</v>
      </c>
      <c r="Z22" s="135">
        <f t="shared" si="22"/>
        <v>5597.0209293110393</v>
      </c>
      <c r="AA22" s="135">
        <f t="shared" si="23"/>
        <v>5540.2072707940943</v>
      </c>
      <c r="AB22" s="135">
        <f t="shared" si="24"/>
        <v>5703.9374237422289</v>
      </c>
      <c r="AC22" s="135">
        <f t="shared" si="24"/>
        <v>5717.7503108240262</v>
      </c>
      <c r="AD22" s="135">
        <f t="shared" si="24"/>
        <v>5688.3947244908504</v>
      </c>
      <c r="AE22" s="135">
        <f t="shared" si="24"/>
        <v>5745.2157272872355</v>
      </c>
      <c r="AF22" s="135">
        <f t="shared" si="24"/>
        <v>5774.6426238910917</v>
      </c>
      <c r="AG22" s="135">
        <f t="shared" si="24"/>
        <v>5759.7864197669915</v>
      </c>
      <c r="AH22" s="135">
        <f t="shared" si="24"/>
        <v>5725.9031148346739</v>
      </c>
      <c r="AJ22" t="s">
        <v>215</v>
      </c>
      <c r="AK22" s="106">
        <f t="shared" ref="AK22:AK31" si="25">MAX(S22:W22)</f>
        <v>5862.0659999999998</v>
      </c>
      <c r="AL22" s="106">
        <f t="shared" ref="AL22:AL31" si="26">MIN(S22:W22)</f>
        <v>4447.59</v>
      </c>
      <c r="AM22" s="106">
        <f t="shared" ref="AM22:AM31" si="27">AVERAGE(S22:W22)</f>
        <v>5394.942</v>
      </c>
      <c r="AN22" s="107">
        <f t="shared" ref="AN22:AN32" si="28">X22/31</f>
        <v>178.14367741935482</v>
      </c>
    </row>
    <row r="23" spans="1:40">
      <c r="A23" s="87" t="s">
        <v>169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06">
        <f>monthly_data!BY461*42/1000</f>
        <v>5632.4939999999997</v>
      </c>
      <c r="M23" s="106">
        <f>monthly_data!BY473*42/1000</f>
        <v>5550.1319999999996</v>
      </c>
      <c r="N23" s="106">
        <f>monthly_data!BY485*42/1000</f>
        <v>5577.5159999999996</v>
      </c>
      <c r="O23" s="106">
        <f>monthly_data!BY497*42/1000</f>
        <v>6223.14</v>
      </c>
      <c r="P23" s="106">
        <f>monthly_data!BY509*42/1000</f>
        <v>6371.61</v>
      </c>
      <c r="Q23" s="106">
        <f>monthly_data!BY521*42/1000</f>
        <v>6312.4740000000002</v>
      </c>
      <c r="R23" s="106">
        <f>monthly_data!$BY533*42/1000</f>
        <v>6239.8559999999998</v>
      </c>
      <c r="S23" s="106">
        <f>monthly_data!$BY545*42/1000</f>
        <v>6278.9160000000002</v>
      </c>
      <c r="T23" s="106">
        <f>monthly_data!$BY557*42/1000</f>
        <v>6468.8819999999996</v>
      </c>
      <c r="U23" s="106">
        <f>monthly_data!$BY569*42/1000</f>
        <v>6448.7219999999998</v>
      </c>
      <c r="V23" s="106">
        <f>monthly_data!$BY581*42/1000</f>
        <v>5884.0739999999996</v>
      </c>
      <c r="W23" s="106">
        <f>monthly_data!$BY593*42/1000</f>
        <v>6515.3339999999998</v>
      </c>
      <c r="X23" s="106">
        <f>monthly_data!$BY605*42/1000</f>
        <v>6100.2060000000001</v>
      </c>
      <c r="Y23" s="106">
        <f>monthly_data!$BY617*42/1000</f>
        <v>6156.9059999999999</v>
      </c>
      <c r="Z23" s="135">
        <f t="shared" si="22"/>
        <v>6545.5085597887273</v>
      </c>
      <c r="AA23" s="135">
        <f t="shared" si="23"/>
        <v>6564.643213184414</v>
      </c>
      <c r="AB23" s="135">
        <f t="shared" si="24"/>
        <v>6630.9317888692558</v>
      </c>
      <c r="AC23" s="135">
        <f t="shared" si="24"/>
        <v>6623.3355152284885</v>
      </c>
      <c r="AD23" s="135">
        <f t="shared" si="24"/>
        <v>6650.0417936493477</v>
      </c>
      <c r="AE23" s="135">
        <f t="shared" si="24"/>
        <v>6714.8056008244548</v>
      </c>
      <c r="AF23" s="135">
        <f t="shared" si="24"/>
        <v>6748.4040087737249</v>
      </c>
      <c r="AG23" s="135">
        <f t="shared" si="24"/>
        <v>6712.8948112662147</v>
      </c>
      <c r="AH23" s="135">
        <f t="shared" si="24"/>
        <v>6676.7724688597782</v>
      </c>
      <c r="AJ23" t="s">
        <v>216</v>
      </c>
      <c r="AK23" s="106">
        <f t="shared" si="25"/>
        <v>6515.3339999999998</v>
      </c>
      <c r="AL23" s="106">
        <f t="shared" si="26"/>
        <v>5884.0739999999996</v>
      </c>
      <c r="AM23" s="106">
        <f t="shared" si="27"/>
        <v>6319.1855999999989</v>
      </c>
      <c r="AN23" s="107">
        <f t="shared" si="28"/>
        <v>196.78083870967743</v>
      </c>
    </row>
    <row r="24" spans="1:40">
      <c r="A24" s="87" t="s">
        <v>170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06">
        <f>monthly_data!BY462*42/1000</f>
        <v>5277.8459999999995</v>
      </c>
      <c r="M24" s="106">
        <f>monthly_data!BY474*42/1000</f>
        <v>5483.1419999999998</v>
      </c>
      <c r="N24" s="106">
        <f>monthly_data!BY486*42/1000</f>
        <v>5564.7060000000001</v>
      </c>
      <c r="O24" s="106">
        <f>monthly_data!BY498*42/1000</f>
        <v>6284.7539999999999</v>
      </c>
      <c r="P24" s="106">
        <f>monthly_data!BY510*42/1000</f>
        <v>6289.2060000000001</v>
      </c>
      <c r="Q24" s="106">
        <f>monthly_data!BY522*42/1000</f>
        <v>5870.0879999999997</v>
      </c>
      <c r="R24" s="106">
        <f>monthly_data!$BY534*42/1000</f>
        <v>6323.7719999999999</v>
      </c>
      <c r="S24" s="106">
        <f>monthly_data!$BY546*42/1000</f>
        <v>6450.6120000000001</v>
      </c>
      <c r="T24" s="106">
        <f>monthly_data!$BY558*42/1000</f>
        <v>6374.5919999999996</v>
      </c>
      <c r="U24" s="106">
        <f>monthly_data!$BY570*42/1000</f>
        <v>6399.2879999999996</v>
      </c>
      <c r="V24" s="106">
        <f>monthly_data!$BY582*42/1000</f>
        <v>5790.8760000000002</v>
      </c>
      <c r="W24" s="106">
        <f>monthly_data!$BY594*42/1000</f>
        <v>6092.4359999999997</v>
      </c>
      <c r="X24" s="106">
        <f>monthly_data!$BY606*42/1000</f>
        <v>5993.4840000000004</v>
      </c>
      <c r="Y24" s="135">
        <f t="shared" ref="Y24:Y31" si="29">Y$33*(SUM(T24:X24)/SUM(T$33:X$33))</f>
        <v>6298.929148487493</v>
      </c>
      <c r="Z24" s="135">
        <f t="shared" si="22"/>
        <v>6433.9319488039282</v>
      </c>
      <c r="AA24" s="135">
        <f t="shared" si="23"/>
        <v>6440.0132618491807</v>
      </c>
      <c r="AB24" s="135">
        <f t="shared" si="24"/>
        <v>6501.1933680466673</v>
      </c>
      <c r="AC24" s="135">
        <f t="shared" si="24"/>
        <v>6554.895248066231</v>
      </c>
      <c r="AD24" s="135">
        <f t="shared" si="24"/>
        <v>6590.2588607166572</v>
      </c>
      <c r="AE24" s="135">
        <f t="shared" si="24"/>
        <v>6614.2968177930843</v>
      </c>
      <c r="AF24" s="135">
        <f t="shared" si="24"/>
        <v>6650.1584639831372</v>
      </c>
      <c r="AG24" s="135">
        <f t="shared" si="24"/>
        <v>6621.0124585685026</v>
      </c>
      <c r="AH24" s="135">
        <f t="shared" si="24"/>
        <v>6593.1648320720642</v>
      </c>
      <c r="AJ24" t="s">
        <v>217</v>
      </c>
      <c r="AK24" s="106">
        <f t="shared" si="25"/>
        <v>6450.6120000000001</v>
      </c>
      <c r="AL24" s="106">
        <f t="shared" si="26"/>
        <v>5790.8760000000002</v>
      </c>
      <c r="AM24" s="106">
        <f t="shared" si="27"/>
        <v>6221.5607999999993</v>
      </c>
      <c r="AN24" s="107">
        <f t="shared" si="28"/>
        <v>193.3381935483871</v>
      </c>
    </row>
    <row r="25" spans="1:40">
      <c r="A25" s="87" t="s">
        <v>171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06">
        <f>monthly_data!BY463*42/1000</f>
        <v>5576.8860000000004</v>
      </c>
      <c r="M25" s="106">
        <f>monthly_data!BY475*42/1000</f>
        <v>5920.5720000000001</v>
      </c>
      <c r="N25" s="106">
        <f>monthly_data!BY487*42/1000</f>
        <v>6206.8019999999997</v>
      </c>
      <c r="O25" s="106">
        <f>monthly_data!BY499*42/1000</f>
        <v>6544.02</v>
      </c>
      <c r="P25" s="106">
        <f>monthly_data!BY511*42/1000</f>
        <v>6487.6139999999996</v>
      </c>
      <c r="Q25" s="106">
        <f>monthly_data!BY523*42/1000</f>
        <v>6198.0659999999998</v>
      </c>
      <c r="R25" s="106">
        <f>monthly_data!$BY535*42/1000</f>
        <v>6790.6019999999999</v>
      </c>
      <c r="S25" s="106">
        <f>monthly_data!$BY547*42/1000</f>
        <v>6788.7960000000003</v>
      </c>
      <c r="T25" s="106">
        <f>monthly_data!$BY559*42/1000</f>
        <v>6785.6459999999997</v>
      </c>
      <c r="U25" s="106">
        <f>monthly_data!$BY571*42/1000</f>
        <v>6273.2460000000001</v>
      </c>
      <c r="V25" s="106">
        <f>monthly_data!$BY583*42/1000</f>
        <v>6177.99</v>
      </c>
      <c r="W25" s="106">
        <f>monthly_data!$BY595*42/1000</f>
        <v>6494.25</v>
      </c>
      <c r="X25" s="106">
        <f>monthly_data!$BY607*42/1000</f>
        <v>6466.1940000000004</v>
      </c>
      <c r="Y25" s="135">
        <f t="shared" si="29"/>
        <v>6616.7765841364862</v>
      </c>
      <c r="Z25" s="135">
        <f t="shared" si="22"/>
        <v>6739.7815689164872</v>
      </c>
      <c r="AA25" s="135">
        <f t="shared" si="23"/>
        <v>6836.6718302069403</v>
      </c>
      <c r="AB25" s="135">
        <f t="shared" si="24"/>
        <v>6895.2897846913784</v>
      </c>
      <c r="AC25" s="135">
        <f t="shared" si="24"/>
        <v>6945.5206301577355</v>
      </c>
      <c r="AD25" s="135">
        <f t="shared" si="24"/>
        <v>6959.3656014264743</v>
      </c>
      <c r="AE25" s="135">
        <f t="shared" si="24"/>
        <v>6991.8568302506474</v>
      </c>
      <c r="AF25" s="135">
        <f t="shared" si="24"/>
        <v>7042.2551321807696</v>
      </c>
      <c r="AG25" s="135">
        <f t="shared" si="24"/>
        <v>7007.9802180477946</v>
      </c>
      <c r="AH25" s="135">
        <f t="shared" si="24"/>
        <v>6975.6842637125119</v>
      </c>
      <c r="AJ25" t="s">
        <v>171</v>
      </c>
      <c r="AK25" s="106">
        <f t="shared" si="25"/>
        <v>6788.7960000000003</v>
      </c>
      <c r="AL25" s="106">
        <f t="shared" si="26"/>
        <v>6177.99</v>
      </c>
      <c r="AM25" s="106">
        <f t="shared" si="27"/>
        <v>6503.9856</v>
      </c>
      <c r="AN25" s="107">
        <f t="shared" si="28"/>
        <v>208.58690322580645</v>
      </c>
    </row>
    <row r="26" spans="1:40">
      <c r="A26" s="87" t="s">
        <v>172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06">
        <f>monthly_data!BY464*42/1000</f>
        <v>5633.1660000000002</v>
      </c>
      <c r="M26" s="106">
        <f>monthly_data!BY476*42/1000</f>
        <v>5836.0680000000002</v>
      </c>
      <c r="N26" s="106">
        <f>monthly_data!BY488*42/1000</f>
        <v>6037.29</v>
      </c>
      <c r="O26" s="106">
        <f>monthly_data!BY500*42/1000</f>
        <v>6168.96</v>
      </c>
      <c r="P26" s="106">
        <f>monthly_data!BY512*42/1000</f>
        <v>6340.0680000000002</v>
      </c>
      <c r="Q26" s="106">
        <f>monthly_data!BY524*42/1000</f>
        <v>6241.5360000000001</v>
      </c>
      <c r="R26" s="106">
        <f>monthly_data!$BY536*42/1000</f>
        <v>6657.5460000000003</v>
      </c>
      <c r="S26" s="106">
        <f>monthly_data!$BY548*42/1000</f>
        <v>6817.0619999999999</v>
      </c>
      <c r="T26" s="106">
        <f>monthly_data!$BY560*42/1000</f>
        <v>6741.8819999999996</v>
      </c>
      <c r="U26" s="106">
        <f>monthly_data!$BY572*42/1000</f>
        <v>5770.38</v>
      </c>
      <c r="V26" s="106">
        <f>monthly_data!$BY584*42/1000</f>
        <v>6275.43</v>
      </c>
      <c r="W26" s="106">
        <f>monthly_data!$BY596*42/1000</f>
        <v>6547.59</v>
      </c>
      <c r="X26" s="106">
        <f>monthly_data!$BY608*42/1000</f>
        <v>6295.38</v>
      </c>
      <c r="Y26" s="135">
        <f t="shared" si="29"/>
        <v>6500.3231529952445</v>
      </c>
      <c r="Z26" s="135">
        <f t="shared" si="22"/>
        <v>6605.2417586727588</v>
      </c>
      <c r="AA26" s="135">
        <f t="shared" si="23"/>
        <v>6779.6499882668668</v>
      </c>
      <c r="AB26" s="135">
        <f t="shared" si="24"/>
        <v>6806.7967105533435</v>
      </c>
      <c r="AC26" s="135">
        <f t="shared" si="24"/>
        <v>6828.0901023381575</v>
      </c>
      <c r="AD26" s="135">
        <f t="shared" si="24"/>
        <v>6854.2741351838367</v>
      </c>
      <c r="AE26" s="135">
        <f t="shared" si="24"/>
        <v>6889.637836274228</v>
      </c>
      <c r="AF26" s="135">
        <f t="shared" si="24"/>
        <v>6946.6216949754362</v>
      </c>
      <c r="AG26" s="135">
        <f t="shared" si="24"/>
        <v>6905.6059892001604</v>
      </c>
      <c r="AH26" s="135">
        <f t="shared" si="24"/>
        <v>6871.339632905605</v>
      </c>
      <c r="AJ26" t="s">
        <v>218</v>
      </c>
      <c r="AK26" s="106">
        <f t="shared" si="25"/>
        <v>6817.0619999999999</v>
      </c>
      <c r="AL26" s="106">
        <f t="shared" si="26"/>
        <v>5770.38</v>
      </c>
      <c r="AM26" s="106">
        <f t="shared" si="27"/>
        <v>6430.4688000000006</v>
      </c>
      <c r="AN26" s="107">
        <f t="shared" si="28"/>
        <v>203.0767741935484</v>
      </c>
    </row>
    <row r="27" spans="1:40">
      <c r="A27" s="87" t="s">
        <v>173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06">
        <f>monthly_data!BY465*42/1000</f>
        <v>6062.616</v>
      </c>
      <c r="M27" s="106">
        <f>monthly_data!BY477*42/1000</f>
        <v>6067.4040000000005</v>
      </c>
      <c r="N27" s="106">
        <f>monthly_data!BY489*42/1000</f>
        <v>6423.8159999999998</v>
      </c>
      <c r="O27" s="106">
        <f>monthly_data!BY501*42/1000</f>
        <v>6537.5940000000001</v>
      </c>
      <c r="P27" s="106">
        <f>monthly_data!BY513*42/1000</f>
        <v>6641.7539999999999</v>
      </c>
      <c r="Q27" s="106">
        <f>monthly_data!BY525*42/1000</f>
        <v>6423.3119999999999</v>
      </c>
      <c r="R27" s="106">
        <f>monthly_data!$BY537*42/1000</f>
        <v>6720.7560000000003</v>
      </c>
      <c r="S27" s="106">
        <f>monthly_data!$BY549*42/1000</f>
        <v>6844.6980000000003</v>
      </c>
      <c r="T27" s="106">
        <f>monthly_data!$BY561*42/1000</f>
        <v>6830.04</v>
      </c>
      <c r="U27" s="106">
        <f>monthly_data!$BY573*42/1000</f>
        <v>6305.25</v>
      </c>
      <c r="V27" s="106">
        <f>monthly_data!$BY585*42/1000</f>
        <v>6322.3860000000004</v>
      </c>
      <c r="W27" s="106">
        <f>monthly_data!$BY597*42/1000</f>
        <v>6672.0780000000004</v>
      </c>
      <c r="X27" s="106">
        <f>monthly_data!$BY609*42/1000</f>
        <v>6501.7259999999997</v>
      </c>
      <c r="Y27" s="135">
        <f t="shared" si="29"/>
        <v>6705.9982797862813</v>
      </c>
      <c r="Z27" s="135">
        <f t="shared" si="22"/>
        <v>6840.5741873715324</v>
      </c>
      <c r="AA27" s="135">
        <f t="shared" si="23"/>
        <v>6951.9180767124126</v>
      </c>
      <c r="AB27" s="135">
        <f t="shared" si="24"/>
        <v>7003.152311647299</v>
      </c>
      <c r="AC27" s="135">
        <f t="shared" si="24"/>
        <v>7038.3881535723694</v>
      </c>
      <c r="AD27" s="135">
        <f t="shared" si="24"/>
        <v>7062.8318255807089</v>
      </c>
      <c r="AE27" s="135">
        <f t="shared" si="24"/>
        <v>7097.6673670951159</v>
      </c>
      <c r="AF27" s="135">
        <f t="shared" si="24"/>
        <v>7149.0730474635575</v>
      </c>
      <c r="AG27" s="135">
        <f t="shared" si="24"/>
        <v>7111.9552860264894</v>
      </c>
      <c r="AH27" s="135">
        <f t="shared" si="24"/>
        <v>7078.0704667255832</v>
      </c>
      <c r="AJ27" t="s">
        <v>219</v>
      </c>
      <c r="AK27" s="106">
        <f t="shared" si="25"/>
        <v>6844.6980000000003</v>
      </c>
      <c r="AL27" s="106">
        <f t="shared" si="26"/>
        <v>6305.25</v>
      </c>
      <c r="AM27" s="106">
        <f t="shared" si="27"/>
        <v>6594.8904000000011</v>
      </c>
      <c r="AN27" s="108">
        <f t="shared" si="28"/>
        <v>209.73309677419354</v>
      </c>
    </row>
    <row r="28" spans="1:40">
      <c r="A28" s="87" t="s">
        <v>174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06">
        <f>monthly_data!BY466*42/1000</f>
        <v>6077.4</v>
      </c>
      <c r="M28" s="106">
        <f>monthly_data!BY478*42/1000</f>
        <v>5988.8220000000001</v>
      </c>
      <c r="N28" s="106">
        <f>monthly_data!BY490*42/1000</f>
        <v>6418.8180000000002</v>
      </c>
      <c r="O28" s="106">
        <f>monthly_data!BY502*42/1000</f>
        <v>6565.2719999999999</v>
      </c>
      <c r="P28" s="106">
        <f>monthly_data!BY514*42/1000</f>
        <v>6648.768</v>
      </c>
      <c r="Q28" s="106">
        <f>monthly_data!BY526*42/1000</f>
        <v>6430.83</v>
      </c>
      <c r="R28" s="106">
        <f>monthly_data!$BY538*42/1000</f>
        <v>6567.3720000000003</v>
      </c>
      <c r="S28" s="106">
        <f>monthly_data!$BY550*42/1000</f>
        <v>6991.0680000000002</v>
      </c>
      <c r="T28" s="106">
        <f>monthly_data!$BY562*42/1000</f>
        <v>6856.9620000000004</v>
      </c>
      <c r="U28" s="106">
        <f>monthly_data!$BY574*42/1000</f>
        <v>6279.21</v>
      </c>
      <c r="V28" s="106">
        <f>monthly_data!$BY586*42/1000</f>
        <v>6173.58</v>
      </c>
      <c r="W28" s="106">
        <f>monthly_data!$BY598*42/1000</f>
        <v>6695.3879999999999</v>
      </c>
      <c r="X28" s="106">
        <f>monthly_data!$BY610*42/1000</f>
        <v>6558.09</v>
      </c>
      <c r="Y28" s="135">
        <f t="shared" si="29"/>
        <v>6691.9724255315732</v>
      </c>
      <c r="Z28" s="135">
        <f t="shared" si="22"/>
        <v>6817.5955688565336</v>
      </c>
      <c r="AA28" s="135">
        <f t="shared" si="23"/>
        <v>6929.5878594861879</v>
      </c>
      <c r="AB28" s="135">
        <f t="shared" si="24"/>
        <v>7007.3824743909381</v>
      </c>
      <c r="AC28" s="135">
        <f t="shared" si="24"/>
        <v>7038.6488529785029</v>
      </c>
      <c r="AD28" s="135">
        <f t="shared" si="24"/>
        <v>7051.6172226567396</v>
      </c>
      <c r="AE28" s="135">
        <f t="shared" si="24"/>
        <v>7087.0844701767255</v>
      </c>
      <c r="AF28" s="135">
        <f t="shared" si="24"/>
        <v>7141.012311505302</v>
      </c>
      <c r="AG28" s="135">
        <f t="shared" si="24"/>
        <v>7106.8518645689401</v>
      </c>
      <c r="AH28" s="135">
        <f t="shared" si="24"/>
        <v>7071.1438900479088</v>
      </c>
      <c r="AJ28" t="s">
        <v>220</v>
      </c>
      <c r="AK28" s="106">
        <f t="shared" si="25"/>
        <v>6991.0680000000002</v>
      </c>
      <c r="AL28" s="106">
        <f t="shared" si="26"/>
        <v>6173.58</v>
      </c>
      <c r="AM28" s="106">
        <f t="shared" si="27"/>
        <v>6599.2415999999994</v>
      </c>
      <c r="AN28" s="108">
        <f t="shared" si="28"/>
        <v>211.55129032258066</v>
      </c>
    </row>
    <row r="29" spans="1:40">
      <c r="A29" s="87" t="s">
        <v>175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06">
        <f>monthly_data!BY467*42/1000</f>
        <v>5766.348</v>
      </c>
      <c r="M29" s="106">
        <f>monthly_data!BY479*42/1000</f>
        <v>5752.53</v>
      </c>
      <c r="N29" s="106">
        <f>monthly_data!BY491*42/1000</f>
        <v>6159.3419999999996</v>
      </c>
      <c r="O29" s="106">
        <f>monthly_data!BY503*42/1000</f>
        <v>6224.1480000000001</v>
      </c>
      <c r="P29" s="106">
        <f>monthly_data!BY515*42/1000</f>
        <v>6376.6080000000002</v>
      </c>
      <c r="Q29" s="106">
        <f>monthly_data!BY527*42/1000</f>
        <v>6159.0479999999998</v>
      </c>
      <c r="R29" s="106">
        <f>monthly_data!$BY539*42/1000</f>
        <v>5745.2640000000001</v>
      </c>
      <c r="S29" s="106">
        <f>monthly_data!$BY551*42/1000</f>
        <v>6589.8</v>
      </c>
      <c r="T29" s="106">
        <f>monthly_data!$BY563*42/1000</f>
        <v>6344.1</v>
      </c>
      <c r="U29" s="106">
        <f>monthly_data!$BY575*42/1000</f>
        <v>5661.81</v>
      </c>
      <c r="V29" s="106">
        <f>monthly_data!$BY587*42/1000</f>
        <v>5739.51</v>
      </c>
      <c r="W29" s="106">
        <f>monthly_data!$BY599*42/1000</f>
        <v>6530.8739999999998</v>
      </c>
      <c r="X29" s="106">
        <f>monthly_data!$BY611*42/1000</f>
        <v>6203.5259999999998</v>
      </c>
      <c r="Y29" s="135">
        <f t="shared" si="29"/>
        <v>6263.8170407286298</v>
      </c>
      <c r="Z29" s="135">
        <f t="shared" si="22"/>
        <v>6397.0063281842904</v>
      </c>
      <c r="AA29" s="135">
        <f t="shared" si="23"/>
        <v>6550.4848735361993</v>
      </c>
      <c r="AB29" s="135">
        <f t="shared" si="24"/>
        <v>6644.0574827427172</v>
      </c>
      <c r="AC29" s="135">
        <f t="shared" si="24"/>
        <v>6635.8990691193148</v>
      </c>
      <c r="AD29" s="135">
        <f t="shared" si="24"/>
        <v>6643.8949919367033</v>
      </c>
      <c r="AE29" s="135">
        <f t="shared" si="24"/>
        <v>6685.6968295971292</v>
      </c>
      <c r="AF29" s="135">
        <f t="shared" si="24"/>
        <v>6743.5792501182968</v>
      </c>
      <c r="AG29" s="135">
        <f t="shared" si="24"/>
        <v>6709.9996055176061</v>
      </c>
      <c r="AH29" s="135">
        <f t="shared" si="24"/>
        <v>6670.7020042862405</v>
      </c>
      <c r="AJ29" t="s">
        <v>221</v>
      </c>
      <c r="AK29" s="106">
        <f t="shared" si="25"/>
        <v>6589.8</v>
      </c>
      <c r="AL29" s="106">
        <f t="shared" si="26"/>
        <v>5661.81</v>
      </c>
      <c r="AM29" s="106">
        <f t="shared" si="27"/>
        <v>6173.2188000000006</v>
      </c>
      <c r="AN29" s="108">
        <f t="shared" si="28"/>
        <v>200.11374193548386</v>
      </c>
    </row>
    <row r="30" spans="1:40">
      <c r="A30" s="87" t="s">
        <v>176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06">
        <f>monthly_data!BY468*42/1000</f>
        <v>5909.4</v>
      </c>
      <c r="M30" s="106">
        <f>monthly_data!BY480*42/1000</f>
        <v>5871.81</v>
      </c>
      <c r="N30" s="106">
        <f>monthly_data!BY492*42/1000</f>
        <v>6268.8779999999997</v>
      </c>
      <c r="O30" s="106">
        <f>monthly_data!BY504*42/1000</f>
        <v>6069.924</v>
      </c>
      <c r="P30" s="106">
        <f>monthly_data!BY516*42/1000</f>
        <v>6271.1040000000003</v>
      </c>
      <c r="Q30" s="106">
        <f>monthly_data!BY528*42/1000</f>
        <v>6007.5959999999995</v>
      </c>
      <c r="R30" s="106">
        <f>monthly_data!$BY540*42/1000</f>
        <v>6473.5860000000002</v>
      </c>
      <c r="S30" s="106">
        <f>monthly_data!$BY552*42/1000</f>
        <v>6556.0739999999996</v>
      </c>
      <c r="T30" s="106">
        <f>monthly_data!$BY564*42/1000</f>
        <v>6241.7039999999997</v>
      </c>
      <c r="U30" s="106">
        <f>monthly_data!$BY576*42/1000</f>
        <v>5473.8180000000002</v>
      </c>
      <c r="V30" s="106">
        <f>monthly_data!$BY588*42/1000</f>
        <v>6154.89</v>
      </c>
      <c r="W30" s="106">
        <f>monthly_data!$BY600*42/1000</f>
        <v>6610.4639999999999</v>
      </c>
      <c r="X30" s="106">
        <f>monthly_data!$BY612*42/1000</f>
        <v>6180.6779999999999</v>
      </c>
      <c r="Y30" s="135">
        <f t="shared" si="29"/>
        <v>6301.1646538733194</v>
      </c>
      <c r="Z30" s="135">
        <f t="shared" si="22"/>
        <v>6464.6551980634895</v>
      </c>
      <c r="AA30" s="135">
        <f t="shared" si="23"/>
        <v>6671.9057268479137</v>
      </c>
      <c r="AB30" s="135">
        <f t="shared" si="24"/>
        <v>6702.9488647434191</v>
      </c>
      <c r="AC30" s="135">
        <f t="shared" si="24"/>
        <v>6690.2260512064622</v>
      </c>
      <c r="AD30" s="135">
        <f t="shared" si="24"/>
        <v>6713.3445484070753</v>
      </c>
      <c r="AE30" s="135">
        <f t="shared" si="24"/>
        <v>6761.3044859528873</v>
      </c>
      <c r="AF30" s="135">
        <f t="shared" si="24"/>
        <v>6820.7960897139237</v>
      </c>
      <c r="AG30" s="135">
        <f t="shared" si="24"/>
        <v>6777.4941447957326</v>
      </c>
      <c r="AH30" s="135">
        <f t="shared" si="24"/>
        <v>6739.3861134237204</v>
      </c>
      <c r="AJ30" t="s">
        <v>222</v>
      </c>
      <c r="AK30" s="106">
        <f t="shared" si="25"/>
        <v>6610.4639999999999</v>
      </c>
      <c r="AL30" s="106">
        <f t="shared" si="26"/>
        <v>5473.8180000000002</v>
      </c>
      <c r="AM30" s="106">
        <f t="shared" si="27"/>
        <v>6207.3899999999994</v>
      </c>
      <c r="AN30" s="108">
        <f t="shared" si="28"/>
        <v>199.37670967741934</v>
      </c>
    </row>
    <row r="31" spans="1:40">
      <c r="A31" s="87" t="s">
        <v>177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06">
        <f>monthly_data!BY469*42/1000</f>
        <v>6177.0240000000003</v>
      </c>
      <c r="M31" s="106">
        <f>monthly_data!BY481*42/1000</f>
        <v>5882.6880000000001</v>
      </c>
      <c r="N31" s="106">
        <f>monthly_data!BY493*42/1000</f>
        <v>6362.58</v>
      </c>
      <c r="O31" s="106">
        <f>monthly_data!BY505*42/1000</f>
        <v>6314.6580000000004</v>
      </c>
      <c r="P31" s="106">
        <f>monthly_data!BY517*42/1000</f>
        <v>6512.982</v>
      </c>
      <c r="Q31" s="106">
        <f>monthly_data!BY529*42/1000</f>
        <v>6383.1180000000004</v>
      </c>
      <c r="R31" s="106">
        <f>monthly_data!$BY541*42/1000</f>
        <v>6756.2460000000001</v>
      </c>
      <c r="S31" s="106">
        <f>monthly_data!$BY553*42/1000</f>
        <v>6741.1260000000002</v>
      </c>
      <c r="T31" s="106">
        <f>monthly_data!$BY565*42/1000</f>
        <v>6591.1859999999997</v>
      </c>
      <c r="U31" s="106">
        <f>monthly_data!$BY577*42/1000</f>
        <v>5697.72</v>
      </c>
      <c r="V31" s="106">
        <f>monthly_data!$BY589*42/1000</f>
        <v>6237.2939999999999</v>
      </c>
      <c r="W31" s="106">
        <f>monthly_data!$BY601*42/1000</f>
        <v>6726.384</v>
      </c>
      <c r="X31" s="106">
        <f>monthly_data!$BY613*42/1000</f>
        <v>6449.0159999999996</v>
      </c>
      <c r="Y31" s="135">
        <f t="shared" si="29"/>
        <v>6514.9014101252142</v>
      </c>
      <c r="Z31" s="135">
        <f t="shared" si="22"/>
        <v>6654.948150636249</v>
      </c>
      <c r="AA31" s="135">
        <f t="shared" si="23"/>
        <v>6855.0919067515451</v>
      </c>
      <c r="AB31" s="135">
        <f t="shared" si="24"/>
        <v>6904.9956721176122</v>
      </c>
      <c r="AC31" s="135">
        <f t="shared" si="24"/>
        <v>6909.1397783223483</v>
      </c>
      <c r="AD31" s="135">
        <f t="shared" si="24"/>
        <v>6919.4989819636903</v>
      </c>
      <c r="AE31" s="135">
        <f t="shared" si="24"/>
        <v>6964.8151504660573</v>
      </c>
      <c r="AF31" s="135">
        <f t="shared" si="24"/>
        <v>7026.9695953658265</v>
      </c>
      <c r="AG31" s="135">
        <f t="shared" si="24"/>
        <v>6986.0779360050828</v>
      </c>
      <c r="AH31" s="135">
        <f t="shared" si="24"/>
        <v>6947.6439857499072</v>
      </c>
      <c r="AJ31" t="s">
        <v>223</v>
      </c>
      <c r="AK31" s="106">
        <f t="shared" si="25"/>
        <v>6741.1260000000002</v>
      </c>
      <c r="AL31" s="106">
        <f t="shared" si="26"/>
        <v>5697.72</v>
      </c>
      <c r="AM31" s="106">
        <f t="shared" si="27"/>
        <v>6398.7420000000002</v>
      </c>
      <c r="AN31" s="108">
        <f t="shared" si="28"/>
        <v>208.03277419354836</v>
      </c>
    </row>
    <row r="32" spans="1:40">
      <c r="A32" s="87" t="s">
        <v>178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06">
        <f>monthly_data!BY470*42/1000</f>
        <v>6404.3280000000004</v>
      </c>
      <c r="M32" s="106">
        <f>monthly_data!BY482*42/1000</f>
        <v>6359.5140000000001</v>
      </c>
      <c r="N32" s="106">
        <f>monthly_data!BY494*42/1000</f>
        <v>6668.34</v>
      </c>
      <c r="O32" s="106">
        <f>monthly_data!BY506*42/1000</f>
        <v>6930.3779999999997</v>
      </c>
      <c r="P32" s="106">
        <f>monthly_data!BY518*42/1000</f>
        <v>6564.81</v>
      </c>
      <c r="Q32" s="106">
        <f>monthly_data!BY530*42/1000</f>
        <v>6702.2340000000004</v>
      </c>
      <c r="R32" s="106">
        <f>monthly_data!$BY542*42/1000</f>
        <v>7041.0479999999998</v>
      </c>
      <c r="S32" s="106">
        <f>monthly_data!$BY554*42/1000</f>
        <v>7259.49</v>
      </c>
      <c r="T32" s="106">
        <f>monthly_data!$BY566*42/1000</f>
        <v>6912.8639999999996</v>
      </c>
      <c r="U32" s="106">
        <f>monthly_data!$BY578*42/1000</f>
        <v>6032.04</v>
      </c>
      <c r="V32" s="106">
        <f>monthly_data!$BY590*42/1000</f>
        <v>6413.9459999999999</v>
      </c>
      <c r="W32" s="106">
        <f>monthly_data!$BY602*42/1000</f>
        <v>6344.4780000000001</v>
      </c>
      <c r="X32" s="106">
        <f>monthly_data!$BY614*42/1000</f>
        <v>6827.1</v>
      </c>
      <c r="Y32" s="135">
        <f t="shared" ref="Y32" si="30">Y33-SUM(Y21:Y31)</f>
        <v>7740.2073043357523</v>
      </c>
      <c r="Z32" s="135">
        <f t="shared" ref="Z32" si="31">Z33-SUM(Z21:Z31)</f>
        <v>7019.5106537992833</v>
      </c>
      <c r="AA32" s="135">
        <f t="shared" ref="AA32:AH32" si="32">AA33-SUM(AA21:AA31)</f>
        <v>7225.9487582231231</v>
      </c>
      <c r="AB32" s="135">
        <f t="shared" si="32"/>
        <v>7311.9917410360795</v>
      </c>
      <c r="AC32" s="135">
        <f t="shared" si="32"/>
        <v>7477.4965109355398</v>
      </c>
      <c r="AD32" s="135">
        <f t="shared" si="32"/>
        <v>7519.8755563545274</v>
      </c>
      <c r="AE32" s="135">
        <f t="shared" si="32"/>
        <v>7434.8792990539368</v>
      </c>
      <c r="AF32" s="135">
        <f t="shared" si="32"/>
        <v>7518.4309038906213</v>
      </c>
      <c r="AG32" s="135">
        <f t="shared" si="32"/>
        <v>7496.5241862320254</v>
      </c>
      <c r="AH32" s="135">
        <f t="shared" si="32"/>
        <v>7474.7489101431711</v>
      </c>
      <c r="AJ32" t="s">
        <v>224</v>
      </c>
      <c r="AK32" s="106">
        <f>MAX(S32:W32)</f>
        <v>7259.49</v>
      </c>
      <c r="AL32" s="106">
        <f>MIN(S32:W32)</f>
        <v>6032.04</v>
      </c>
      <c r="AM32" s="106">
        <f>AVERAGE(S32:W32)</f>
        <v>6592.5635999999995</v>
      </c>
      <c r="AN32" s="108">
        <f t="shared" si="28"/>
        <v>220.22903225806454</v>
      </c>
    </row>
    <row r="33" spans="1:40">
      <c r="A33" s="109" t="s">
        <v>179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>
        <f>SUM(L21:L32)</f>
        <v>68863.45199999999</v>
      </c>
      <c r="M33" s="112">
        <f t="shared" ref="M33:X33" si="33">SUM(M21:M32)</f>
        <v>69940.751999999993</v>
      </c>
      <c r="N33" s="112">
        <f t="shared" si="33"/>
        <v>72554.705999999976</v>
      </c>
      <c r="O33" s="112">
        <f t="shared" si="33"/>
        <v>75366.185999999987</v>
      </c>
      <c r="P33" s="112">
        <f t="shared" si="33"/>
        <v>76388.760000000009</v>
      </c>
      <c r="Q33" s="112">
        <f t="shared" si="33"/>
        <v>74312.069999999992</v>
      </c>
      <c r="R33" s="112">
        <f t="shared" si="33"/>
        <v>77022.918000000005</v>
      </c>
      <c r="S33" s="112">
        <f t="shared" si="33"/>
        <v>79226.322</v>
      </c>
      <c r="T33" s="112">
        <f t="shared" si="33"/>
        <v>78750.63</v>
      </c>
      <c r="U33" s="112">
        <f t="shared" si="33"/>
        <v>72826.23599999999</v>
      </c>
      <c r="V33" s="112">
        <f t="shared" si="33"/>
        <v>71554.896000000008</v>
      </c>
      <c r="W33" s="112">
        <f t="shared" si="33"/>
        <v>76816.361999999994</v>
      </c>
      <c r="X33" s="112">
        <f t="shared" si="33"/>
        <v>75221.538</v>
      </c>
      <c r="Y33" s="136">
        <f t="shared" ref="Y33:AH33" si="34">Y5</f>
        <v>77100</v>
      </c>
      <c r="Z33" s="136">
        <f t="shared" si="34"/>
        <v>78600</v>
      </c>
      <c r="AA33" s="136">
        <f t="shared" si="34"/>
        <v>79800</v>
      </c>
      <c r="AB33" s="136">
        <f t="shared" si="34"/>
        <v>80600</v>
      </c>
      <c r="AC33" s="136">
        <f t="shared" si="34"/>
        <v>81000</v>
      </c>
      <c r="AD33" s="136">
        <f t="shared" si="34"/>
        <v>81200</v>
      </c>
      <c r="AE33" s="136">
        <f t="shared" si="34"/>
        <v>81600</v>
      </c>
      <c r="AF33" s="136">
        <f t="shared" si="34"/>
        <v>82200</v>
      </c>
      <c r="AG33" s="136">
        <f t="shared" si="34"/>
        <v>81800</v>
      </c>
      <c r="AH33" s="136">
        <f t="shared" si="34"/>
        <v>81400</v>
      </c>
      <c r="AJ33" t="s">
        <v>201</v>
      </c>
      <c r="AK33" s="106">
        <f>AVERAGE(AK21:AK32)</f>
        <v>6692.1154999999999</v>
      </c>
      <c r="AL33" s="106">
        <f t="shared" ref="AL33:AN33" si="35">AVERAGE(AL21:AL32)</f>
        <v>5779.3715000000002</v>
      </c>
      <c r="AM33" s="106">
        <f t="shared" si="35"/>
        <v>6319.5741000000007</v>
      </c>
      <c r="AN33" s="107">
        <f t="shared" si="35"/>
        <v>202.20843548387097</v>
      </c>
    </row>
    <row r="34" spans="1:40">
      <c r="X34" s="137">
        <f>X33/W33-1</f>
        <v>-2.0761514324252883E-2</v>
      </c>
      <c r="Y34" s="137">
        <f>Y33/X33-1</f>
        <v>2.497239553916053E-2</v>
      </c>
      <c r="Z34" s="137">
        <f>Z33/Y33-1</f>
        <v>1.9455252918287869E-2</v>
      </c>
    </row>
    <row r="35" spans="1:40" s="87" customFormat="1" ht="15.75" thickBot="1">
      <c r="A35" s="100" t="s">
        <v>242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98"/>
      <c r="Y35" s="98"/>
      <c r="Z35" s="98"/>
      <c r="AA35" s="98"/>
      <c r="AB35" s="98"/>
      <c r="AC35" s="98"/>
      <c r="AD35" s="102"/>
      <c r="AE35" s="102"/>
      <c r="AF35" s="102"/>
      <c r="AG35" s="102"/>
      <c r="AH35" s="102"/>
      <c r="AI35" s="113"/>
    </row>
    <row r="36" spans="1:40" s="100" customFormat="1" ht="15.75" thickBot="1">
      <c r="A36" s="103"/>
      <c r="B36" s="104">
        <v>2001</v>
      </c>
      <c r="C36" s="104">
        <v>2002</v>
      </c>
      <c r="D36" s="104">
        <v>2003</v>
      </c>
      <c r="E36" s="104">
        <v>2004</v>
      </c>
      <c r="F36" s="104">
        <v>2005</v>
      </c>
      <c r="G36" s="104">
        <v>2006</v>
      </c>
      <c r="H36" s="104">
        <v>2007</v>
      </c>
      <c r="I36" s="104">
        <v>2008</v>
      </c>
      <c r="J36" s="104">
        <v>2009</v>
      </c>
      <c r="K36" s="104">
        <v>2010</v>
      </c>
      <c r="L36" s="104">
        <v>2011</v>
      </c>
      <c r="M36" s="104">
        <f t="shared" ref="M36:AH36" si="36">M2</f>
        <v>2012</v>
      </c>
      <c r="N36" s="104">
        <f t="shared" si="36"/>
        <v>2013</v>
      </c>
      <c r="O36" s="104">
        <f t="shared" si="36"/>
        <v>2014</v>
      </c>
      <c r="P36" s="104">
        <f t="shared" si="36"/>
        <v>2015</v>
      </c>
      <c r="Q36" s="104">
        <f t="shared" si="36"/>
        <v>2016</v>
      </c>
      <c r="R36" s="104">
        <f t="shared" si="36"/>
        <v>2017</v>
      </c>
      <c r="S36" s="104">
        <f t="shared" si="36"/>
        <v>2018</v>
      </c>
      <c r="T36" s="104">
        <f t="shared" si="36"/>
        <v>2019</v>
      </c>
      <c r="U36" s="104">
        <f t="shared" si="36"/>
        <v>2020</v>
      </c>
      <c r="V36" s="104">
        <f t="shared" si="36"/>
        <v>2021</v>
      </c>
      <c r="W36" s="104">
        <f t="shared" si="36"/>
        <v>2022</v>
      </c>
      <c r="X36" s="104">
        <f t="shared" si="36"/>
        <v>2023</v>
      </c>
      <c r="Y36" s="104">
        <f t="shared" si="36"/>
        <v>2024</v>
      </c>
      <c r="Z36" s="104">
        <f t="shared" si="36"/>
        <v>2025</v>
      </c>
      <c r="AA36" s="104">
        <f t="shared" si="36"/>
        <v>2026</v>
      </c>
      <c r="AB36" s="104">
        <f t="shared" si="36"/>
        <v>2027</v>
      </c>
      <c r="AC36" s="104">
        <f t="shared" si="36"/>
        <v>2028</v>
      </c>
      <c r="AD36" s="104">
        <f t="shared" si="36"/>
        <v>2029</v>
      </c>
      <c r="AE36" s="104">
        <f t="shared" si="36"/>
        <v>2030</v>
      </c>
      <c r="AF36" s="104">
        <f t="shared" si="36"/>
        <v>2031</v>
      </c>
      <c r="AG36" s="104">
        <f t="shared" si="36"/>
        <v>2032</v>
      </c>
      <c r="AH36" s="104">
        <f t="shared" si="36"/>
        <v>2033</v>
      </c>
      <c r="AI36" s="102"/>
    </row>
    <row r="37" spans="1:40">
      <c r="A37" s="87" t="s">
        <v>167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>
        <f>(monthly_data!$CA471)*42/1000</f>
        <v>204.24600000000001</v>
      </c>
      <c r="N37" s="110">
        <f>(monthly_data!CA483)*42/1000</f>
        <v>277.87200000000001</v>
      </c>
      <c r="O37" s="110">
        <f>(monthly_data!CA495)*42/1000</f>
        <v>368.928</v>
      </c>
      <c r="P37" s="110">
        <f>(monthly_data!CA507)*42/1000</f>
        <v>454.14600000000002</v>
      </c>
      <c r="Q37" s="110">
        <f>(monthly_data!CA519)*42/1000</f>
        <v>223.31399999999999</v>
      </c>
      <c r="R37" s="110">
        <f>(monthly_data!CA531)*42/1000</f>
        <v>265.77600000000001</v>
      </c>
      <c r="S37" s="110">
        <f>monthly_data!$CA543*42/1000</f>
        <v>378.084</v>
      </c>
      <c r="T37" s="110">
        <f>monthly_data!$CA555*42/1000</f>
        <v>399.12599999999998</v>
      </c>
      <c r="U37" s="110">
        <f>monthly_data!$CA567*42/1000</f>
        <v>285.81</v>
      </c>
      <c r="V37" s="110">
        <f>monthly_data!$CA579*42/1000</f>
        <v>482.41199999999998</v>
      </c>
      <c r="W37" s="110">
        <f>monthly_data!$CA591*42/1000</f>
        <v>314.83199999999999</v>
      </c>
      <c r="X37" s="110">
        <f>monthly_data!$CA603*42/1000</f>
        <v>356.66399999999999</v>
      </c>
      <c r="Y37" s="110">
        <f>monthly_data!$CA615*42/1000</f>
        <v>240.786</v>
      </c>
      <c r="Z37" s="135">
        <f t="shared" ref="Z37:Z47" si="37">Z$49*(SUM(U37:Y37)/SUM(U$49:Y$49))</f>
        <v>566.2169074427195</v>
      </c>
      <c r="AA37" s="135">
        <f t="shared" ref="AA37:AA47" si="38">AA$49*(SUM(V37:Z37)/SUM(V$49:Z$49))</f>
        <v>461.80602637899642</v>
      </c>
      <c r="AB37" s="135">
        <f t="shared" ref="AB37:AH47" si="39">AB$49*(SUM(W37:AA37)/SUM(W$49:AA$49))</f>
        <v>374.49843790972238</v>
      </c>
      <c r="AC37" s="135">
        <f t="shared" si="39"/>
        <v>319.6435183559044</v>
      </c>
      <c r="AD37" s="135">
        <f t="shared" si="39"/>
        <v>287.03527166371521</v>
      </c>
      <c r="AE37" s="135">
        <f t="shared" si="39"/>
        <v>291.99448717489418</v>
      </c>
      <c r="AF37" s="135">
        <f t="shared" si="39"/>
        <v>262.07120760454183</v>
      </c>
      <c r="AG37" s="135">
        <f t="shared" si="39"/>
        <v>236.68328391760329</v>
      </c>
      <c r="AH37" s="135">
        <f t="shared" si="39"/>
        <v>206.90843955941418</v>
      </c>
    </row>
    <row r="38" spans="1:40">
      <c r="A38" s="87" t="s">
        <v>168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>
        <f>(monthly_data!$CA472)*42/1000</f>
        <v>173.334</v>
      </c>
      <c r="N38" s="110">
        <f>(monthly_data!CA484)*42/1000</f>
        <v>204.33</v>
      </c>
      <c r="O38" s="110">
        <f>(monthly_data!CA496)*42/1000</f>
        <v>396.18599999999998</v>
      </c>
      <c r="P38" s="110">
        <f>(monthly_data!CA508)*42/1000</f>
        <v>455.74200000000002</v>
      </c>
      <c r="Q38" s="110">
        <f>(monthly_data!CA520)*42/1000</f>
        <v>280.98</v>
      </c>
      <c r="R38" s="110">
        <f>(monthly_data!CA532)*42/1000</f>
        <v>237.51</v>
      </c>
      <c r="S38" s="110">
        <f>monthly_data!$CA544*42/1000</f>
        <v>334.06799999999998</v>
      </c>
      <c r="T38" s="110">
        <f>monthly_data!$CA556*42/1000</f>
        <v>424.07400000000001</v>
      </c>
      <c r="U38" s="110">
        <f>monthly_data!$CA568*42/1000</f>
        <v>191.52</v>
      </c>
      <c r="V38" s="110">
        <f>monthly_data!$CA580*42/1000</f>
        <v>414.62400000000002</v>
      </c>
      <c r="W38" s="110">
        <f>monthly_data!$CA592*42/1000</f>
        <v>469.43400000000003</v>
      </c>
      <c r="X38" s="110">
        <f>monthly_data!$CA604*42/1000</f>
        <v>352.84199999999998</v>
      </c>
      <c r="Y38" s="110">
        <f>monthly_data!$CA616*42/1000</f>
        <v>214.32599999999999</v>
      </c>
      <c r="Z38" s="135">
        <f t="shared" si="37"/>
        <v>553.49499902047103</v>
      </c>
      <c r="AA38" s="135">
        <f t="shared" si="38"/>
        <v>472.12356004665605</v>
      </c>
      <c r="AB38" s="135">
        <f t="shared" si="39"/>
        <v>398.02938421374739</v>
      </c>
      <c r="AC38" s="135">
        <f t="shared" si="39"/>
        <v>318.18026072964125</v>
      </c>
      <c r="AD38" s="135">
        <f t="shared" si="39"/>
        <v>286.04141662417919</v>
      </c>
      <c r="AE38" s="135">
        <f t="shared" si="39"/>
        <v>294.70769573237777</v>
      </c>
      <c r="AF38" s="135">
        <f t="shared" si="39"/>
        <v>267.22275921679068</v>
      </c>
      <c r="AG38" s="135">
        <f t="shared" si="39"/>
        <v>241.14465046299685</v>
      </c>
      <c r="AH38" s="135">
        <f t="shared" si="39"/>
        <v>208.36968309746939</v>
      </c>
    </row>
    <row r="39" spans="1:40">
      <c r="A39" s="87" t="s">
        <v>169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>
        <f>(monthly_data!$CA473)*42/1000</f>
        <v>177.95400000000001</v>
      </c>
      <c r="N39" s="110">
        <f>(monthly_data!CA485)*42/1000</f>
        <v>189.63</v>
      </c>
      <c r="O39" s="110">
        <f>(monthly_data!CA497)*42/1000</f>
        <v>422.26799999999997</v>
      </c>
      <c r="P39" s="110">
        <f>(monthly_data!CA509)*42/1000</f>
        <v>421.21800000000002</v>
      </c>
      <c r="Q39" s="110">
        <f>(monthly_data!CA521)*42/1000</f>
        <v>195.678</v>
      </c>
      <c r="R39" s="110">
        <f>(monthly_data!CA533)*42/1000</f>
        <v>144.858</v>
      </c>
      <c r="S39" s="110">
        <f>monthly_data!$CA545*42/1000</f>
        <v>204.41399999999999</v>
      </c>
      <c r="T39" s="110">
        <f>monthly_data!$CA557*42/1000</f>
        <v>233.81399999999999</v>
      </c>
      <c r="U39" s="110">
        <f>monthly_data!$CA569*42/1000</f>
        <v>223.06200000000001</v>
      </c>
      <c r="V39" s="110">
        <f>monthly_data!$CA581*42/1000</f>
        <v>612.48599999999999</v>
      </c>
      <c r="W39" s="110">
        <f>monthly_data!$CA593*42/1000</f>
        <v>245.91</v>
      </c>
      <c r="X39" s="110">
        <f>monthly_data!$CA605*42/1000</f>
        <v>202.14599999999999</v>
      </c>
      <c r="Y39" s="110">
        <f>monthly_data!$CA617*42/1000</f>
        <v>235.03200000000001</v>
      </c>
      <c r="Z39" s="135">
        <f t="shared" si="37"/>
        <v>511.6782700018457</v>
      </c>
      <c r="AA39" s="135">
        <f t="shared" si="38"/>
        <v>425.61851551042639</v>
      </c>
      <c r="AB39" s="135">
        <f t="shared" si="39"/>
        <v>312.75061997177033</v>
      </c>
      <c r="AC39" s="135">
        <f t="shared" si="39"/>
        <v>269.659192372083</v>
      </c>
      <c r="AD39" s="135">
        <f t="shared" si="39"/>
        <v>256.58913459216927</v>
      </c>
      <c r="AE39" s="135">
        <f t="shared" si="39"/>
        <v>258.14678464646499</v>
      </c>
      <c r="AF39" s="135">
        <f t="shared" si="39"/>
        <v>230.0160143792356</v>
      </c>
      <c r="AG39" s="135">
        <f t="shared" si="39"/>
        <v>204.60410250243231</v>
      </c>
      <c r="AH39" s="135">
        <f t="shared" si="39"/>
        <v>180.49200421869028</v>
      </c>
    </row>
    <row r="40" spans="1:40">
      <c r="A40" s="87" t="s">
        <v>170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>
        <f>(monthly_data!$CA474)*42/1000</f>
        <v>123.354</v>
      </c>
      <c r="N40" s="110">
        <f>(monthly_data!CA486)*42/1000</f>
        <v>299.67</v>
      </c>
      <c r="O40" s="110">
        <f>(monthly_data!CA498)*42/1000</f>
        <v>227.64</v>
      </c>
      <c r="P40" s="110">
        <f>(monthly_data!CA510)*42/1000</f>
        <v>306.34800000000001</v>
      </c>
      <c r="Q40" s="110">
        <f>(monthly_data!CA522)*42/1000</f>
        <v>222.43199999999999</v>
      </c>
      <c r="R40" s="110">
        <f>(monthly_data!CA534)*42/1000</f>
        <v>148.26</v>
      </c>
      <c r="S40" s="110">
        <f>monthly_data!$CA546*42/1000</f>
        <v>114.744</v>
      </c>
      <c r="T40" s="110">
        <f>monthly_data!$CA558*42/1000</f>
        <v>153.048</v>
      </c>
      <c r="U40" s="110">
        <f>monthly_data!$CA570*42/1000</f>
        <v>290.80799999999999</v>
      </c>
      <c r="V40" s="110">
        <f>monthly_data!$CA582*42/1000</f>
        <v>249.27</v>
      </c>
      <c r="W40" s="110">
        <f>monthly_data!$CA594*42/1000</f>
        <v>162.036</v>
      </c>
      <c r="X40" s="110">
        <f>monthly_data!$CA606*42/1000</f>
        <v>196.14</v>
      </c>
      <c r="Y40" s="135">
        <f t="shared" ref="Y40:Y47" si="40">Y$49*(SUM(T40:X40)/SUM(T$49:X$49))</f>
        <v>542.58003611353308</v>
      </c>
      <c r="Z40" s="135">
        <f t="shared" si="37"/>
        <v>485.46423695892196</v>
      </c>
      <c r="AA40" s="135">
        <f t="shared" si="38"/>
        <v>385.16755724209401</v>
      </c>
      <c r="AB40" s="135">
        <f t="shared" si="39"/>
        <v>341.89573186234321</v>
      </c>
      <c r="AC40" s="135">
        <f t="shared" si="39"/>
        <v>311.85628193149739</v>
      </c>
      <c r="AD40" s="135">
        <f t="shared" si="39"/>
        <v>302.24471305358531</v>
      </c>
      <c r="AE40" s="135">
        <f t="shared" si="39"/>
        <v>265.46158437382195</v>
      </c>
      <c r="AF40" s="135">
        <f t="shared" si="39"/>
        <v>242.68344858241682</v>
      </c>
      <c r="AG40" s="135">
        <f t="shared" si="39"/>
        <v>225.72185463639829</v>
      </c>
      <c r="AH40" s="135">
        <f t="shared" si="39"/>
        <v>199.58522179396763</v>
      </c>
    </row>
    <row r="41" spans="1:40">
      <c r="A41" s="87" t="s">
        <v>171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>
        <f>(monthly_data!$CA475)*42/1000</f>
        <v>146.916</v>
      </c>
      <c r="N41" s="110">
        <f>(monthly_data!CA487)*42/1000</f>
        <v>218.86199999999999</v>
      </c>
      <c r="O41" s="110">
        <f>(monthly_data!CA499)*42/1000</f>
        <v>257.75400000000002</v>
      </c>
      <c r="P41" s="110">
        <f>(monthly_data!CA511)*42/1000</f>
        <v>249.31200000000001</v>
      </c>
      <c r="Q41" s="110">
        <f>(monthly_data!CA523)*42/1000</f>
        <v>160.31399999999999</v>
      </c>
      <c r="R41" s="110">
        <f>(monthly_data!CA535)*42/1000</f>
        <v>162.33000000000001</v>
      </c>
      <c r="S41" s="110">
        <f>monthly_data!$CA547*42/1000</f>
        <v>158.42400000000001</v>
      </c>
      <c r="T41" s="110">
        <f>monthly_data!$CA559*42/1000</f>
        <v>208.572</v>
      </c>
      <c r="U41" s="110">
        <f>monthly_data!$CA571*42/1000</f>
        <v>247.12799999999999</v>
      </c>
      <c r="V41" s="110">
        <f>monthly_data!$CA583*42/1000</f>
        <v>354.39600000000002</v>
      </c>
      <c r="W41" s="110">
        <f>monthly_data!$CA595*42/1000</f>
        <v>233.85599999999999</v>
      </c>
      <c r="X41" s="110">
        <f>monthly_data!$CA607*42/1000</f>
        <v>218.988</v>
      </c>
      <c r="Y41" s="135">
        <f t="shared" si="40"/>
        <v>651.80702672421955</v>
      </c>
      <c r="Z41" s="135">
        <f t="shared" si="37"/>
        <v>574.86631819251056</v>
      </c>
      <c r="AA41" s="135">
        <f t="shared" si="38"/>
        <v>478.99852882155767</v>
      </c>
      <c r="AB41" s="135">
        <f t="shared" si="39"/>
        <v>416.61535196230352</v>
      </c>
      <c r="AC41" s="135">
        <f t="shared" si="39"/>
        <v>374.19208152692732</v>
      </c>
      <c r="AD41" s="135">
        <f t="shared" si="39"/>
        <v>365.05121945308048</v>
      </c>
      <c r="AE41" s="135">
        <f t="shared" si="39"/>
        <v>321.13628719089252</v>
      </c>
      <c r="AF41" s="135">
        <f t="shared" si="39"/>
        <v>295.4559924424974</v>
      </c>
      <c r="AG41" s="135">
        <f t="shared" si="39"/>
        <v>273.25285210542063</v>
      </c>
      <c r="AH41" s="135">
        <f t="shared" si="39"/>
        <v>241.2089934549503</v>
      </c>
    </row>
    <row r="42" spans="1:40">
      <c r="A42" s="87" t="s">
        <v>172</v>
      </c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>
        <f>(monthly_data!$CA476)*42/1000</f>
        <v>109.872</v>
      </c>
      <c r="N42" s="110">
        <f>(monthly_data!CA488)*42/1000</f>
        <v>151.91399999999999</v>
      </c>
      <c r="O42" s="110">
        <f>(monthly_data!CA500)*42/1000</f>
        <v>151.87200000000001</v>
      </c>
      <c r="P42" s="110">
        <f>(monthly_data!CA512)*42/1000</f>
        <v>166.74</v>
      </c>
      <c r="Q42" s="110">
        <f>(monthly_data!CA524)*42/1000</f>
        <v>111.342</v>
      </c>
      <c r="R42" s="110">
        <f>(monthly_data!CA536)*42/1000</f>
        <v>132.38399999999999</v>
      </c>
      <c r="S42" s="110">
        <f>monthly_data!$CA548*42/1000</f>
        <v>113.44199999999999</v>
      </c>
      <c r="T42" s="110">
        <f>monthly_data!$CA560*42/1000</f>
        <v>158.55000000000001</v>
      </c>
      <c r="U42" s="110">
        <f>monthly_data!$CA572*42/1000</f>
        <v>194.08199999999999</v>
      </c>
      <c r="V42" s="110">
        <f>monthly_data!$CA584*42/1000</f>
        <v>302.69400000000002</v>
      </c>
      <c r="W42" s="110">
        <f>monthly_data!$CA596*42/1000</f>
        <v>147</v>
      </c>
      <c r="X42" s="110">
        <f>monthly_data!$CA608*42/1000</f>
        <v>173.922</v>
      </c>
      <c r="Y42" s="135">
        <f t="shared" si="40"/>
        <v>503.84444726231334</v>
      </c>
      <c r="Z42" s="135">
        <f t="shared" si="37"/>
        <v>445.27098866956004</v>
      </c>
      <c r="AA42" s="135">
        <f t="shared" si="38"/>
        <v>370.3874827929925</v>
      </c>
      <c r="AB42" s="135">
        <f t="shared" si="39"/>
        <v>316.61856796942703</v>
      </c>
      <c r="AC42" s="135">
        <f t="shared" si="39"/>
        <v>289.28847514615535</v>
      </c>
      <c r="AD42" s="135">
        <f t="shared" si="39"/>
        <v>281.54579630685799</v>
      </c>
      <c r="AE42" s="135">
        <f t="shared" si="39"/>
        <v>247.51098635698858</v>
      </c>
      <c r="AF42" s="135">
        <f t="shared" si="39"/>
        <v>227.38576171552828</v>
      </c>
      <c r="AG42" s="135">
        <f t="shared" si="39"/>
        <v>210.02889473880592</v>
      </c>
      <c r="AH42" s="135">
        <f t="shared" si="39"/>
        <v>185.93256133754409</v>
      </c>
    </row>
    <row r="43" spans="1:40">
      <c r="A43" s="87" t="s">
        <v>173</v>
      </c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>
        <f>(monthly_data!$CA477)*42/1000</f>
        <v>151.95599999999999</v>
      </c>
      <c r="N43" s="110">
        <f>(monthly_data!CA489)*42/1000</f>
        <v>139.398</v>
      </c>
      <c r="O43" s="110">
        <f>(monthly_data!CA501)*42/1000</f>
        <v>167.328</v>
      </c>
      <c r="P43" s="110">
        <f>(monthly_data!CA513)*42/1000</f>
        <v>185.76599999999999</v>
      </c>
      <c r="Q43" s="110">
        <f>(monthly_data!CA525)*42/1000</f>
        <v>159.726</v>
      </c>
      <c r="R43" s="110">
        <f>(monthly_data!CA537)*42/1000</f>
        <v>148.76400000000001</v>
      </c>
      <c r="S43" s="110">
        <f>monthly_data!$CA549*42/1000</f>
        <v>187.404</v>
      </c>
      <c r="T43" s="110">
        <f>monthly_data!$CA561*42/1000</f>
        <v>226.38</v>
      </c>
      <c r="U43" s="110">
        <f>monthly_data!$CA573*42/1000</f>
        <v>150.48599999999999</v>
      </c>
      <c r="V43" s="110">
        <f>monthly_data!$CA585*42/1000</f>
        <v>214.32599999999999</v>
      </c>
      <c r="W43" s="110">
        <f>monthly_data!$CA597*42/1000</f>
        <v>220.92</v>
      </c>
      <c r="X43" s="110">
        <f>monthly_data!$CA609*42/1000</f>
        <v>155.61000000000001</v>
      </c>
      <c r="Y43" s="135">
        <f>Y$49*(SUM(T43:X43)/SUM(T$49:X$49))</f>
        <v>499.44415373304759</v>
      </c>
      <c r="Z43" s="135">
        <f t="shared" si="37"/>
        <v>418.06154508675542</v>
      </c>
      <c r="AA43" s="135">
        <f t="shared" si="38"/>
        <v>355.22803194698093</v>
      </c>
      <c r="AB43" s="135">
        <f t="shared" si="39"/>
        <v>318.32454791359805</v>
      </c>
      <c r="AC43" s="135">
        <f t="shared" si="39"/>
        <v>279.15959292692321</v>
      </c>
      <c r="AD43" s="135">
        <f t="shared" si="39"/>
        <v>273.47525481050224</v>
      </c>
      <c r="AE43" s="135">
        <f t="shared" si="39"/>
        <v>238.95659810643571</v>
      </c>
      <c r="AF43" s="135">
        <f t="shared" si="39"/>
        <v>221.31238629187527</v>
      </c>
      <c r="AG43" s="135">
        <f t="shared" si="39"/>
        <v>205.23104192427238</v>
      </c>
      <c r="AH43" s="135">
        <f t="shared" si="39"/>
        <v>180.36165561252977</v>
      </c>
    </row>
    <row r="44" spans="1:40">
      <c r="A44" s="87" t="s">
        <v>174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>
        <f>(monthly_data!$CA478)*42/1000</f>
        <v>145.27799999999999</v>
      </c>
      <c r="N44" s="110">
        <f>(monthly_data!CA490)*42/1000</f>
        <v>160.10400000000001</v>
      </c>
      <c r="O44" s="110">
        <f>(monthly_data!CA502)*42/1000</f>
        <v>186.22800000000001</v>
      </c>
      <c r="P44" s="110">
        <f>(monthly_data!CA514)*42/1000</f>
        <v>182.11199999999999</v>
      </c>
      <c r="Q44" s="110">
        <f>(monthly_data!CA526)*42/1000</f>
        <v>213.024</v>
      </c>
      <c r="R44" s="110">
        <f>(monthly_data!CA538)*42/1000</f>
        <v>149.982</v>
      </c>
      <c r="S44" s="110">
        <f>monthly_data!$CA550*42/1000</f>
        <v>229.19399999999999</v>
      </c>
      <c r="T44" s="110">
        <f>monthly_data!$CA562*42/1000</f>
        <v>200.214</v>
      </c>
      <c r="U44" s="110">
        <f>monthly_data!$CA574*42/1000</f>
        <v>189.29400000000001</v>
      </c>
      <c r="V44" s="110">
        <f>monthly_data!$CA586*42/1000</f>
        <v>334.06799999999998</v>
      </c>
      <c r="W44" s="110">
        <f>monthly_data!$CA598*42/1000</f>
        <v>229.19399999999999</v>
      </c>
      <c r="X44" s="110">
        <f>monthly_data!$CA610*42/1000</f>
        <v>173.79599999999999</v>
      </c>
      <c r="Y44" s="135">
        <f t="shared" si="40"/>
        <v>581.4240065787742</v>
      </c>
      <c r="Z44" s="135">
        <f t="shared" si="37"/>
        <v>508.01918207952303</v>
      </c>
      <c r="AA44" s="135">
        <f t="shared" si="38"/>
        <v>430.15174881699272</v>
      </c>
      <c r="AB44" s="135">
        <f t="shared" si="39"/>
        <v>371.07829974698956</v>
      </c>
      <c r="AC44" s="135">
        <f t="shared" si="39"/>
        <v>329.95182823640539</v>
      </c>
      <c r="AD44" s="135">
        <f t="shared" si="39"/>
        <v>324.71404259065673</v>
      </c>
      <c r="AE44" s="135">
        <f t="shared" si="39"/>
        <v>285.41326734174339</v>
      </c>
      <c r="AF44" s="135">
        <f t="shared" si="39"/>
        <v>263.02758269959895</v>
      </c>
      <c r="AG44" s="135">
        <f t="shared" si="39"/>
        <v>242.68685734487326</v>
      </c>
      <c r="AH44" s="135">
        <f t="shared" si="39"/>
        <v>214.06966420014365</v>
      </c>
    </row>
    <row r="45" spans="1:40">
      <c r="A45" s="87" t="s">
        <v>175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>
        <f>(monthly_data!$CA479)*42/1000</f>
        <v>108.024</v>
      </c>
      <c r="N45" s="110">
        <f>(monthly_data!CA491)*42/1000</f>
        <v>166.36199999999999</v>
      </c>
      <c r="O45" s="110">
        <f>(monthly_data!CA503)*42/1000</f>
        <v>158.256</v>
      </c>
      <c r="P45" s="110">
        <f>(monthly_data!CA515)*42/1000</f>
        <v>129.696</v>
      </c>
      <c r="Q45" s="110">
        <f>(monthly_data!CA527)*42/1000</f>
        <v>189.16800000000001</v>
      </c>
      <c r="R45" s="110">
        <f>(monthly_data!CA539)*42/1000</f>
        <v>151.03200000000001</v>
      </c>
      <c r="S45" s="110">
        <f>monthly_data!$CA551*42/1000</f>
        <v>216.17400000000001</v>
      </c>
      <c r="T45" s="110">
        <f>monthly_data!$CA563*42/1000</f>
        <v>148.512</v>
      </c>
      <c r="U45" s="110">
        <f>monthly_data!$CA575*42/1000</f>
        <v>226.548</v>
      </c>
      <c r="V45" s="110">
        <f>monthly_data!$CA587*42/1000</f>
        <v>282.74400000000003</v>
      </c>
      <c r="W45" s="110">
        <f>monthly_data!$CA599*42/1000</f>
        <v>159.81</v>
      </c>
      <c r="X45" s="110">
        <f>monthly_data!$CA611*42/1000</f>
        <v>149.77199999999999</v>
      </c>
      <c r="Y45" s="135">
        <f t="shared" si="40"/>
        <v>499.2707431506135</v>
      </c>
      <c r="Z45" s="135">
        <f t="shared" si="37"/>
        <v>444.12619073124375</v>
      </c>
      <c r="AA45" s="135">
        <f t="shared" si="38"/>
        <v>361.67176337448745</v>
      </c>
      <c r="AB45" s="135">
        <f t="shared" si="39"/>
        <v>311.64388305776805</v>
      </c>
      <c r="AC45" s="135">
        <f t="shared" si="39"/>
        <v>282.32671444902974</v>
      </c>
      <c r="AD45" s="135">
        <f t="shared" si="39"/>
        <v>277.68970819649724</v>
      </c>
      <c r="AE45" s="135">
        <f t="shared" si="39"/>
        <v>243.78286128712489</v>
      </c>
      <c r="AF45" s="135">
        <f t="shared" si="39"/>
        <v>223.12061089642006</v>
      </c>
      <c r="AG45" s="135">
        <f t="shared" si="39"/>
        <v>206.36191575755447</v>
      </c>
      <c r="AH45" s="135">
        <f t="shared" si="39"/>
        <v>182.60436831009272</v>
      </c>
    </row>
    <row r="46" spans="1:40">
      <c r="A46" s="87" t="s">
        <v>176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>
        <f>(monthly_data!$CA480)*42/1000</f>
        <v>114.324</v>
      </c>
      <c r="N46" s="110">
        <f>(monthly_data!CA492)*42/1000</f>
        <v>167.202</v>
      </c>
      <c r="O46" s="110">
        <f>(monthly_data!CA504)*42/1000</f>
        <v>156.53399999999999</v>
      </c>
      <c r="P46" s="110">
        <f>(monthly_data!CA516)*42/1000</f>
        <v>131.376</v>
      </c>
      <c r="Q46" s="110">
        <f>(monthly_data!CA528)*42/1000</f>
        <v>97.397999999999996</v>
      </c>
      <c r="R46" s="110">
        <f>(monthly_data!CA540)*42/1000</f>
        <v>173.83799999999999</v>
      </c>
      <c r="S46" s="110">
        <f>monthly_data!$CA552*42/1000</f>
        <v>210.042</v>
      </c>
      <c r="T46" s="110">
        <f>monthly_data!$CA564*42/1000</f>
        <v>241.75200000000001</v>
      </c>
      <c r="U46" s="110">
        <f>monthly_data!$CA576*42/1000</f>
        <v>364.56</v>
      </c>
      <c r="V46" s="110">
        <f>monthly_data!$CA588*42/1000</f>
        <v>378.33600000000001</v>
      </c>
      <c r="W46" s="110">
        <f>monthly_data!$CA600*42/1000</f>
        <v>137.42400000000001</v>
      </c>
      <c r="X46" s="110">
        <f>monthly_data!$CA612*42/1000</f>
        <v>137.71799999999999</v>
      </c>
      <c r="Y46" s="135">
        <f t="shared" si="40"/>
        <v>650.18130251389982</v>
      </c>
      <c r="Z46" s="135">
        <f t="shared" si="37"/>
        <v>562.07778999970878</v>
      </c>
      <c r="AA46" s="135">
        <f t="shared" si="38"/>
        <v>439.39203443223249</v>
      </c>
      <c r="AB46" s="135">
        <f t="shared" si="39"/>
        <v>371.89052279279986</v>
      </c>
      <c r="AC46" s="135">
        <f t="shared" si="39"/>
        <v>345.42126366790603</v>
      </c>
      <c r="AD46" s="135">
        <f t="shared" si="39"/>
        <v>346.40495431888189</v>
      </c>
      <c r="AE46" s="135">
        <f t="shared" si="39"/>
        <v>300.13091951171009</v>
      </c>
      <c r="AF46" s="135">
        <f t="shared" si="39"/>
        <v>272.38228658347788</v>
      </c>
      <c r="AG46" s="135">
        <f t="shared" si="39"/>
        <v>252.25211680986129</v>
      </c>
      <c r="AH46" s="135">
        <f t="shared" si="39"/>
        <v>224.55227826416726</v>
      </c>
    </row>
    <row r="47" spans="1:40">
      <c r="A47" s="87" t="s">
        <v>177</v>
      </c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>
        <f>(monthly_data!$CA481)*42/1000</f>
        <v>237.3</v>
      </c>
      <c r="N47" s="110">
        <f>(monthly_data!CA493)*42/1000</f>
        <v>182.154</v>
      </c>
      <c r="O47" s="110">
        <f>(monthly_data!CA505)*42/1000</f>
        <v>171.864</v>
      </c>
      <c r="P47" s="110">
        <f>(monthly_data!CA517)*42/1000</f>
        <v>189.37799999999999</v>
      </c>
      <c r="Q47" s="110">
        <f>(monthly_data!CA529)*42/1000</f>
        <v>182.11199999999999</v>
      </c>
      <c r="R47" s="110">
        <f>(monthly_data!CA541)*42/1000</f>
        <v>226.8</v>
      </c>
      <c r="S47" s="110">
        <f>monthly_data!$CA553*42/1000</f>
        <v>285.55799999999999</v>
      </c>
      <c r="T47" s="110">
        <f>monthly_data!$CA565*42/1000</f>
        <v>325.62599999999998</v>
      </c>
      <c r="U47" s="110">
        <f>monthly_data!$CA577*42/1000</f>
        <v>384.25799999999998</v>
      </c>
      <c r="V47" s="110">
        <f>monthly_data!$CA589*42/1000</f>
        <v>416.05200000000002</v>
      </c>
      <c r="W47" s="110">
        <f>monthly_data!$CA601*42/1000</f>
        <v>286.81799999999998</v>
      </c>
      <c r="X47" s="110">
        <f>monthly_data!$CA613*42/1000</f>
        <v>162.45599999999999</v>
      </c>
      <c r="Y47" s="135">
        <f t="shared" si="40"/>
        <v>812.97048677392274</v>
      </c>
      <c r="Z47" s="135">
        <f t="shared" si="37"/>
        <v>694.9422452628711</v>
      </c>
      <c r="AA47" s="135">
        <f t="shared" si="38"/>
        <v>558.91164883157978</v>
      </c>
      <c r="AB47" s="135">
        <f t="shared" si="39"/>
        <v>485.63238532122807</v>
      </c>
      <c r="AC47" s="135">
        <f t="shared" si="39"/>
        <v>433.90834532942318</v>
      </c>
      <c r="AD47" s="135">
        <f t="shared" si="39"/>
        <v>436.68546442023478</v>
      </c>
      <c r="AE47" s="135">
        <f t="shared" si="39"/>
        <v>379.31959773337076</v>
      </c>
      <c r="AF47" s="135">
        <f t="shared" si="39"/>
        <v>346.58152560082419</v>
      </c>
      <c r="AG47" s="135">
        <f t="shared" si="39"/>
        <v>320.99462825411666</v>
      </c>
      <c r="AH47" s="135">
        <f t="shared" si="39"/>
        <v>283.91075509559914</v>
      </c>
    </row>
    <row r="48" spans="1:40">
      <c r="A48" s="87" t="s">
        <v>178</v>
      </c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>
        <f>(monthly_data!$CA482)*42/1000</f>
        <v>246.96</v>
      </c>
      <c r="N48" s="110">
        <f>(monthly_data!CA494)*42/1000</f>
        <v>214.03200000000001</v>
      </c>
      <c r="O48" s="110">
        <f>(monthly_data!CA506)*42/1000</f>
        <v>319.24200000000002</v>
      </c>
      <c r="P48" s="110">
        <f>(monthly_data!CA518)*42/1000</f>
        <v>201.642</v>
      </c>
      <c r="Q48" s="110">
        <f>(monthly_data!CA530)*42/1000</f>
        <v>217.476</v>
      </c>
      <c r="R48" s="110">
        <f>(monthly_data!CA542)*42/1000</f>
        <v>367.416</v>
      </c>
      <c r="S48" s="110">
        <f>monthly_data!$CA554*42/1000</f>
        <v>246.75</v>
      </c>
      <c r="T48" s="110">
        <f>monthly_data!$CA566*42/1000</f>
        <v>383.54399999999998</v>
      </c>
      <c r="U48" s="110">
        <f>monthly_data!$CA578*42/1000</f>
        <v>603.58199999999999</v>
      </c>
      <c r="V48" s="110">
        <f>monthly_data!$CA590*42/1000</f>
        <v>379.596</v>
      </c>
      <c r="W48" s="110">
        <f>monthly_data!$CA602*42/1000</f>
        <v>275.142</v>
      </c>
      <c r="X48" s="110">
        <f>monthly_data!$CA614*42/1000</f>
        <v>293.32799999999997</v>
      </c>
      <c r="Y48" s="135">
        <f>Y49-SUM(Y37:Y47)</f>
        <v>9668.3337971496767</v>
      </c>
      <c r="Z48" s="135">
        <f t="shared" ref="Z48:AE48" si="41">Z49-SUM(Z37:Z47)</f>
        <v>8135.781326553868</v>
      </c>
      <c r="AA48" s="135">
        <f t="shared" si="41"/>
        <v>7460.543101805004</v>
      </c>
      <c r="AB48" s="135">
        <f t="shared" si="41"/>
        <v>7481.022267278302</v>
      </c>
      <c r="AC48" s="135">
        <f t="shared" si="41"/>
        <v>7346.4124453281038</v>
      </c>
      <c r="AD48" s="135">
        <f t="shared" si="41"/>
        <v>5862.5230239696393</v>
      </c>
      <c r="AE48" s="135">
        <f t="shared" si="41"/>
        <v>5273.4389305441755</v>
      </c>
      <c r="AF48" s="135">
        <f>AF$49*(SUM(AA48:AE48)/SUM(AA$49:AE$49))</f>
        <v>5048.7404239867928</v>
      </c>
      <c r="AG48" s="135">
        <f>AG$49*(SUM(AB48:AF48)/SUM(AB$49:AF$49))</f>
        <v>4781.0378015456654</v>
      </c>
      <c r="AH48" s="135">
        <f>AH$49*(SUM(AC48:AG48)/SUM(AC$49:AG$49))</f>
        <v>4192.0043750554314</v>
      </c>
    </row>
    <row r="49" spans="1:34">
      <c r="A49" s="109" t="s">
        <v>179</v>
      </c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>
        <f t="shared" ref="M49:W49" si="42">SUM(M37:M48)</f>
        <v>1939.5180000000003</v>
      </c>
      <c r="N49" s="112">
        <f t="shared" si="42"/>
        <v>2371.5300000000002</v>
      </c>
      <c r="O49" s="112">
        <f t="shared" si="42"/>
        <v>2984.1</v>
      </c>
      <c r="P49" s="112">
        <f t="shared" si="42"/>
        <v>3073.4760000000006</v>
      </c>
      <c r="Q49" s="112">
        <f t="shared" si="42"/>
        <v>2252.9639999999999</v>
      </c>
      <c r="R49" s="112">
        <f t="shared" si="42"/>
        <v>2308.9499999999998</v>
      </c>
      <c r="S49" s="112">
        <f t="shared" si="42"/>
        <v>2678.2979999999998</v>
      </c>
      <c r="T49" s="112">
        <f t="shared" si="42"/>
        <v>3103.2119999999995</v>
      </c>
      <c r="U49" s="112">
        <f t="shared" si="42"/>
        <v>3351.1379999999995</v>
      </c>
      <c r="V49" s="112">
        <f t="shared" si="42"/>
        <v>4421.0039999999999</v>
      </c>
      <c r="W49" s="112">
        <f t="shared" si="42"/>
        <v>2882.3760000000002</v>
      </c>
      <c r="X49" s="112">
        <f t="shared" ref="X49:AH49" si="43">X6</f>
        <v>15500</v>
      </c>
      <c r="Y49" s="136">
        <f t="shared" si="43"/>
        <v>15100</v>
      </c>
      <c r="Z49" s="136">
        <f t="shared" si="43"/>
        <v>13900</v>
      </c>
      <c r="AA49" s="136">
        <f t="shared" si="43"/>
        <v>12200</v>
      </c>
      <c r="AB49" s="136">
        <f t="shared" si="43"/>
        <v>11500</v>
      </c>
      <c r="AC49" s="136">
        <f t="shared" si="43"/>
        <v>10900</v>
      </c>
      <c r="AD49" s="136">
        <f t="shared" si="43"/>
        <v>9300</v>
      </c>
      <c r="AE49" s="136">
        <f t="shared" si="43"/>
        <v>8400</v>
      </c>
      <c r="AF49" s="136">
        <f t="shared" si="43"/>
        <v>7900</v>
      </c>
      <c r="AG49" s="136">
        <f t="shared" si="43"/>
        <v>7400</v>
      </c>
      <c r="AH49" s="136">
        <f t="shared" si="43"/>
        <v>6500</v>
      </c>
    </row>
    <row r="51" spans="1:34" ht="15.75" thickBot="1">
      <c r="A51" s="118" t="s">
        <v>243</v>
      </c>
    </row>
    <row r="52" spans="1:34" ht="15.75" thickBot="1">
      <c r="A52" s="119"/>
      <c r="B52" s="104">
        <f>B36</f>
        <v>2001</v>
      </c>
      <c r="C52" s="104">
        <f t="shared" ref="C52:AH52" si="44">C36</f>
        <v>2002</v>
      </c>
      <c r="D52" s="104">
        <f t="shared" si="44"/>
        <v>2003</v>
      </c>
      <c r="E52" s="104">
        <f t="shared" si="44"/>
        <v>2004</v>
      </c>
      <c r="F52" s="104">
        <f t="shared" si="44"/>
        <v>2005</v>
      </c>
      <c r="G52" s="104">
        <f t="shared" si="44"/>
        <v>2006</v>
      </c>
      <c r="H52" s="104">
        <f t="shared" si="44"/>
        <v>2007</v>
      </c>
      <c r="I52" s="104">
        <f t="shared" si="44"/>
        <v>2008</v>
      </c>
      <c r="J52" s="104">
        <f t="shared" si="44"/>
        <v>2009</v>
      </c>
      <c r="K52" s="104">
        <f t="shared" si="44"/>
        <v>2010</v>
      </c>
      <c r="L52" s="104">
        <f t="shared" si="44"/>
        <v>2011</v>
      </c>
      <c r="M52" s="104">
        <f t="shared" si="44"/>
        <v>2012</v>
      </c>
      <c r="N52" s="104">
        <f t="shared" si="44"/>
        <v>2013</v>
      </c>
      <c r="O52" s="104">
        <f t="shared" si="44"/>
        <v>2014</v>
      </c>
      <c r="P52" s="104">
        <f t="shared" si="44"/>
        <v>2015</v>
      </c>
      <c r="Q52" s="104">
        <f t="shared" si="44"/>
        <v>2016</v>
      </c>
      <c r="R52" s="104">
        <f t="shared" si="44"/>
        <v>2017</v>
      </c>
      <c r="S52" s="104">
        <f t="shared" si="44"/>
        <v>2018</v>
      </c>
      <c r="T52" s="104">
        <f t="shared" si="44"/>
        <v>2019</v>
      </c>
      <c r="U52" s="104">
        <f t="shared" si="44"/>
        <v>2020</v>
      </c>
      <c r="V52" s="104">
        <f t="shared" si="44"/>
        <v>2021</v>
      </c>
      <c r="W52" s="104">
        <f t="shared" si="44"/>
        <v>2022</v>
      </c>
      <c r="X52" s="104">
        <f t="shared" si="44"/>
        <v>2023</v>
      </c>
      <c r="Y52" s="104">
        <f t="shared" si="44"/>
        <v>2024</v>
      </c>
      <c r="Z52" s="104">
        <f t="shared" si="44"/>
        <v>2025</v>
      </c>
      <c r="AA52" s="104">
        <f t="shared" si="44"/>
        <v>2026</v>
      </c>
      <c r="AB52" s="104">
        <f t="shared" si="44"/>
        <v>2027</v>
      </c>
      <c r="AC52" s="104">
        <f t="shared" si="44"/>
        <v>2028</v>
      </c>
      <c r="AD52" s="104">
        <f t="shared" si="44"/>
        <v>2029</v>
      </c>
      <c r="AE52" s="104">
        <f t="shared" si="44"/>
        <v>2030</v>
      </c>
      <c r="AF52" s="104">
        <f t="shared" si="44"/>
        <v>2031</v>
      </c>
      <c r="AG52" s="104">
        <f t="shared" si="44"/>
        <v>2032</v>
      </c>
      <c r="AH52" s="104">
        <f t="shared" si="44"/>
        <v>2033</v>
      </c>
    </row>
    <row r="53" spans="1:34">
      <c r="A53" s="138" t="s">
        <v>167</v>
      </c>
      <c r="B53" s="139">
        <f>monthly_data!$CC339*42/1000</f>
        <v>87.233999999999995</v>
      </c>
      <c r="C53" s="139">
        <f>monthly_data!$CC351*42/1000</f>
        <v>142.464</v>
      </c>
      <c r="D53" s="139">
        <f>monthly_data!$CC363*42/1000</f>
        <v>155.44200000000001</v>
      </c>
      <c r="E53" s="139">
        <f>monthly_data!$CC375*42/1000</f>
        <v>94.122</v>
      </c>
      <c r="F53" s="139">
        <f>monthly_data!$CC387*42/1000</f>
        <v>63.881999999999998</v>
      </c>
      <c r="G53" s="139">
        <f>monthly_data!$CC399*42/1000</f>
        <v>160.18799999999999</v>
      </c>
      <c r="H53" s="139">
        <f>monthly_data!$CC411*42/1000</f>
        <v>329.57400000000001</v>
      </c>
      <c r="I53" s="139">
        <f>monthly_data!$CC423*42/1000</f>
        <v>446.54399999999998</v>
      </c>
      <c r="J53" s="139">
        <f>monthly_data!$CC435*42/1000</f>
        <v>841.93200000000002</v>
      </c>
      <c r="K53" s="139">
        <f>monthly_data!$CC447*42/1000</f>
        <v>509.29199999999997</v>
      </c>
      <c r="L53" s="139">
        <f>monthly_data!$CC459*42/1000</f>
        <v>956.50800000000004</v>
      </c>
      <c r="M53" s="139">
        <f>monthly_data!$CC471*42/1000</f>
        <v>1136.058</v>
      </c>
      <c r="N53" s="139">
        <f>monthly_data!$CC483*42/1000</f>
        <v>1007.832</v>
      </c>
      <c r="O53" s="139">
        <f>monthly_data!$CC495*42/1000</f>
        <v>1390.1579999999999</v>
      </c>
      <c r="P53" s="139">
        <f>monthly_data!$CC507*42/1000</f>
        <v>1459.4159999999999</v>
      </c>
      <c r="Q53" s="139">
        <f>monthly_data!$CC519*42/1000</f>
        <v>1196.1179999999999</v>
      </c>
      <c r="R53" s="139">
        <f>monthly_data!$CC531*42/1000</f>
        <v>1504.7339999999999</v>
      </c>
      <c r="S53" s="139">
        <f>monthly_data!$CC543*42/1000</f>
        <v>1300.278</v>
      </c>
      <c r="T53" s="139">
        <f>monthly_data!$CC555*42/1000</f>
        <v>1666.0139999999999</v>
      </c>
      <c r="U53" s="139">
        <f>monthly_data!$CC567*42/1000</f>
        <v>1609.944</v>
      </c>
      <c r="V53" s="139">
        <f>monthly_data!$CC579*42/1000</f>
        <v>1173.8579999999999</v>
      </c>
      <c r="W53" s="139">
        <f>monthly_data!$CC591*42/1000</f>
        <v>1219.848</v>
      </c>
      <c r="X53" s="139">
        <f>monthly_data!$CC603*42/1000</f>
        <v>1223.712</v>
      </c>
      <c r="Y53" s="139">
        <f>monthly_data!$CC615*42/1000</f>
        <v>1336.7760000000001</v>
      </c>
      <c r="Z53" s="101"/>
      <c r="AA53" s="101"/>
      <c r="AB53" s="101"/>
      <c r="AC53" s="101"/>
      <c r="AD53" s="101"/>
      <c r="AE53" s="101"/>
      <c r="AF53" s="101"/>
      <c r="AG53" s="101"/>
      <c r="AH53" s="101"/>
    </row>
    <row r="54" spans="1:34">
      <c r="A54" s="138" t="s">
        <v>168</v>
      </c>
      <c r="B54" s="139">
        <f>monthly_data!$CC340*42/1000</f>
        <v>90.257999999999996</v>
      </c>
      <c r="C54" s="139">
        <f>monthly_data!$CC352*42/1000</f>
        <v>328.35599999999999</v>
      </c>
      <c r="D54" s="139">
        <f>monthly_data!$CC364*42/1000</f>
        <v>155.48400000000001</v>
      </c>
      <c r="E54" s="139">
        <f>monthly_data!$CC376*42/1000</f>
        <v>104.79</v>
      </c>
      <c r="F54" s="139">
        <f>monthly_data!$CC388*42/1000</f>
        <v>120.372</v>
      </c>
      <c r="G54" s="139">
        <f>monthly_data!$CC400*42/1000</f>
        <v>183.58199999999999</v>
      </c>
      <c r="H54" s="139">
        <f>monthly_data!$CC412*42/1000</f>
        <v>237.93</v>
      </c>
      <c r="I54" s="139">
        <f>monthly_data!$CC424*42/1000</f>
        <v>495.93599999999998</v>
      </c>
      <c r="J54" s="139">
        <f>monthly_data!$CC436*42/1000</f>
        <v>633.40200000000004</v>
      </c>
      <c r="K54" s="139">
        <f>monthly_data!$CC448*42/1000</f>
        <v>457.63200000000001</v>
      </c>
      <c r="L54" s="139">
        <f>monthly_data!$CC460*42/1000</f>
        <v>783.97199999999998</v>
      </c>
      <c r="M54" s="139">
        <f>monthly_data!$CC472*42/1000</f>
        <v>1128.96</v>
      </c>
      <c r="N54" s="139">
        <f>monthly_data!$CC484*42/1000</f>
        <v>979.81799999999998</v>
      </c>
      <c r="O54" s="139">
        <f>monthly_data!$CC496*42/1000</f>
        <v>1002.54</v>
      </c>
      <c r="P54" s="139">
        <f>monthly_data!$CC508*42/1000</f>
        <v>1109.22</v>
      </c>
      <c r="Q54" s="139">
        <f>monthly_data!$CC520*42/1000</f>
        <v>1091.2439999999999</v>
      </c>
      <c r="R54" s="139">
        <f>monthly_data!$CC532*42/1000</f>
        <v>1454.376</v>
      </c>
      <c r="S54" s="139">
        <f>monthly_data!$CC544*42/1000</f>
        <v>1216.068</v>
      </c>
      <c r="T54" s="139">
        <f>monthly_data!$CC556*42/1000</f>
        <v>1364.328</v>
      </c>
      <c r="U54" s="139">
        <f>monthly_data!$CC568*42/1000</f>
        <v>1601.6279999999999</v>
      </c>
      <c r="V54" s="139">
        <f>monthly_data!$CC580*42/1000</f>
        <v>1037.19</v>
      </c>
      <c r="W54" s="139">
        <f>monthly_data!$CC592*42/1000</f>
        <v>1038.8699999999999</v>
      </c>
      <c r="X54" s="139">
        <f>monthly_data!$CC604*42/1000</f>
        <v>1073.8979999999999</v>
      </c>
      <c r="Y54" s="139">
        <f>monthly_data!$CC616*42/1000</f>
        <v>1157.604</v>
      </c>
      <c r="Z54" s="101"/>
      <c r="AA54" s="101"/>
      <c r="AB54" s="101"/>
      <c r="AC54" s="101"/>
      <c r="AD54" s="101"/>
      <c r="AE54" s="101"/>
      <c r="AF54" s="101"/>
      <c r="AG54" s="101"/>
      <c r="AH54" s="101"/>
    </row>
    <row r="55" spans="1:34">
      <c r="A55" s="138" t="s">
        <v>169</v>
      </c>
      <c r="B55" s="139">
        <f>monthly_data!$CC341*42/1000</f>
        <v>97.986000000000004</v>
      </c>
      <c r="C55" s="139">
        <f>monthly_data!$CC353*42/1000</f>
        <v>87.78</v>
      </c>
      <c r="D55" s="139">
        <f>monthly_data!$CC365*42/1000</f>
        <v>209.03399999999999</v>
      </c>
      <c r="E55" s="139">
        <f>monthly_data!$CC377*42/1000</f>
        <v>129.27600000000001</v>
      </c>
      <c r="F55" s="139">
        <f>monthly_data!$CC389*42/1000</f>
        <v>215.124</v>
      </c>
      <c r="G55" s="139">
        <f>monthly_data!$CC401*42/1000</f>
        <v>156.03</v>
      </c>
      <c r="H55" s="139">
        <f>monthly_data!$CC413*42/1000</f>
        <v>201.22200000000001</v>
      </c>
      <c r="I55" s="139">
        <f>monthly_data!$CC425*42/1000</f>
        <v>466.62</v>
      </c>
      <c r="J55" s="139">
        <f>monthly_data!$CC437*42/1000</f>
        <v>721.98</v>
      </c>
      <c r="K55" s="139">
        <f>monthly_data!$CC449*42/1000</f>
        <v>591.06600000000003</v>
      </c>
      <c r="L55" s="139">
        <f>monthly_data!$CC461*42/1000</f>
        <v>847.64400000000001</v>
      </c>
      <c r="M55" s="139">
        <f>monthly_data!$CC473*42/1000</f>
        <v>1186.2059999999999</v>
      </c>
      <c r="N55" s="139">
        <f>monthly_data!$CC485*42/1000</f>
        <v>1051.3440000000001</v>
      </c>
      <c r="O55" s="139">
        <f>monthly_data!$CC497*42/1000</f>
        <v>1320.144</v>
      </c>
      <c r="P55" s="139">
        <f>monthly_data!$CC509*42/1000</f>
        <v>1325.058</v>
      </c>
      <c r="Q55" s="139">
        <f>monthly_data!$CC521*42/1000</f>
        <v>1549.422</v>
      </c>
      <c r="R55" s="139">
        <f>monthly_data!$CC533*42/1000</f>
        <v>1552.5719999999999</v>
      </c>
      <c r="S55" s="139">
        <f>monthly_data!$CC545*42/1000</f>
        <v>1468.6559999999999</v>
      </c>
      <c r="T55" s="139">
        <f>monthly_data!$CC557*42/1000</f>
        <v>1526.8679999999999</v>
      </c>
      <c r="U55" s="139">
        <f>monthly_data!$CC569*42/1000</f>
        <v>1857.5340000000001</v>
      </c>
      <c r="V55" s="139">
        <f>monthly_data!$CC581*42/1000</f>
        <v>1101.4079999999999</v>
      </c>
      <c r="W55" s="139">
        <f>monthly_data!$CC593*42/1000</f>
        <v>1564.7940000000001</v>
      </c>
      <c r="X55" s="139">
        <f>monthly_data!$CC605*42/1000</f>
        <v>1486.086</v>
      </c>
      <c r="Y55" s="139">
        <f>monthly_data!$CC617*42/1000</f>
        <v>1467.3119999999999</v>
      </c>
      <c r="Z55" s="101"/>
      <c r="AA55" s="101"/>
      <c r="AB55" s="101"/>
      <c r="AC55" s="101"/>
      <c r="AD55" s="101"/>
      <c r="AE55" s="101"/>
      <c r="AF55" s="101"/>
      <c r="AG55" s="101"/>
      <c r="AH55" s="101"/>
    </row>
    <row r="56" spans="1:34">
      <c r="A56" s="138" t="s">
        <v>170</v>
      </c>
      <c r="B56" s="139">
        <f>monthly_data!$CC342*42/1000</f>
        <v>134.232</v>
      </c>
      <c r="C56" s="139">
        <f>monthly_data!$CC354*42/1000</f>
        <v>86.141999999999996</v>
      </c>
      <c r="D56" s="139">
        <f>monthly_data!$CC366*42/1000</f>
        <v>175.18199999999999</v>
      </c>
      <c r="E56" s="139">
        <f>monthly_data!$CC378*42/1000</f>
        <v>115.33199999999999</v>
      </c>
      <c r="F56" s="139">
        <f>monthly_data!$CC390*42/1000</f>
        <v>241.542</v>
      </c>
      <c r="G56" s="139">
        <f>monthly_data!$CC402*42/1000</f>
        <v>252.042</v>
      </c>
      <c r="H56" s="139">
        <f>monthly_data!$CC414*42/1000</f>
        <v>210.672</v>
      </c>
      <c r="I56" s="139">
        <f>monthly_data!$CC426*42/1000</f>
        <v>595.09799999999996</v>
      </c>
      <c r="J56" s="139">
        <f>monthly_data!$CC438*42/1000</f>
        <v>862.30200000000002</v>
      </c>
      <c r="K56" s="139">
        <f>monthly_data!$CC450*42/1000</f>
        <v>863.18399999999997</v>
      </c>
      <c r="L56" s="139">
        <f>monthly_data!$CC462*42/1000</f>
        <v>1100.0219999999999</v>
      </c>
      <c r="M56" s="139">
        <f>monthly_data!$CC474*42/1000</f>
        <v>1358.5319999999999</v>
      </c>
      <c r="N56" s="139">
        <f>monthly_data!$CC486*42/1000</f>
        <v>1062.4739999999999</v>
      </c>
      <c r="O56" s="139">
        <f>monthly_data!$CC498*42/1000</f>
        <v>1463.7</v>
      </c>
      <c r="P56" s="139">
        <f>monthly_data!$CC510*42/1000</f>
        <v>1536.15</v>
      </c>
      <c r="Q56" s="139">
        <f>monthly_data!$CC522*42/1000</f>
        <v>1615.992</v>
      </c>
      <c r="R56" s="139">
        <f>monthly_data!$CC534*42/1000</f>
        <v>1707.4259999999999</v>
      </c>
      <c r="S56" s="139">
        <f>monthly_data!$CC546*42/1000</f>
        <v>1844.598</v>
      </c>
      <c r="T56" s="139">
        <f>monthly_data!$CC558*42/1000</f>
        <v>1589.1959999999999</v>
      </c>
      <c r="U56" s="139">
        <f>monthly_data!$CC570*42/1000</f>
        <v>1315.9860000000001</v>
      </c>
      <c r="V56" s="139">
        <f>monthly_data!$CC582*42/1000</f>
        <v>1311.492</v>
      </c>
      <c r="W56" s="139">
        <f>monthly_data!$CC594*42/1000</f>
        <v>1596.63</v>
      </c>
      <c r="X56" s="139">
        <f>monthly_data!$CC606*42/1000</f>
        <v>1285.0740000000001</v>
      </c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</row>
    <row r="57" spans="1:34">
      <c r="A57" s="138" t="s">
        <v>171</v>
      </c>
      <c r="B57" s="139">
        <f>monthly_data!$CC343*42/1000</f>
        <v>189.63</v>
      </c>
      <c r="C57" s="139">
        <f>monthly_data!$CC355*42/1000</f>
        <v>95.843999999999994</v>
      </c>
      <c r="D57" s="139">
        <f>monthly_data!$CC367*42/1000</f>
        <v>210.50399999999999</v>
      </c>
      <c r="E57" s="139">
        <f>monthly_data!$CC379*42/1000</f>
        <v>130.41</v>
      </c>
      <c r="F57" s="139">
        <f>monthly_data!$CC391*42/1000</f>
        <v>258.762</v>
      </c>
      <c r="G57" s="139">
        <f>monthly_data!$CC403*42/1000</f>
        <v>297.77999999999997</v>
      </c>
      <c r="H57" s="139">
        <f>monthly_data!$CC415*42/1000</f>
        <v>295.17599999999999</v>
      </c>
      <c r="I57" s="139">
        <f>monthly_data!$CC427*42/1000</f>
        <v>643.69200000000001</v>
      </c>
      <c r="J57" s="139">
        <f>monthly_data!$CC439*42/1000</f>
        <v>844.15800000000002</v>
      </c>
      <c r="K57" s="139">
        <f>monthly_data!$CC451*42/1000</f>
        <v>983.976</v>
      </c>
      <c r="L57" s="139">
        <f>monthly_data!$CC463*42/1000</f>
        <v>947.89800000000002</v>
      </c>
      <c r="M57" s="139">
        <f>monthly_data!$CC475*42/1000</f>
        <v>1370.1659999999999</v>
      </c>
      <c r="N57" s="139">
        <f>monthly_data!$CC487*42/1000</f>
        <v>1462.566</v>
      </c>
      <c r="O57" s="139">
        <f>monthly_data!$CC499*42/1000</f>
        <v>1512.3779999999999</v>
      </c>
      <c r="P57" s="139">
        <f>monthly_data!$CC511*42/1000</f>
        <v>1667.1479999999999</v>
      </c>
      <c r="Q57" s="139">
        <f>monthly_data!$CC523*42/1000</f>
        <v>1608.0119999999999</v>
      </c>
      <c r="R57" s="139">
        <f>monthly_data!$CC535*42/1000</f>
        <v>1966.146</v>
      </c>
      <c r="S57" s="139">
        <f>monthly_data!$CC547*42/1000</f>
        <v>1786.134</v>
      </c>
      <c r="T57" s="139">
        <f>monthly_data!$CC559*42/1000</f>
        <v>1676.0940000000001</v>
      </c>
      <c r="U57" s="139">
        <f>monthly_data!$CC571*42/1000</f>
        <v>1040.424</v>
      </c>
      <c r="V57" s="139">
        <f>monthly_data!$CC583*42/1000</f>
        <v>1354.5840000000001</v>
      </c>
      <c r="W57" s="139">
        <f>monthly_data!$CC595*42/1000</f>
        <v>1538.3340000000001</v>
      </c>
      <c r="X57" s="139">
        <f>monthly_data!$CC607*42/1000</f>
        <v>1523.172</v>
      </c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</row>
    <row r="58" spans="1:34">
      <c r="A58" s="138" t="s">
        <v>172</v>
      </c>
      <c r="B58" s="139">
        <f>monthly_data!$CC344*42/1000</f>
        <v>151.74600000000001</v>
      </c>
      <c r="C58" s="139">
        <f>monthly_data!$CC356*42/1000</f>
        <v>116.80200000000001</v>
      </c>
      <c r="D58" s="139">
        <f>monthly_data!$CC368*42/1000</f>
        <v>126.92400000000001</v>
      </c>
      <c r="E58" s="139">
        <f>monthly_data!$CC380*42/1000</f>
        <v>206.01</v>
      </c>
      <c r="F58" s="139">
        <f>monthly_data!$CC392*42/1000</f>
        <v>286.14600000000002</v>
      </c>
      <c r="G58" s="139">
        <f>monthly_data!$CC404*42/1000</f>
        <v>235.15799999999999</v>
      </c>
      <c r="H58" s="139">
        <f>monthly_data!$CC416*42/1000</f>
        <v>316.72199999999998</v>
      </c>
      <c r="I58" s="139">
        <f>monthly_data!$CC428*42/1000</f>
        <v>939.28800000000001</v>
      </c>
      <c r="J58" s="139">
        <f>monthly_data!$CC440*42/1000</f>
        <v>728.78399999999999</v>
      </c>
      <c r="K58" s="139">
        <f>monthly_data!$CC452*42/1000</f>
        <v>804.42600000000004</v>
      </c>
      <c r="L58" s="139">
        <f>monthly_data!$CC464*42/1000</f>
        <v>914.38199999999995</v>
      </c>
      <c r="M58" s="139">
        <f>monthly_data!$CC476*42/1000</f>
        <v>1368.864</v>
      </c>
      <c r="N58" s="139">
        <f>monthly_data!$CC488*42/1000</f>
        <v>1628.3820000000001</v>
      </c>
      <c r="O58" s="139">
        <f>monthly_data!$CC500*42/1000</f>
        <v>1474.452</v>
      </c>
      <c r="P58" s="139">
        <f>monthly_data!$CC512*42/1000</f>
        <v>1524.306</v>
      </c>
      <c r="Q58" s="139">
        <f>monthly_data!$CC524*42/1000</f>
        <v>1818.39</v>
      </c>
      <c r="R58" s="139">
        <f>monthly_data!$CC536*42/1000</f>
        <v>2021.502</v>
      </c>
      <c r="S58" s="139">
        <f>monthly_data!$CC548*42/1000</f>
        <v>1848.672</v>
      </c>
      <c r="T58" s="139">
        <f>monthly_data!$CC560*42/1000</f>
        <v>1909.992</v>
      </c>
      <c r="U58" s="139">
        <f>monthly_data!$CC572*42/1000</f>
        <v>1644.636</v>
      </c>
      <c r="V58" s="139">
        <f>monthly_data!$CC584*42/1000</f>
        <v>1584.3240000000001</v>
      </c>
      <c r="W58" s="139">
        <f>monthly_data!$CC596*42/1000</f>
        <v>1524.768</v>
      </c>
      <c r="X58" s="139">
        <f>monthly_data!$CC608*42/1000</f>
        <v>1504.3140000000001</v>
      </c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</row>
    <row r="59" spans="1:34">
      <c r="A59" s="138" t="s">
        <v>173</v>
      </c>
      <c r="B59" s="139">
        <f>monthly_data!$CC345*42/1000</f>
        <v>146.958</v>
      </c>
      <c r="C59" s="139">
        <f>monthly_data!$CC357*42/1000</f>
        <v>57.834000000000003</v>
      </c>
      <c r="D59" s="139">
        <f>monthly_data!$CC369*42/1000</f>
        <v>134.02199999999999</v>
      </c>
      <c r="E59" s="139">
        <f>monthly_data!$CC381*42/1000</f>
        <v>147.54599999999999</v>
      </c>
      <c r="F59" s="139">
        <f>monthly_data!$CC393*42/1000</f>
        <v>246.12</v>
      </c>
      <c r="G59" s="139">
        <f>monthly_data!$CC405*42/1000</f>
        <v>300.846</v>
      </c>
      <c r="H59" s="139">
        <f>monthly_data!$CC417*42/1000</f>
        <v>318.48599999999999</v>
      </c>
      <c r="I59" s="139">
        <f>monthly_data!$CC429*42/1000</f>
        <v>936.68399999999997</v>
      </c>
      <c r="J59" s="139">
        <f>monthly_data!$CC441*42/1000</f>
        <v>809.63400000000001</v>
      </c>
      <c r="K59" s="139">
        <f>monthly_data!$CC453*42/1000</f>
        <v>1003.506</v>
      </c>
      <c r="L59" s="139">
        <f>monthly_data!$CC465*42/1000</f>
        <v>1237.4880000000001</v>
      </c>
      <c r="M59" s="139">
        <f>monthly_data!$CC477*42/1000</f>
        <v>1361.85</v>
      </c>
      <c r="N59" s="139">
        <f>monthly_data!$CC489*42/1000</f>
        <v>1758.5820000000001</v>
      </c>
      <c r="O59" s="139">
        <f>monthly_data!$CC501*42/1000</f>
        <v>1571.3040000000001</v>
      </c>
      <c r="P59" s="139">
        <f>monthly_data!$CC513*42/1000</f>
        <v>1729.3920000000001</v>
      </c>
      <c r="Q59" s="139">
        <f>monthly_data!$CC525*42/1000</f>
        <v>1761.9</v>
      </c>
      <c r="R59" s="139">
        <f>monthly_data!$CC537*42/1000</f>
        <v>2279.0459999999998</v>
      </c>
      <c r="S59" s="139">
        <f>monthly_data!$CC549*42/1000</f>
        <v>1695.7919999999999</v>
      </c>
      <c r="T59" s="139">
        <f>monthly_data!$CC561*42/1000</f>
        <v>1788.864</v>
      </c>
      <c r="U59" s="139">
        <f>monthly_data!$CC573*42/1000</f>
        <v>1785.84</v>
      </c>
      <c r="V59" s="139">
        <f>monthly_data!$CC585*42/1000</f>
        <v>1668.4079999999999</v>
      </c>
      <c r="W59" s="139">
        <f>monthly_data!$CC597*42/1000</f>
        <v>1994.6220000000001</v>
      </c>
      <c r="X59" s="139">
        <f>monthly_data!$CC609*42/1000</f>
        <v>1588.566</v>
      </c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</row>
    <row r="60" spans="1:34">
      <c r="A60" s="138" t="s">
        <v>174</v>
      </c>
      <c r="B60" s="139">
        <f>monthly_data!$CC346*42/1000</f>
        <v>181.65</v>
      </c>
      <c r="C60" s="139">
        <f>monthly_data!$CC358*42/1000</f>
        <v>154.77000000000001</v>
      </c>
      <c r="D60" s="139">
        <f>monthly_data!$CC370*42/1000</f>
        <v>104.202</v>
      </c>
      <c r="E60" s="139">
        <f>monthly_data!$CC382*42/1000</f>
        <v>156.744</v>
      </c>
      <c r="F60" s="139">
        <f>monthly_data!$CC394*42/1000</f>
        <v>212.60400000000001</v>
      </c>
      <c r="G60" s="139">
        <f>monthly_data!$CC406*42/1000</f>
        <v>248.136</v>
      </c>
      <c r="H60" s="139">
        <f>monthly_data!$CC418*42/1000</f>
        <v>409.45800000000003</v>
      </c>
      <c r="I60" s="139">
        <f>monthly_data!$CC430*42/1000</f>
        <v>1105.818</v>
      </c>
      <c r="J60" s="139">
        <f>monthly_data!$CC442*42/1000</f>
        <v>803.04</v>
      </c>
      <c r="K60" s="139">
        <f>monthly_data!$CC454*42/1000</f>
        <v>912.82799999999997</v>
      </c>
      <c r="L60" s="139">
        <f>monthly_data!$CC466*42/1000</f>
        <v>1087.212</v>
      </c>
      <c r="M60" s="139">
        <f>monthly_data!$CC478*42/1000</f>
        <v>1274.7840000000001</v>
      </c>
      <c r="N60" s="139">
        <f>monthly_data!$CC490*42/1000</f>
        <v>1703.0160000000001</v>
      </c>
      <c r="O60" s="139">
        <f>monthly_data!$CC502*42/1000</f>
        <v>1681.3440000000001</v>
      </c>
      <c r="P60" s="139">
        <f>monthly_data!$CC514*42/1000</f>
        <v>1388.1420000000001</v>
      </c>
      <c r="Q60" s="139">
        <f>monthly_data!$CC526*42/1000</f>
        <v>1577.394</v>
      </c>
      <c r="R60" s="139">
        <f>monthly_data!$CC538*42/1000</f>
        <v>1797.39</v>
      </c>
      <c r="S60" s="139">
        <f>monthly_data!$CC550*42/1000</f>
        <v>1663.41</v>
      </c>
      <c r="T60" s="139">
        <f>monthly_data!$CC562*42/1000</f>
        <v>1992.06</v>
      </c>
      <c r="U60" s="139">
        <f>monthly_data!$CC574*42/1000</f>
        <v>1752.0719999999999</v>
      </c>
      <c r="V60" s="139">
        <f>monthly_data!$CC586*42/1000</f>
        <v>1509.732</v>
      </c>
      <c r="W60" s="139">
        <f>monthly_data!$CC598*42/1000</f>
        <v>1771.8119999999999</v>
      </c>
      <c r="X60" s="139">
        <f>monthly_data!$CC610*42/1000</f>
        <v>1489.2360000000001</v>
      </c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</row>
    <row r="61" spans="1:34">
      <c r="A61" s="138" t="s">
        <v>175</v>
      </c>
      <c r="B61" s="139">
        <f>monthly_data!$CC347*42/1000</f>
        <v>190.97399999999999</v>
      </c>
      <c r="C61" s="139">
        <f>monthly_data!$CC359*42/1000</f>
        <v>159.55799999999999</v>
      </c>
      <c r="D61" s="139">
        <f>monthly_data!$CC371*42/1000</f>
        <v>53.802</v>
      </c>
      <c r="E61" s="139">
        <f>monthly_data!$CC383*42/1000</f>
        <v>110.586</v>
      </c>
      <c r="F61" s="139">
        <f>monthly_data!$CC395*42/1000</f>
        <v>135.786</v>
      </c>
      <c r="G61" s="139">
        <f>monthly_data!$CC407*42/1000</f>
        <v>574.22400000000005</v>
      </c>
      <c r="H61" s="139">
        <f>monthly_data!$CC419*42/1000</f>
        <v>350.49</v>
      </c>
      <c r="I61" s="139">
        <f>monthly_data!$CC431*42/1000</f>
        <v>393.96</v>
      </c>
      <c r="J61" s="139">
        <f>monthly_data!$CC443*42/1000</f>
        <v>765.19799999999998</v>
      </c>
      <c r="K61" s="139">
        <f>monthly_data!$CC455*42/1000</f>
        <v>963.31200000000001</v>
      </c>
      <c r="L61" s="139">
        <f>monthly_data!$CC467*42/1000</f>
        <v>1172.8499999999999</v>
      </c>
      <c r="M61" s="139">
        <f>monthly_data!$CC479*42/1000</f>
        <v>1264.1579999999999</v>
      </c>
      <c r="N61" s="139">
        <f>monthly_data!$CC491*42/1000</f>
        <v>1702.806</v>
      </c>
      <c r="O61" s="139">
        <f>monthly_data!$CC503*42/1000</f>
        <v>1382.1780000000001</v>
      </c>
      <c r="P61" s="139">
        <f>monthly_data!$CC515*42/1000</f>
        <v>1608.768</v>
      </c>
      <c r="Q61" s="139">
        <f>monthly_data!$CC527*42/1000</f>
        <v>1526.28</v>
      </c>
      <c r="R61" s="139">
        <f>monthly_data!$CC539*42/1000</f>
        <v>1507.17</v>
      </c>
      <c r="S61" s="139">
        <f>monthly_data!$CC551*42/1000</f>
        <v>1635.69</v>
      </c>
      <c r="T61" s="139">
        <f>monthly_data!$CC563*42/1000</f>
        <v>1798.0619999999999</v>
      </c>
      <c r="U61" s="139">
        <f>monthly_data!$CC575*42/1000</f>
        <v>1491.5039999999999</v>
      </c>
      <c r="V61" s="139">
        <f>monthly_data!$CC587*42/1000</f>
        <v>1174.53</v>
      </c>
      <c r="W61" s="139">
        <f>monthly_data!$CC599*42/1000</f>
        <v>1649.55</v>
      </c>
      <c r="X61" s="139">
        <f>monthly_data!$CC611*42/1000</f>
        <v>1317.162</v>
      </c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</row>
    <row r="62" spans="1:34">
      <c r="A62" s="138" t="s">
        <v>176</v>
      </c>
      <c r="B62" s="139">
        <f>monthly_data!$CC348*42/1000</f>
        <v>129.36000000000001</v>
      </c>
      <c r="C62" s="139">
        <f>monthly_data!$CC360*42/1000</f>
        <v>125.37</v>
      </c>
      <c r="D62" s="139">
        <f>monthly_data!$CC372*42/1000</f>
        <v>80.682000000000002</v>
      </c>
      <c r="E62" s="139">
        <f>monthly_data!$CC384*42/1000</f>
        <v>131.41800000000001</v>
      </c>
      <c r="F62" s="139">
        <f>monthly_data!$CC396*42/1000</f>
        <v>142.29599999999999</v>
      </c>
      <c r="G62" s="139">
        <f>monthly_data!$CC408*42/1000</f>
        <v>378.63</v>
      </c>
      <c r="H62" s="139">
        <f>monthly_data!$CC420*42/1000</f>
        <v>360.90600000000001</v>
      </c>
      <c r="I62" s="139">
        <f>monthly_data!$CC432*42/1000</f>
        <v>549.27599999999995</v>
      </c>
      <c r="J62" s="139">
        <f>monthly_data!$CC444*42/1000</f>
        <v>725.76</v>
      </c>
      <c r="K62" s="139">
        <f>monthly_data!$CC456*42/1000</f>
        <v>1138.4939999999999</v>
      </c>
      <c r="L62" s="139">
        <f>monthly_data!$CC468*42/1000</f>
        <v>1388.6880000000001</v>
      </c>
      <c r="M62" s="139">
        <f>monthly_data!$CC480*42/1000</f>
        <v>1363.7819999999999</v>
      </c>
      <c r="N62" s="139">
        <f>monthly_data!$CC492*42/1000</f>
        <v>1762.2360000000001</v>
      </c>
      <c r="O62" s="139">
        <f>monthly_data!$CC504*42/1000</f>
        <v>1209.7260000000001</v>
      </c>
      <c r="P62" s="139">
        <f>monthly_data!$CC516*42/1000</f>
        <v>1496.88</v>
      </c>
      <c r="Q62" s="139">
        <f>monthly_data!$CC528*42/1000</f>
        <v>1307.838</v>
      </c>
      <c r="R62" s="139">
        <f>monthly_data!$CC540*42/1000</f>
        <v>1839.768</v>
      </c>
      <c r="S62" s="139">
        <f>monthly_data!$CC552*42/1000</f>
        <v>1737.33</v>
      </c>
      <c r="T62" s="139">
        <f>monthly_data!$CC564*42/1000</f>
        <v>1568.7840000000001</v>
      </c>
      <c r="U62" s="139">
        <f>monthly_data!$CC576*42/1000</f>
        <v>1367.4780000000001</v>
      </c>
      <c r="V62" s="139">
        <f>monthly_data!$CC588*42/1000</f>
        <v>1337.952</v>
      </c>
      <c r="W62" s="139">
        <f>monthly_data!$CC600*42/1000</f>
        <v>1329.72</v>
      </c>
      <c r="X62" s="139">
        <f>monthly_data!$CC612*42/1000</f>
        <v>1389.9059999999999</v>
      </c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</row>
    <row r="63" spans="1:34">
      <c r="A63" s="138" t="s">
        <v>177</v>
      </c>
      <c r="B63" s="139">
        <f>monthly_data!$CC349*42/1000</f>
        <v>166.19399999999999</v>
      </c>
      <c r="C63" s="139">
        <f>monthly_data!$CC361*42/1000</f>
        <v>143.09399999999999</v>
      </c>
      <c r="D63" s="139">
        <f>monthly_data!$CC373*42/1000</f>
        <v>102.27</v>
      </c>
      <c r="E63" s="139">
        <f>monthly_data!$CC385*42/1000</f>
        <v>128.352</v>
      </c>
      <c r="F63" s="139">
        <f>monthly_data!$CC397*42/1000</f>
        <v>115.584</v>
      </c>
      <c r="G63" s="139">
        <f>monthly_data!$CC409*42/1000</f>
        <v>316.89</v>
      </c>
      <c r="H63" s="139">
        <f>monthly_data!$CC421*42/1000</f>
        <v>550.41</v>
      </c>
      <c r="I63" s="139">
        <f>monthly_data!$CC433*42/1000</f>
        <v>685.35599999999999</v>
      </c>
      <c r="J63" s="139">
        <f>monthly_data!$CC445*42/1000</f>
        <v>740.62800000000004</v>
      </c>
      <c r="K63" s="139">
        <f>monthly_data!$CC457*42/1000</f>
        <v>996.95399999999995</v>
      </c>
      <c r="L63" s="139">
        <f>monthly_data!$CC469*42/1000</f>
        <v>1188.0119999999999</v>
      </c>
      <c r="M63" s="139">
        <f>monthly_data!$CC481*42/1000</f>
        <v>1336.7760000000001</v>
      </c>
      <c r="N63" s="139">
        <f>monthly_data!$CC493*42/1000</f>
        <v>1597.2180000000001</v>
      </c>
      <c r="O63" s="139">
        <f>monthly_data!$CC505*42/1000</f>
        <v>1387.26</v>
      </c>
      <c r="P63" s="139">
        <f>monthly_data!$CC517*42/1000</f>
        <v>1484.3219999999999</v>
      </c>
      <c r="Q63" s="139">
        <f>monthly_data!$CC529*42/1000</f>
        <v>1467.354</v>
      </c>
      <c r="R63" s="139">
        <f>monthly_data!$CC541*42/1000</f>
        <v>1711.164</v>
      </c>
      <c r="S63" s="139">
        <f>monthly_data!$CC553*42/1000</f>
        <v>1753.5419999999999</v>
      </c>
      <c r="T63" s="139">
        <f>monthly_data!$CC565*42/1000</f>
        <v>1445.9760000000001</v>
      </c>
      <c r="U63" s="139">
        <f>monthly_data!$CC577*42/1000</f>
        <v>1253.616</v>
      </c>
      <c r="V63" s="139">
        <f>monthly_data!$CC589*42/1000</f>
        <v>1420.566</v>
      </c>
      <c r="W63" s="139">
        <f>monthly_data!$CC601*42/1000</f>
        <v>1473.4860000000001</v>
      </c>
      <c r="X63" s="139">
        <f>monthly_data!$CC613*42/1000</f>
        <v>1417.08</v>
      </c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</row>
    <row r="64" spans="1:34">
      <c r="A64" s="138" t="s">
        <v>178</v>
      </c>
      <c r="B64" s="139">
        <f>monthly_data!$CC350*42/1000</f>
        <v>262.54199999999997</v>
      </c>
      <c r="C64" s="139">
        <f>monthly_data!$CC362*42/1000</f>
        <v>222.97800000000001</v>
      </c>
      <c r="D64" s="139">
        <f>monthly_data!$CC374*42/1000</f>
        <v>129.61199999999999</v>
      </c>
      <c r="E64" s="139">
        <f>monthly_data!$CC386*42/1000</f>
        <v>229.65600000000001</v>
      </c>
      <c r="F64" s="139">
        <f>monthly_data!$CC398*42/1000</f>
        <v>84.126000000000005</v>
      </c>
      <c r="G64" s="139">
        <f>monthly_data!$CC410*42/1000</f>
        <v>193.78800000000001</v>
      </c>
      <c r="H64" s="139">
        <f>monthly_data!$CC422*42/1000</f>
        <v>523.44600000000003</v>
      </c>
      <c r="I64" s="139">
        <f>monthly_data!$CC434*42/1000</f>
        <v>863.52</v>
      </c>
      <c r="J64" s="139">
        <f>monthly_data!$CC446*42/1000</f>
        <v>528.40200000000004</v>
      </c>
      <c r="K64" s="139">
        <f>monthly_data!$CC458*42/1000</f>
        <v>831.22199999999998</v>
      </c>
      <c r="L64" s="139">
        <f>monthly_data!$CC470*42/1000</f>
        <v>1468.6980000000001</v>
      </c>
      <c r="M64" s="139">
        <f>monthly_data!$CC482*42/1000</f>
        <v>1332.4079999999999</v>
      </c>
      <c r="N64" s="139">
        <f>monthly_data!$CC494*42/1000</f>
        <v>1667.0219999999999</v>
      </c>
      <c r="O64" s="139">
        <f>monthly_data!$CC506*42/1000</f>
        <v>1483.6079999999999</v>
      </c>
      <c r="P64" s="139">
        <f>monthly_data!$CC518*42/1000</f>
        <v>1692.39</v>
      </c>
      <c r="Q64" s="139">
        <f>monthly_data!$CC530*42/1000</f>
        <v>1601.9639999999999</v>
      </c>
      <c r="R64" s="139">
        <f>monthly_data!$CC542*42/1000</f>
        <v>1833.2159999999999</v>
      </c>
      <c r="S64" s="139">
        <f>monthly_data!$CC554*42/1000</f>
        <v>1803.816</v>
      </c>
      <c r="T64" s="139">
        <f>monthly_data!$CC566*42/1000</f>
        <v>1693.2719999999999</v>
      </c>
      <c r="U64" s="139">
        <f>monthly_data!$CC578*42/1000</f>
        <v>1522.1220000000001</v>
      </c>
      <c r="V64" s="139">
        <f>monthly_data!$CC590*42/1000</f>
        <v>1719.9</v>
      </c>
      <c r="W64" s="139">
        <f>monthly_data!$CC602*42/1000</f>
        <v>1752.87</v>
      </c>
      <c r="X64" s="139">
        <f>monthly_data!$CC614*42/1000</f>
        <v>1704.066</v>
      </c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</row>
    <row r="65" spans="1:35" ht="15.75" thickBot="1">
      <c r="A65" s="138" t="s">
        <v>179</v>
      </c>
      <c r="B65" s="139">
        <f>SUM(B53:B64)</f>
        <v>1828.7639999999997</v>
      </c>
      <c r="C65" s="139">
        <f t="shared" ref="C65:X65" si="45">SUM(C53:C64)</f>
        <v>1720.9920000000002</v>
      </c>
      <c r="D65" s="139">
        <f t="shared" si="45"/>
        <v>1637.16</v>
      </c>
      <c r="E65" s="139">
        <f t="shared" si="45"/>
        <v>1684.242</v>
      </c>
      <c r="F65" s="139">
        <f t="shared" si="45"/>
        <v>2122.3440000000001</v>
      </c>
      <c r="G65" s="139">
        <f t="shared" si="45"/>
        <v>3297.2939999999999</v>
      </c>
      <c r="H65" s="139">
        <f t="shared" si="45"/>
        <v>4104.4920000000002</v>
      </c>
      <c r="I65" s="139">
        <f t="shared" si="45"/>
        <v>8121.7919999999995</v>
      </c>
      <c r="J65" s="139">
        <f t="shared" si="45"/>
        <v>9005.2200000000012</v>
      </c>
      <c r="K65" s="139">
        <f t="shared" si="45"/>
        <v>10055.892</v>
      </c>
      <c r="L65" s="139">
        <f t="shared" si="45"/>
        <v>13093.374000000002</v>
      </c>
      <c r="M65" s="139">
        <f t="shared" si="45"/>
        <v>15482.543999999998</v>
      </c>
      <c r="N65" s="139">
        <f t="shared" si="45"/>
        <v>17383.296000000002</v>
      </c>
      <c r="O65" s="139">
        <f t="shared" si="45"/>
        <v>16878.792000000001</v>
      </c>
      <c r="P65" s="139">
        <f t="shared" si="45"/>
        <v>18021.191999999999</v>
      </c>
      <c r="Q65" s="139">
        <f t="shared" si="45"/>
        <v>18121.907999999999</v>
      </c>
      <c r="R65" s="139">
        <f t="shared" si="45"/>
        <v>21174.51</v>
      </c>
      <c r="S65" s="139">
        <f t="shared" si="45"/>
        <v>19753.986000000001</v>
      </c>
      <c r="T65" s="139">
        <f t="shared" si="45"/>
        <v>20019.509999999998</v>
      </c>
      <c r="U65" s="139">
        <f t="shared" si="45"/>
        <v>18242.783999999996</v>
      </c>
      <c r="V65" s="139">
        <f t="shared" si="45"/>
        <v>16393.944</v>
      </c>
      <c r="W65" s="139">
        <f t="shared" si="45"/>
        <v>18455.303999999996</v>
      </c>
      <c r="X65" s="139">
        <f t="shared" si="45"/>
        <v>17002.272000000004</v>
      </c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</row>
    <row r="66" spans="1:35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</row>
    <row r="67" spans="1:35" s="87" customFormat="1" ht="15.75" thickBot="1">
      <c r="A67" s="100" t="s">
        <v>244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98"/>
      <c r="Y67" s="98"/>
      <c r="Z67" s="98"/>
      <c r="AA67" s="98"/>
      <c r="AB67" s="98"/>
      <c r="AC67" s="98"/>
      <c r="AD67" s="102"/>
      <c r="AE67" s="102"/>
      <c r="AF67" s="102"/>
      <c r="AG67" s="102"/>
      <c r="AH67" s="102"/>
      <c r="AI67" s="113"/>
    </row>
    <row r="68" spans="1:35" s="100" customFormat="1" ht="15.75" thickBot="1">
      <c r="A68" s="103"/>
      <c r="B68" s="104">
        <v>2001</v>
      </c>
      <c r="C68" s="104">
        <v>2002</v>
      </c>
      <c r="D68" s="104">
        <v>2003</v>
      </c>
      <c r="E68" s="104">
        <v>2004</v>
      </c>
      <c r="F68" s="104">
        <v>2005</v>
      </c>
      <c r="G68" s="104">
        <v>2006</v>
      </c>
      <c r="H68" s="104">
        <v>2007</v>
      </c>
      <c r="I68" s="104">
        <v>2008</v>
      </c>
      <c r="J68" s="104">
        <v>2009</v>
      </c>
      <c r="K68" s="104">
        <v>2010</v>
      </c>
      <c r="L68" s="104">
        <f>L$2</f>
        <v>2011</v>
      </c>
      <c r="M68" s="104">
        <f t="shared" ref="M68:AH68" si="46">M$2</f>
        <v>2012</v>
      </c>
      <c r="N68" s="104">
        <f t="shared" si="46"/>
        <v>2013</v>
      </c>
      <c r="O68" s="104">
        <f t="shared" si="46"/>
        <v>2014</v>
      </c>
      <c r="P68" s="104">
        <f t="shared" si="46"/>
        <v>2015</v>
      </c>
      <c r="Q68" s="104">
        <f t="shared" si="46"/>
        <v>2016</v>
      </c>
      <c r="R68" s="104">
        <f t="shared" si="46"/>
        <v>2017</v>
      </c>
      <c r="S68" s="104">
        <f t="shared" si="46"/>
        <v>2018</v>
      </c>
      <c r="T68" s="104">
        <f t="shared" si="46"/>
        <v>2019</v>
      </c>
      <c r="U68" s="104">
        <f t="shared" si="46"/>
        <v>2020</v>
      </c>
      <c r="V68" s="104">
        <f t="shared" si="46"/>
        <v>2021</v>
      </c>
      <c r="W68" s="104">
        <f t="shared" si="46"/>
        <v>2022</v>
      </c>
      <c r="X68" s="104">
        <f t="shared" si="46"/>
        <v>2023</v>
      </c>
      <c r="Y68" s="104">
        <f t="shared" si="46"/>
        <v>2024</v>
      </c>
      <c r="Z68" s="104">
        <f t="shared" si="46"/>
        <v>2025</v>
      </c>
      <c r="AA68" s="104">
        <f t="shared" si="46"/>
        <v>2026</v>
      </c>
      <c r="AB68" s="104">
        <f t="shared" si="46"/>
        <v>2027</v>
      </c>
      <c r="AC68" s="104">
        <f t="shared" si="46"/>
        <v>2028</v>
      </c>
      <c r="AD68" s="104">
        <f t="shared" si="46"/>
        <v>2029</v>
      </c>
      <c r="AE68" s="104">
        <f t="shared" si="46"/>
        <v>2030</v>
      </c>
      <c r="AF68" s="104">
        <f t="shared" si="46"/>
        <v>2031</v>
      </c>
      <c r="AG68" s="104">
        <f t="shared" si="46"/>
        <v>2032</v>
      </c>
      <c r="AH68" s="104">
        <f t="shared" si="46"/>
        <v>2033</v>
      </c>
      <c r="AI68" s="102"/>
    </row>
    <row r="69" spans="1:35">
      <c r="A69" s="87" t="s">
        <v>167</v>
      </c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>
        <f>monthly_data!$BZ459*42/1000</f>
        <v>5153.3580000000002</v>
      </c>
      <c r="M69" s="106">
        <f>monthly_data!$BZ471*42/1000</f>
        <v>5026.9380000000001</v>
      </c>
      <c r="N69" s="106">
        <f>monthly_data!$BZ483*42/1000</f>
        <v>5288.4719999999998</v>
      </c>
      <c r="O69" s="106">
        <f>monthly_data!$BZ495*42/1000</f>
        <v>5650.68</v>
      </c>
      <c r="P69" s="106">
        <f>monthly_data!$BZ507*42/1000</f>
        <v>5449.8360000000002</v>
      </c>
      <c r="Q69" s="106">
        <f>monthly_data!$BZ519*42/1000</f>
        <v>5013.0360000000001</v>
      </c>
      <c r="R69" s="106">
        <f>monthly_data!$BZ531*42/1000</f>
        <v>4863.7259999999997</v>
      </c>
      <c r="S69" s="142">
        <f t="shared" ref="S69:Y69" si="47">R144+S21+S37-S117-S133</f>
        <v>5776.050000000002</v>
      </c>
      <c r="T69" s="110">
        <f t="shared" si="47"/>
        <v>5569.3680000000004</v>
      </c>
      <c r="U69" s="110">
        <f t="shared" si="47"/>
        <v>5168.0579999999991</v>
      </c>
      <c r="V69" s="110">
        <f t="shared" si="47"/>
        <v>5125.3439999999991</v>
      </c>
      <c r="W69" s="110">
        <f t="shared" si="47"/>
        <v>5375.6640000000016</v>
      </c>
      <c r="X69" s="110">
        <f t="shared" si="47"/>
        <v>5083.848</v>
      </c>
      <c r="Y69" s="110">
        <f t="shared" si="47"/>
        <v>5038.3620000000001</v>
      </c>
      <c r="Z69" s="135">
        <f t="shared" ref="Z69:Z80" si="48">Z$81*(SUM(U69:Y69)/SUM(U$81:Y$81))</f>
        <v>6184.5891403801634</v>
      </c>
      <c r="AA69" s="135">
        <f t="shared" ref="AA69:AA80" si="49">AA$81*(SUM(V69:Z69)/SUM(V$81:Z$81))</f>
        <v>6027.8116899148235</v>
      </c>
      <c r="AB69" s="135">
        <f t="shared" ref="AB69:AH80" si="50">AB$81*(SUM(W69:AA69)/SUM(W$81:AA$81))</f>
        <v>5990.8293447047163</v>
      </c>
      <c r="AC69" s="135">
        <f t="shared" si="50"/>
        <v>5883.6953475459459</v>
      </c>
      <c r="AD69" s="135">
        <f t="shared" si="50"/>
        <v>5700.9848591058626</v>
      </c>
      <c r="AE69" s="135">
        <f t="shared" si="50"/>
        <v>5805.8628151638241</v>
      </c>
      <c r="AF69" s="135">
        <f t="shared" si="50"/>
        <v>5792.4292754672551</v>
      </c>
      <c r="AG69" s="135">
        <f t="shared" si="50"/>
        <v>5711.0900280280075</v>
      </c>
      <c r="AH69" s="135">
        <f t="shared" si="50"/>
        <v>5586.2050319288901</v>
      </c>
    </row>
    <row r="70" spans="1:35">
      <c r="A70" s="87" t="s">
        <v>168</v>
      </c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>
        <f>monthly_data!$BZ460*42/1000</f>
        <v>4602.2340000000004</v>
      </c>
      <c r="M70" s="106">
        <f>monthly_data!$BZ472*42/1000</f>
        <v>4778.0460000000003</v>
      </c>
      <c r="N70" s="106">
        <f>monthly_data!$BZ484*42/1000</f>
        <v>4685.6459999999997</v>
      </c>
      <c r="O70" s="106">
        <f>monthly_data!$BZ496*42/1000</f>
        <v>4892.4539999999997</v>
      </c>
      <c r="P70" s="106">
        <f>monthly_data!$BZ508*42/1000</f>
        <v>5361.6779999999999</v>
      </c>
      <c r="Q70" s="106">
        <f>monthly_data!$BZ520*42/1000</f>
        <v>4867.2539999999999</v>
      </c>
      <c r="R70" s="106">
        <f>monthly_data!$BZ532*42/1000</f>
        <v>4627.3500000000004</v>
      </c>
      <c r="S70" s="110">
        <f t="shared" ref="S70:X80" si="51">S133+S22+S38-S118-S134</f>
        <v>4611.9359999999997</v>
      </c>
      <c r="T70" s="110">
        <f t="shared" si="51"/>
        <v>4987.5000000000009</v>
      </c>
      <c r="U70" s="110">
        <f t="shared" si="51"/>
        <v>4883.3819999999987</v>
      </c>
      <c r="V70" s="110">
        <f t="shared" si="51"/>
        <v>4666.9559999999992</v>
      </c>
      <c r="W70" s="110">
        <f t="shared" si="51"/>
        <v>5132.9880000000003</v>
      </c>
      <c r="X70" s="110">
        <f t="shared" si="51"/>
        <v>4725.4620000000014</v>
      </c>
      <c r="Y70" s="135">
        <f>Y$81*(SUM(T70:X70)/SUM(T$81:X$81))</f>
        <v>5981.4191889963458</v>
      </c>
      <c r="Z70" s="135">
        <f t="shared" si="48"/>
        <v>6088.4153096213304</v>
      </c>
      <c r="AA70" s="135">
        <f t="shared" si="49"/>
        <v>5980.0154758719436</v>
      </c>
      <c r="AB70" s="135">
        <f t="shared" si="50"/>
        <v>6033.6414370457696</v>
      </c>
      <c r="AC70" s="135">
        <f t="shared" si="50"/>
        <v>5984.1296060325185</v>
      </c>
      <c r="AD70" s="135">
        <f t="shared" si="50"/>
        <v>5885.4372523463289</v>
      </c>
      <c r="AE70" s="135">
        <f t="shared" si="50"/>
        <v>5841.6727665663275</v>
      </c>
      <c r="AF70" s="135">
        <f t="shared" si="50"/>
        <v>5854.6119669878026</v>
      </c>
      <c r="AG70" s="135">
        <f t="shared" si="50"/>
        <v>5794.4237623522822</v>
      </c>
      <c r="AH70" s="135">
        <f t="shared" si="50"/>
        <v>5676.3398679061065</v>
      </c>
    </row>
    <row r="71" spans="1:35">
      <c r="A71" s="87" t="s">
        <v>169</v>
      </c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>
        <f>monthly_data!$BZ461*42/1000</f>
        <v>5266.7160000000003</v>
      </c>
      <c r="M71" s="106">
        <f>monthly_data!$BZ473*42/1000</f>
        <v>4836.72</v>
      </c>
      <c r="N71" s="106">
        <f>monthly_data!$BZ485*42/1000</f>
        <v>4907.4059999999999</v>
      </c>
      <c r="O71" s="106">
        <f>monthly_data!$BZ497*42/1000</f>
        <v>5294.1419999999998</v>
      </c>
      <c r="P71" s="106">
        <f>monthly_data!$BZ509*42/1000</f>
        <v>5309.7659999999996</v>
      </c>
      <c r="Q71" s="106">
        <f>monthly_data!$BZ521*42/1000</f>
        <v>5138.9939999999997</v>
      </c>
      <c r="R71" s="106">
        <f>monthly_data!$BZ533*42/1000</f>
        <v>5372.8919999999998</v>
      </c>
      <c r="S71" s="110">
        <f t="shared" si="51"/>
        <v>5367.8940000000011</v>
      </c>
      <c r="T71" s="110">
        <f t="shared" si="51"/>
        <v>5350.17</v>
      </c>
      <c r="U71" s="110">
        <f t="shared" si="51"/>
        <v>5071.9619999999986</v>
      </c>
      <c r="V71" s="110">
        <f t="shared" si="51"/>
        <v>5308.3380000000006</v>
      </c>
      <c r="W71" s="110">
        <f t="shared" si="51"/>
        <v>5446.4339999999993</v>
      </c>
      <c r="X71" s="110">
        <f t="shared" si="51"/>
        <v>5342.4840000000013</v>
      </c>
      <c r="Y71" s="135">
        <f t="shared" ref="Y71:Y80" si="52">Y$81*(SUM(T71:X71)/SUM(T$81:X$81))</f>
        <v>6501.9553902478692</v>
      </c>
      <c r="Z71" s="135">
        <f t="shared" si="48"/>
        <v>6635.3769565687071</v>
      </c>
      <c r="AA71" s="135">
        <f t="shared" si="49"/>
        <v>6573.4803471243431</v>
      </c>
      <c r="AB71" s="135">
        <f t="shared" si="50"/>
        <v>6593.896407230518</v>
      </c>
      <c r="AC71" s="135">
        <f t="shared" si="50"/>
        <v>6573.6822327158234</v>
      </c>
      <c r="AD71" s="135">
        <f t="shared" si="50"/>
        <v>6435.6175382355796</v>
      </c>
      <c r="AE71" s="135">
        <f t="shared" si="50"/>
        <v>6395.2885166771694</v>
      </c>
      <c r="AF71" s="135">
        <f t="shared" si="50"/>
        <v>6415.3702294707764</v>
      </c>
      <c r="AG71" s="135">
        <f t="shared" si="50"/>
        <v>6345.3658148501318</v>
      </c>
      <c r="AH71" s="135">
        <f t="shared" si="50"/>
        <v>6218.6512444586679</v>
      </c>
    </row>
    <row r="72" spans="1:35">
      <c r="A72" s="87" t="s">
        <v>170</v>
      </c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>
        <f>monthly_data!$BZ462*42/1000</f>
        <v>4730.67</v>
      </c>
      <c r="M72" s="106">
        <f>monthly_data!$BZ474*42/1000</f>
        <v>4685.8559999999998</v>
      </c>
      <c r="N72" s="106">
        <f>monthly_data!$BZ486*42/1000</f>
        <v>4856.5020000000004</v>
      </c>
      <c r="O72" s="106">
        <f>monthly_data!$BZ498*42/1000</f>
        <v>5027.1899999999996</v>
      </c>
      <c r="P72" s="106">
        <f>monthly_data!$BZ510*42/1000</f>
        <v>5074.5240000000003</v>
      </c>
      <c r="Q72" s="106">
        <f>monthly_data!$BZ522*42/1000</f>
        <v>4786.5720000000001</v>
      </c>
      <c r="R72" s="106">
        <f>monthly_data!$BZ534*42/1000</f>
        <v>4741.17</v>
      </c>
      <c r="S72" s="110">
        <f t="shared" si="51"/>
        <v>5121.8580000000011</v>
      </c>
      <c r="T72" s="110">
        <f t="shared" si="51"/>
        <v>5102.16</v>
      </c>
      <c r="U72" s="110">
        <f t="shared" si="51"/>
        <v>4360.2299999999977</v>
      </c>
      <c r="V72" s="110">
        <f t="shared" si="51"/>
        <v>5100.8159999999998</v>
      </c>
      <c r="W72" s="110">
        <f t="shared" si="51"/>
        <v>5009.2559999999994</v>
      </c>
      <c r="X72" s="110">
        <f t="shared" si="51"/>
        <v>4914.2519999999986</v>
      </c>
      <c r="Y72" s="135">
        <f>Y$81*(SUM(T72:X72)/SUM(T$81:X$81))</f>
        <v>6003.5896032652781</v>
      </c>
      <c r="Z72" s="135">
        <f t="shared" si="48"/>
        <v>6087.9204744723202</v>
      </c>
      <c r="AA72" s="135">
        <f t="shared" si="49"/>
        <v>6097.0724229575881</v>
      </c>
      <c r="AB72" s="135">
        <f t="shared" si="50"/>
        <v>6077.6999774984388</v>
      </c>
      <c r="AC72" s="135">
        <f t="shared" si="50"/>
        <v>6061.3135713875517</v>
      </c>
      <c r="AD72" s="135">
        <f t="shared" si="50"/>
        <v>5936.3247747478135</v>
      </c>
      <c r="AE72" s="135">
        <f t="shared" si="50"/>
        <v>5897.9407940992396</v>
      </c>
      <c r="AF72" s="135">
        <f t="shared" si="50"/>
        <v>5922.6527418660216</v>
      </c>
      <c r="AG72" s="135">
        <f t="shared" si="50"/>
        <v>5852.4548983095319</v>
      </c>
      <c r="AH72" s="135">
        <f t="shared" si="50"/>
        <v>5736.3529547148855</v>
      </c>
    </row>
    <row r="73" spans="1:35">
      <c r="A73" s="87" t="s">
        <v>171</v>
      </c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>
        <f>monthly_data!$BZ463*42/1000</f>
        <v>4816.6019999999999</v>
      </c>
      <c r="M73" s="106">
        <f>monthly_data!$BZ475*42/1000</f>
        <v>4890.6899999999996</v>
      </c>
      <c r="N73" s="106">
        <f>monthly_data!$BZ487*42/1000</f>
        <v>4881.1980000000003</v>
      </c>
      <c r="O73" s="106">
        <f>monthly_data!$BZ499*42/1000</f>
        <v>5145</v>
      </c>
      <c r="P73" s="106">
        <f>monthly_data!$BZ511*42/1000</f>
        <v>4918.3680000000004</v>
      </c>
      <c r="Q73" s="106">
        <f>monthly_data!$BZ523*42/1000</f>
        <v>4859.0219999999999</v>
      </c>
      <c r="R73" s="106">
        <f>monthly_data!$BZ535*42/1000</f>
        <v>5149.4939999999997</v>
      </c>
      <c r="S73" s="110">
        <f t="shared" si="51"/>
        <v>5385.702000000002</v>
      </c>
      <c r="T73" s="110">
        <f t="shared" si="51"/>
        <v>5251.3019999999979</v>
      </c>
      <c r="U73" s="110">
        <f t="shared" si="51"/>
        <v>4400.3400000000029</v>
      </c>
      <c r="V73" s="110">
        <f t="shared" si="51"/>
        <v>5077.7580000000007</v>
      </c>
      <c r="W73" s="110">
        <f t="shared" si="51"/>
        <v>5046.0899999999983</v>
      </c>
      <c r="X73" s="110">
        <f t="shared" si="51"/>
        <v>5116.692</v>
      </c>
      <c r="Y73" s="135">
        <f t="shared" si="52"/>
        <v>6103.0012053796636</v>
      </c>
      <c r="Z73" s="135">
        <f t="shared" si="48"/>
        <v>6173.2241605273066</v>
      </c>
      <c r="AA73" s="135">
        <f t="shared" si="49"/>
        <v>6187.2229635454332</v>
      </c>
      <c r="AB73" s="135">
        <f t="shared" si="50"/>
        <v>6188.8545579659249</v>
      </c>
      <c r="AC73" s="135">
        <f t="shared" si="50"/>
        <v>6183.5472154396675</v>
      </c>
      <c r="AD73" s="135">
        <f t="shared" si="50"/>
        <v>6035.8104419731526</v>
      </c>
      <c r="AE73" s="135">
        <f t="shared" si="50"/>
        <v>5997.0173416864009</v>
      </c>
      <c r="AF73" s="135">
        <f t="shared" si="50"/>
        <v>6025.4856866711234</v>
      </c>
      <c r="AG73" s="135">
        <f t="shared" si="50"/>
        <v>5957.144581532214</v>
      </c>
      <c r="AH73" s="135">
        <f t="shared" si="50"/>
        <v>5838.4948881236087</v>
      </c>
    </row>
    <row r="74" spans="1:35">
      <c r="A74" s="87" t="s">
        <v>172</v>
      </c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>
        <f>monthly_data!$BZ464*42/1000</f>
        <v>4973.7659999999996</v>
      </c>
      <c r="M74" s="106">
        <f>monthly_data!$BZ476*42/1000</f>
        <v>4702.9080000000004</v>
      </c>
      <c r="N74" s="106">
        <f>monthly_data!$BZ488*42/1000</f>
        <v>4615.2120000000004</v>
      </c>
      <c r="O74" s="106">
        <f>monthly_data!$BZ500*42/1000</f>
        <v>4915.9740000000002</v>
      </c>
      <c r="P74" s="106">
        <f>monthly_data!$BZ512*42/1000</f>
        <v>4910.01</v>
      </c>
      <c r="Q74" s="106">
        <f>monthly_data!$BZ524*42/1000</f>
        <v>4854.4440000000004</v>
      </c>
      <c r="R74" s="106">
        <f>monthly_data!$BZ536*42/1000</f>
        <v>4994.0940000000001</v>
      </c>
      <c r="S74" s="110">
        <f t="shared" si="51"/>
        <v>4873.1339999999973</v>
      </c>
      <c r="T74" s="110">
        <f t="shared" si="51"/>
        <v>4938.8219999999983</v>
      </c>
      <c r="U74" s="110">
        <f t="shared" si="51"/>
        <v>4306.3859999999995</v>
      </c>
      <c r="V74" s="110">
        <f t="shared" si="51"/>
        <v>4971.4139999999998</v>
      </c>
      <c r="W74" s="110">
        <f t="shared" si="51"/>
        <v>5101.9080000000004</v>
      </c>
      <c r="X74" s="110">
        <f t="shared" si="51"/>
        <v>4987.7520000000004</v>
      </c>
      <c r="Y74" s="135">
        <f t="shared" si="52"/>
        <v>5959.3517492479386</v>
      </c>
      <c r="Z74" s="135">
        <f t="shared" si="48"/>
        <v>6073.2134736122225</v>
      </c>
      <c r="AA74" s="135">
        <f t="shared" si="49"/>
        <v>6092.0818467054696</v>
      </c>
      <c r="AB74" s="135">
        <f t="shared" si="50"/>
        <v>6099.7987125003237</v>
      </c>
      <c r="AC74" s="135">
        <f t="shared" si="50"/>
        <v>6067.8906001126343</v>
      </c>
      <c r="AD74" s="135">
        <f t="shared" si="50"/>
        <v>5929.4230461436346</v>
      </c>
      <c r="AE74" s="135">
        <f t="shared" si="50"/>
        <v>5898.3455096431089</v>
      </c>
      <c r="AF74" s="135">
        <f t="shared" si="50"/>
        <v>5926.0381225851725</v>
      </c>
      <c r="AG74" s="135">
        <f t="shared" si="50"/>
        <v>5857.4593559946952</v>
      </c>
      <c r="AH74" s="135">
        <f t="shared" si="50"/>
        <v>5737.9904655947239</v>
      </c>
    </row>
    <row r="75" spans="1:35">
      <c r="A75" s="87" t="s">
        <v>173</v>
      </c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>
        <f>monthly_data!$BZ465*42/1000</f>
        <v>4639.9080000000004</v>
      </c>
      <c r="M75" s="106">
        <f>monthly_data!$BZ477*42/1000</f>
        <v>4630.6679999999997</v>
      </c>
      <c r="N75" s="106">
        <f>monthly_data!$BZ489*42/1000</f>
        <v>4714.5420000000004</v>
      </c>
      <c r="O75" s="106">
        <f>monthly_data!$BZ501*42/1000</f>
        <v>5034.12</v>
      </c>
      <c r="P75" s="106">
        <f>monthly_data!$BZ513*42/1000</f>
        <v>5079.3540000000003</v>
      </c>
      <c r="Q75" s="106">
        <f>monthly_data!$BZ525*42/1000</f>
        <v>4683.7979999999998</v>
      </c>
      <c r="R75" s="106">
        <f>monthly_data!$BZ537*42/1000</f>
        <v>4741.6319999999996</v>
      </c>
      <c r="S75" s="110">
        <f t="shared" si="51"/>
        <v>5056.3380000000025</v>
      </c>
      <c r="T75" s="110">
        <f t="shared" si="51"/>
        <v>4991.1960000000008</v>
      </c>
      <c r="U75" s="110">
        <f t="shared" si="51"/>
        <v>4592.0700000000015</v>
      </c>
      <c r="V75" s="110">
        <f t="shared" si="51"/>
        <v>4784.0520000000015</v>
      </c>
      <c r="W75" s="110">
        <f t="shared" si="51"/>
        <v>4845.3720000000012</v>
      </c>
      <c r="X75" s="110">
        <f t="shared" si="51"/>
        <v>4749.1500000000005</v>
      </c>
      <c r="Y75" s="135">
        <f t="shared" si="52"/>
        <v>5874.9023449657689</v>
      </c>
      <c r="Z75" s="135">
        <f t="shared" si="48"/>
        <v>5957.8089937034283</v>
      </c>
      <c r="AA75" s="135">
        <f t="shared" si="49"/>
        <v>5893.6820660029061</v>
      </c>
      <c r="AB75" s="135">
        <f t="shared" si="50"/>
        <v>5906.6516926624909</v>
      </c>
      <c r="AC75" s="135">
        <f t="shared" si="50"/>
        <v>5895.4843496030735</v>
      </c>
      <c r="AD75" s="135">
        <f t="shared" si="50"/>
        <v>5779.9154483313278</v>
      </c>
      <c r="AE75" s="135">
        <f t="shared" si="50"/>
        <v>5736.7941564846778</v>
      </c>
      <c r="AF75" s="135">
        <f t="shared" si="50"/>
        <v>5753.6958662626676</v>
      </c>
      <c r="AG75" s="135">
        <f t="shared" si="50"/>
        <v>5691.2672528535959</v>
      </c>
      <c r="AH75" s="135">
        <f t="shared" si="50"/>
        <v>5579.0699914886745</v>
      </c>
    </row>
    <row r="76" spans="1:35">
      <c r="A76" s="87" t="s">
        <v>174</v>
      </c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>
        <f>monthly_data!$BZ466*42/1000</f>
        <v>5219.634</v>
      </c>
      <c r="M76" s="106">
        <f>monthly_data!$BZ478*42/1000</f>
        <v>4873.3440000000001</v>
      </c>
      <c r="N76" s="106">
        <f>monthly_data!$BZ490*42/1000</f>
        <v>4808.58</v>
      </c>
      <c r="O76" s="106">
        <f>monthly_data!$BZ502*42/1000</f>
        <v>5044.9139999999998</v>
      </c>
      <c r="P76" s="106">
        <f>monthly_data!$BZ514*42/1000</f>
        <v>5096.91</v>
      </c>
      <c r="Q76" s="106">
        <f>monthly_data!$BZ526*42/1000</f>
        <v>5052.2219999999998</v>
      </c>
      <c r="R76" s="106">
        <f>monthly_data!$BZ538*42/1000</f>
        <v>5212.5780000000004</v>
      </c>
      <c r="S76" s="110">
        <f t="shared" si="51"/>
        <v>5344.71</v>
      </c>
      <c r="T76" s="110">
        <f t="shared" si="51"/>
        <v>5150.7120000000004</v>
      </c>
      <c r="U76" s="110">
        <f t="shared" si="51"/>
        <v>4675.9860000000008</v>
      </c>
      <c r="V76" s="110">
        <f t="shared" si="51"/>
        <v>5187.503999999999</v>
      </c>
      <c r="W76" s="110">
        <f t="shared" si="51"/>
        <v>5130.4679999999989</v>
      </c>
      <c r="X76" s="110">
        <f t="shared" si="51"/>
        <v>5382.0060000000003</v>
      </c>
      <c r="Y76" s="135">
        <f t="shared" si="52"/>
        <v>6258.5648135360789</v>
      </c>
      <c r="Z76" s="135">
        <f t="shared" si="48"/>
        <v>6386.7959716044215</v>
      </c>
      <c r="AA76" s="135">
        <f t="shared" si="49"/>
        <v>6373.5300537246021</v>
      </c>
      <c r="AB76" s="135">
        <f t="shared" si="50"/>
        <v>6384.5403248196762</v>
      </c>
      <c r="AC76" s="135">
        <f t="shared" si="50"/>
        <v>6394.6802695058941</v>
      </c>
      <c r="AD76" s="135">
        <f t="shared" si="50"/>
        <v>6224.1635104358456</v>
      </c>
      <c r="AE76" s="135">
        <f t="shared" si="50"/>
        <v>6190.9593910128488</v>
      </c>
      <c r="AF76" s="135">
        <f t="shared" si="50"/>
        <v>6217.6044925787146</v>
      </c>
      <c r="AG76" s="135">
        <f t="shared" si="50"/>
        <v>6149.2315989091248</v>
      </c>
      <c r="AH76" s="135">
        <f t="shared" si="50"/>
        <v>6027.5047920114066</v>
      </c>
    </row>
    <row r="77" spans="1:35">
      <c r="A77" s="87" t="s">
        <v>175</v>
      </c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>
        <f>monthly_data!$BZ467*42/1000</f>
        <v>4959.402</v>
      </c>
      <c r="M77" s="106">
        <f>monthly_data!$BZ479*42/1000</f>
        <v>4629.576</v>
      </c>
      <c r="N77" s="106">
        <f>monthly_data!$BZ491*42/1000</f>
        <v>4693.0379999999996</v>
      </c>
      <c r="O77" s="106">
        <f>monthly_data!$BZ503*42/1000</f>
        <v>4956.0839999999998</v>
      </c>
      <c r="P77" s="106">
        <f>monthly_data!$BZ515*42/1000</f>
        <v>5119.3379999999997</v>
      </c>
      <c r="Q77" s="106">
        <f>monthly_data!$BZ527*42/1000</f>
        <v>4929.1620000000003</v>
      </c>
      <c r="R77" s="106">
        <f>monthly_data!$BZ539*42/1000</f>
        <v>4940.7120000000004</v>
      </c>
      <c r="S77" s="110">
        <f t="shared" si="51"/>
        <v>4960.9980000000005</v>
      </c>
      <c r="T77" s="110">
        <f t="shared" si="51"/>
        <v>4854.0660000000025</v>
      </c>
      <c r="U77" s="110">
        <f t="shared" si="51"/>
        <v>4701.8160000000016</v>
      </c>
      <c r="V77" s="110">
        <f t="shared" si="51"/>
        <v>5079.9840000000004</v>
      </c>
      <c r="W77" s="110">
        <f t="shared" si="51"/>
        <v>5149.9560000000001</v>
      </c>
      <c r="X77" s="110">
        <f t="shared" si="51"/>
        <v>4940.3759999999993</v>
      </c>
      <c r="Y77" s="135">
        <f t="shared" si="52"/>
        <v>6062.3056748683703</v>
      </c>
      <c r="Z77" s="135">
        <f t="shared" si="48"/>
        <v>6218.9184283033192</v>
      </c>
      <c r="AA77" s="135">
        <f t="shared" si="49"/>
        <v>6172.5568776871351</v>
      </c>
      <c r="AB77" s="135">
        <f t="shared" si="50"/>
        <v>6171.1011785903465</v>
      </c>
      <c r="AC77" s="135">
        <f t="shared" si="50"/>
        <v>6141.2274904479118</v>
      </c>
      <c r="AD77" s="135">
        <f t="shared" si="50"/>
        <v>6022.15944312586</v>
      </c>
      <c r="AE77" s="135">
        <f t="shared" si="50"/>
        <v>5988.6956212756395</v>
      </c>
      <c r="AF77" s="135">
        <f t="shared" si="50"/>
        <v>6006.4373208713569</v>
      </c>
      <c r="AG77" s="135">
        <f t="shared" si="50"/>
        <v>5937.3542907705669</v>
      </c>
      <c r="AH77" s="135">
        <f t="shared" si="50"/>
        <v>5818.5561385004594</v>
      </c>
    </row>
    <row r="78" spans="1:35">
      <c r="A78" s="87" t="s">
        <v>176</v>
      </c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>
        <f>monthly_data!$BZ468*42/1000</f>
        <v>5212.41</v>
      </c>
      <c r="M78" s="106">
        <f>monthly_data!$BZ480*42/1000</f>
        <v>5015.808</v>
      </c>
      <c r="N78" s="106">
        <f>monthly_data!$BZ492*42/1000</f>
        <v>5258.442</v>
      </c>
      <c r="O78" s="106">
        <f>monthly_data!$BZ504*42/1000</f>
        <v>5554.71</v>
      </c>
      <c r="P78" s="106">
        <f>monthly_data!$BZ516*42/1000</f>
        <v>5226.3959999999997</v>
      </c>
      <c r="Q78" s="106">
        <f>monthly_data!$BZ528*42/1000</f>
        <v>5190.192</v>
      </c>
      <c r="R78" s="106">
        <f>monthly_data!$BZ540*42/1000</f>
        <v>5222.616</v>
      </c>
      <c r="S78" s="110">
        <f t="shared" si="51"/>
        <v>5552.7779999999984</v>
      </c>
      <c r="T78" s="110">
        <f t="shared" si="51"/>
        <v>5408.8020000000006</v>
      </c>
      <c r="U78" s="110">
        <f t="shared" si="51"/>
        <v>5154.1140000000005</v>
      </c>
      <c r="V78" s="110">
        <f t="shared" si="51"/>
        <v>5165.2020000000011</v>
      </c>
      <c r="W78" s="110">
        <f t="shared" si="51"/>
        <v>5419.8060000000014</v>
      </c>
      <c r="X78" s="110">
        <f t="shared" si="51"/>
        <v>5295.4440000000013</v>
      </c>
      <c r="Y78" s="135">
        <f t="shared" si="52"/>
        <v>6483.3170020329308</v>
      </c>
      <c r="Z78" s="135">
        <f t="shared" si="48"/>
        <v>6598.6188655662017</v>
      </c>
      <c r="AA78" s="135">
        <f t="shared" si="49"/>
        <v>6512.2752951021703</v>
      </c>
      <c r="AB78" s="135">
        <f t="shared" si="50"/>
        <v>6552.7610414452865</v>
      </c>
      <c r="AC78" s="135">
        <f t="shared" si="50"/>
        <v>6531.1464461979003</v>
      </c>
      <c r="AD78" s="135">
        <f t="shared" si="50"/>
        <v>6396.4161557364023</v>
      </c>
      <c r="AE78" s="135">
        <f t="shared" si="50"/>
        <v>6352.2461671558312</v>
      </c>
      <c r="AF78" s="135">
        <f t="shared" si="50"/>
        <v>6370.6367147358087</v>
      </c>
      <c r="AG78" s="135">
        <f t="shared" si="50"/>
        <v>6304.1290920518113</v>
      </c>
      <c r="AH78" s="135">
        <f t="shared" si="50"/>
        <v>6177.9061483004734</v>
      </c>
    </row>
    <row r="79" spans="1:35">
      <c r="A79" s="87" t="s">
        <v>177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>
        <f>monthly_data!$BZ469*42/1000</f>
        <v>5177.8860000000004</v>
      </c>
      <c r="M79" s="106">
        <f>monthly_data!$BZ481*42/1000</f>
        <v>4847.9340000000002</v>
      </c>
      <c r="N79" s="106">
        <f>monthly_data!$BZ493*42/1000</f>
        <v>4905.4740000000002</v>
      </c>
      <c r="O79" s="106">
        <f>monthly_data!$BZ505*42/1000</f>
        <v>4935.6719999999996</v>
      </c>
      <c r="P79" s="106">
        <f>monthly_data!$BZ517*42/1000</f>
        <v>4712.6940000000004</v>
      </c>
      <c r="Q79" s="106">
        <f>monthly_data!$BZ529*42/1000</f>
        <v>4962.384</v>
      </c>
      <c r="R79" s="106">
        <f>monthly_data!$BZ541*42/1000</f>
        <v>5238.366</v>
      </c>
      <c r="S79" s="110">
        <f t="shared" si="51"/>
        <v>5198.8020000000024</v>
      </c>
      <c r="T79" s="110">
        <f t="shared" si="51"/>
        <v>5212.62</v>
      </c>
      <c r="U79" s="110">
        <f t="shared" si="51"/>
        <v>4787.6220000000003</v>
      </c>
      <c r="V79" s="110">
        <f t="shared" si="51"/>
        <v>5279.7779999999984</v>
      </c>
      <c r="W79" s="110">
        <f t="shared" si="51"/>
        <v>5115.1379999999972</v>
      </c>
      <c r="X79" s="110">
        <f t="shared" si="51"/>
        <v>5053.6919999999991</v>
      </c>
      <c r="Y79" s="135">
        <f t="shared" si="52"/>
        <v>6239.4836348828812</v>
      </c>
      <c r="Z79" s="135">
        <f t="shared" si="48"/>
        <v>6348.713069881137</v>
      </c>
      <c r="AA79" s="135">
        <f t="shared" si="49"/>
        <v>6304.1552881314419</v>
      </c>
      <c r="AB79" s="135">
        <f t="shared" si="50"/>
        <v>6282.8890345216751</v>
      </c>
      <c r="AC79" s="135">
        <f t="shared" si="50"/>
        <v>6279.0845090439625</v>
      </c>
      <c r="AD79" s="135">
        <f t="shared" si="50"/>
        <v>6156.870846268589</v>
      </c>
      <c r="AE79" s="135">
        <f t="shared" si="50"/>
        <v>6114.5564813743213</v>
      </c>
      <c r="AF79" s="135">
        <f t="shared" si="50"/>
        <v>6132.8492323268229</v>
      </c>
      <c r="AG79" s="135">
        <f t="shared" si="50"/>
        <v>6061.9813743161267</v>
      </c>
      <c r="AH79" s="135">
        <f t="shared" si="50"/>
        <v>5944.1204470184475</v>
      </c>
    </row>
    <row r="80" spans="1:35">
      <c r="A80" s="87" t="s">
        <v>178</v>
      </c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>
        <f>monthly_data!$BZ470*42/1000</f>
        <v>5016.8159999999998</v>
      </c>
      <c r="M80" s="106">
        <f>monthly_data!$BZ482*42/1000</f>
        <v>4594.5060000000003</v>
      </c>
      <c r="N80" s="106">
        <f>monthly_data!$BZ494*42/1000</f>
        <v>5060.5379999999996</v>
      </c>
      <c r="O80" s="106">
        <f>monthly_data!$BZ506*42/1000</f>
        <v>5440.0079999999998</v>
      </c>
      <c r="P80" s="106">
        <f>monthly_data!$BZ518*42/1000</f>
        <v>4988.13</v>
      </c>
      <c r="Q80" s="106">
        <f>monthly_data!$BZ530*42/1000</f>
        <v>5264.07</v>
      </c>
      <c r="R80" s="106">
        <f>monthly_data!$BZ542*42/1000</f>
        <v>5175.8280000000004</v>
      </c>
      <c r="S80" s="110">
        <f t="shared" si="51"/>
        <v>5130.4259999999977</v>
      </c>
      <c r="T80" s="110">
        <f t="shared" si="51"/>
        <v>5020.9320000000016</v>
      </c>
      <c r="U80" s="110">
        <f t="shared" si="51"/>
        <v>4946.2140000000009</v>
      </c>
      <c r="V80" s="110">
        <f t="shared" si="51"/>
        <v>5143.0680000000002</v>
      </c>
      <c r="W80" s="110">
        <f t="shared" si="51"/>
        <v>4938.2340000000022</v>
      </c>
      <c r="X80" s="110">
        <f t="shared" si="51"/>
        <v>4705.3019999999997</v>
      </c>
      <c r="Y80" s="135">
        <f t="shared" si="52"/>
        <v>6069.0608034147781</v>
      </c>
      <c r="Z80" s="135">
        <f t="shared" si="48"/>
        <v>6187.1316273380262</v>
      </c>
      <c r="AA80" s="135">
        <f t="shared" si="49"/>
        <v>6080.64970027858</v>
      </c>
      <c r="AB80" s="135">
        <f t="shared" si="50"/>
        <v>6049.2243909488661</v>
      </c>
      <c r="AC80" s="135">
        <f t="shared" si="50"/>
        <v>6042.7922238465817</v>
      </c>
      <c r="AD80" s="135">
        <f t="shared" si="50"/>
        <v>5956.1459386639417</v>
      </c>
      <c r="AE80" s="135">
        <f t="shared" si="50"/>
        <v>5908.7800732121696</v>
      </c>
      <c r="AF80" s="135">
        <f t="shared" si="50"/>
        <v>5916.200491155917</v>
      </c>
      <c r="AG80" s="135">
        <f t="shared" si="50"/>
        <v>5847.9937534275523</v>
      </c>
      <c r="AH80" s="135">
        <f t="shared" si="50"/>
        <v>5736.5899241949674</v>
      </c>
    </row>
    <row r="81" spans="1:35">
      <c r="A81" s="109" t="s">
        <v>179</v>
      </c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>
        <f>SUM(L69:L80)</f>
        <v>59769.401999999995</v>
      </c>
      <c r="M81" s="112">
        <f t="shared" ref="M81:X81" si="53">SUM(M69:M80)</f>
        <v>57512.993999999999</v>
      </c>
      <c r="N81" s="112">
        <f t="shared" si="53"/>
        <v>58675.05</v>
      </c>
      <c r="O81" s="112">
        <f t="shared" si="53"/>
        <v>61890.948000000004</v>
      </c>
      <c r="P81" s="112">
        <f t="shared" si="53"/>
        <v>61247.004000000001</v>
      </c>
      <c r="Q81" s="112">
        <f t="shared" si="53"/>
        <v>59601.15</v>
      </c>
      <c r="R81" s="112">
        <f t="shared" si="53"/>
        <v>60280.458000000006</v>
      </c>
      <c r="S81" s="112">
        <f t="shared" si="53"/>
        <v>62380.626000000004</v>
      </c>
      <c r="T81" s="112">
        <f t="shared" si="53"/>
        <v>61837.650000000009</v>
      </c>
      <c r="U81" s="112">
        <f t="shared" si="53"/>
        <v>57048.180000000008</v>
      </c>
      <c r="V81" s="112">
        <f t="shared" si="53"/>
        <v>60890.214</v>
      </c>
      <c r="W81" s="112">
        <f t="shared" si="53"/>
        <v>61711.314000000006</v>
      </c>
      <c r="X81" s="112">
        <f t="shared" si="53"/>
        <v>60296.459999999992</v>
      </c>
      <c r="Y81" s="136">
        <f t="shared" ref="Y81:AH81" si="54">Y8</f>
        <v>73990.580858603615</v>
      </c>
      <c r="Z81" s="136">
        <f t="shared" si="54"/>
        <v>75280.098889142784</v>
      </c>
      <c r="AA81" s="136">
        <f t="shared" si="54"/>
        <v>74689.069791812319</v>
      </c>
      <c r="AB81" s="136">
        <f t="shared" si="54"/>
        <v>74796.529627690586</v>
      </c>
      <c r="AC81" s="136">
        <f t="shared" si="54"/>
        <v>74581.609955934066</v>
      </c>
      <c r="AD81" s="136">
        <f t="shared" si="54"/>
        <v>73077.172253638346</v>
      </c>
      <c r="AE81" s="136">
        <f t="shared" si="54"/>
        <v>72588.020280513083</v>
      </c>
      <c r="AF81" s="136">
        <f t="shared" si="54"/>
        <v>72822.448416119849</v>
      </c>
      <c r="AG81" s="136">
        <f t="shared" si="54"/>
        <v>72013.740843297841</v>
      </c>
      <c r="AH81" s="136">
        <f t="shared" si="54"/>
        <v>70582.960008230133</v>
      </c>
    </row>
    <row r="82" spans="1:35" s="87" customFormat="1"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41"/>
      <c r="Y82" s="141"/>
      <c r="Z82" s="141"/>
      <c r="AA82" s="141"/>
      <c r="AB82" s="141"/>
      <c r="AC82" s="141"/>
      <c r="AD82" s="141"/>
      <c r="AE82" s="102"/>
      <c r="AF82" s="102"/>
      <c r="AG82" s="102"/>
      <c r="AH82" s="102"/>
      <c r="AI82" s="113"/>
    </row>
    <row r="83" spans="1:35" s="87" customFormat="1" ht="15.75" thickBot="1">
      <c r="A83" s="100" t="s">
        <v>245</v>
      </c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34" t="s">
        <v>246</v>
      </c>
      <c r="T83" s="114"/>
      <c r="U83" s="114"/>
      <c r="V83" s="114"/>
      <c r="W83" s="114"/>
      <c r="X83" s="141"/>
      <c r="Y83" s="141"/>
      <c r="Z83" s="141"/>
      <c r="AA83" s="141"/>
      <c r="AB83" s="141"/>
      <c r="AC83" s="141"/>
      <c r="AD83" s="141"/>
      <c r="AE83" s="102"/>
      <c r="AF83" s="102"/>
      <c r="AG83" s="102"/>
      <c r="AH83" s="102"/>
      <c r="AI83" s="113"/>
    </row>
    <row r="84" spans="1:35" s="87" customFormat="1" ht="15.75" thickBot="1">
      <c r="A84" s="103"/>
      <c r="B84" s="104">
        <f t="shared" ref="B84:O84" si="55">B2</f>
        <v>2001</v>
      </c>
      <c r="C84" s="104">
        <f t="shared" si="55"/>
        <v>2002</v>
      </c>
      <c r="D84" s="104">
        <f t="shared" si="55"/>
        <v>2003</v>
      </c>
      <c r="E84" s="104">
        <f t="shared" si="55"/>
        <v>2004</v>
      </c>
      <c r="F84" s="104">
        <f t="shared" si="55"/>
        <v>2005</v>
      </c>
      <c r="G84" s="104">
        <f t="shared" si="55"/>
        <v>2006</v>
      </c>
      <c r="H84" s="104">
        <f t="shared" si="55"/>
        <v>2007</v>
      </c>
      <c r="I84" s="104">
        <f t="shared" si="55"/>
        <v>2008</v>
      </c>
      <c r="J84" s="104">
        <f t="shared" si="55"/>
        <v>2009</v>
      </c>
      <c r="K84" s="104">
        <f t="shared" si="55"/>
        <v>2010</v>
      </c>
      <c r="L84" s="104">
        <f t="shared" si="55"/>
        <v>2011</v>
      </c>
      <c r="M84" s="104">
        <f t="shared" si="55"/>
        <v>2012</v>
      </c>
      <c r="N84" s="104">
        <f t="shared" si="55"/>
        <v>2013</v>
      </c>
      <c r="O84" s="104">
        <f t="shared" si="55"/>
        <v>2014</v>
      </c>
      <c r="P84" s="104">
        <f>P2</f>
        <v>2015</v>
      </c>
      <c r="Q84" s="104">
        <f t="shared" ref="Q84:AH84" si="56">Q2</f>
        <v>2016</v>
      </c>
      <c r="R84" s="104">
        <f t="shared" si="56"/>
        <v>2017</v>
      </c>
      <c r="S84" s="104">
        <f t="shared" si="56"/>
        <v>2018</v>
      </c>
      <c r="T84" s="104">
        <f t="shared" si="56"/>
        <v>2019</v>
      </c>
      <c r="U84" s="104">
        <f t="shared" si="56"/>
        <v>2020</v>
      </c>
      <c r="V84" s="104">
        <f t="shared" si="56"/>
        <v>2021</v>
      </c>
      <c r="W84" s="104">
        <f t="shared" si="56"/>
        <v>2022</v>
      </c>
      <c r="X84" s="104">
        <f t="shared" si="56"/>
        <v>2023</v>
      </c>
      <c r="Y84" s="104">
        <f t="shared" si="56"/>
        <v>2024</v>
      </c>
      <c r="Z84" s="104">
        <f t="shared" si="56"/>
        <v>2025</v>
      </c>
      <c r="AA84" s="104">
        <f t="shared" si="56"/>
        <v>2026</v>
      </c>
      <c r="AB84" s="104">
        <f t="shared" si="56"/>
        <v>2027</v>
      </c>
      <c r="AC84" s="104">
        <f t="shared" si="56"/>
        <v>2028</v>
      </c>
      <c r="AD84" s="104">
        <f t="shared" si="56"/>
        <v>2029</v>
      </c>
      <c r="AE84" s="104">
        <f t="shared" si="56"/>
        <v>2030</v>
      </c>
      <c r="AF84" s="104">
        <f t="shared" si="56"/>
        <v>2031</v>
      </c>
      <c r="AG84" s="104">
        <f t="shared" si="56"/>
        <v>2032</v>
      </c>
      <c r="AH84" s="104">
        <f t="shared" si="56"/>
        <v>2033</v>
      </c>
      <c r="AI84" s="113"/>
    </row>
    <row r="85" spans="1:35" s="87" customFormat="1">
      <c r="A85" s="87" t="s">
        <v>167</v>
      </c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0">
        <f>monthly_data!$CE543-'Diesel (adj)'!$S69</f>
        <v>-1088.8500000000013</v>
      </c>
      <c r="T85" s="110">
        <f>monthly_data!$CE555-'Diesel (adj)'!T69</f>
        <v>-751.96799999999985</v>
      </c>
      <c r="U85" s="110">
        <f>monthly_data!$CE567-'Diesel (adj)'!U69</f>
        <v>-585.01799999999912</v>
      </c>
      <c r="V85" s="110">
        <f>monthly_data!$CE579-'Diesel (adj)'!V69</f>
        <v>-659.48399999999947</v>
      </c>
      <c r="W85" s="110">
        <f>monthly_data!$CE591-'Diesel (adj)'!W69</f>
        <v>-818.66400000000158</v>
      </c>
      <c r="X85" s="111">
        <f>monthly_data!$CE603-'Diesel (adj)'!X69</f>
        <v>-604.96799999999985</v>
      </c>
      <c r="Y85" s="141"/>
      <c r="Z85" s="141"/>
      <c r="AA85" s="141"/>
      <c r="AB85" s="141"/>
      <c r="AC85" s="141"/>
      <c r="AD85" s="141"/>
      <c r="AE85" s="102"/>
      <c r="AF85" s="102"/>
      <c r="AG85" s="102"/>
      <c r="AH85" s="102"/>
      <c r="AI85" s="113"/>
    </row>
    <row r="86" spans="1:35" s="87" customFormat="1">
      <c r="A86" s="87" t="s">
        <v>168</v>
      </c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0">
        <f>monthly_data!$CE544-'Diesel (adj)'!$S70</f>
        <v>-578.2559999999994</v>
      </c>
      <c r="T86" s="110">
        <f>monthly_data!$CE556-'Diesel (adj)'!T70</f>
        <v>-589.26000000000022</v>
      </c>
      <c r="U86" s="110">
        <f>monthly_data!$CE568-'Diesel (adj)'!U70</f>
        <v>-474.22199999999884</v>
      </c>
      <c r="V86" s="110">
        <f>monthly_data!$CE580-'Diesel (adj)'!V70</f>
        <v>-715.59599999999909</v>
      </c>
      <c r="W86" s="110">
        <f>monthly_data!$CE592-'Diesel (adj)'!W70</f>
        <v>-711.22800000000097</v>
      </c>
      <c r="X86" s="111">
        <f>monthly_data!$CE604-'Diesel (adj)'!X70</f>
        <v>-574.18200000000161</v>
      </c>
      <c r="Y86" s="141"/>
      <c r="Z86" s="141"/>
      <c r="AA86" s="141"/>
      <c r="AB86" s="141"/>
      <c r="AC86" s="141"/>
      <c r="AD86" s="141"/>
      <c r="AE86" s="102"/>
      <c r="AF86" s="102"/>
      <c r="AG86" s="102"/>
      <c r="AH86" s="102"/>
      <c r="AI86" s="113"/>
    </row>
    <row r="87" spans="1:35" s="87" customFormat="1">
      <c r="A87" s="87" t="s">
        <v>169</v>
      </c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0">
        <f>monthly_data!$CE545-'Diesel (adj)'!$S71</f>
        <v>-407.27400000000125</v>
      </c>
      <c r="T87" s="110">
        <f>monthly_data!$CE557-'Diesel (adj)'!T71</f>
        <v>-441.63000000000011</v>
      </c>
      <c r="U87" s="110">
        <f>monthly_data!$CE569-'Diesel (adj)'!U71</f>
        <v>-384.7619999999979</v>
      </c>
      <c r="V87" s="110">
        <f>monthly_data!$CE581-'Diesel (adj)'!V71</f>
        <v>-490.9380000000001</v>
      </c>
      <c r="W87" s="110">
        <f>monthly_data!$CE593-'Diesel (adj)'!W71</f>
        <v>-472.79399999999896</v>
      </c>
      <c r="X87" s="111">
        <f>monthly_data!$CE605-'Diesel (adj)'!X71</f>
        <v>-446.96400000000176</v>
      </c>
      <c r="Y87" s="141"/>
      <c r="Z87" s="141"/>
      <c r="AA87" s="141"/>
      <c r="AB87" s="141"/>
      <c r="AC87" s="141"/>
      <c r="AD87" s="141"/>
      <c r="AE87" s="102"/>
      <c r="AF87" s="102"/>
      <c r="AG87" s="102"/>
      <c r="AH87" s="102"/>
      <c r="AI87" s="113"/>
    </row>
    <row r="88" spans="1:35" s="87" customFormat="1">
      <c r="A88" s="87" t="s">
        <v>170</v>
      </c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0">
        <f>monthly_data!$CE546-'Diesel (adj)'!$S72</f>
        <v>-270.85800000000017</v>
      </c>
      <c r="T88" s="110">
        <f>monthly_data!$CE558-'Diesel (adj)'!T72</f>
        <v>-188.16000000000076</v>
      </c>
      <c r="U88" s="110">
        <f>monthly_data!$CE570-'Diesel (adj)'!U72</f>
        <v>-252.62999999999829</v>
      </c>
      <c r="V88" s="110">
        <f>monthly_data!$CE582-'Diesel (adj)'!V72</f>
        <v>-262.41600000000017</v>
      </c>
      <c r="W88" s="110">
        <f>monthly_data!$CE594-'Diesel (adj)'!W72</f>
        <v>-296.85599999999886</v>
      </c>
      <c r="X88" s="111">
        <f>monthly_data!$CE606-'Diesel (adj)'!X72</f>
        <v>-252.25199999999859</v>
      </c>
      <c r="Y88" s="141"/>
      <c r="Z88" s="141"/>
      <c r="AA88" s="141"/>
      <c r="AB88" s="141"/>
      <c r="AC88" s="141"/>
      <c r="AD88" s="141"/>
      <c r="AE88" s="102"/>
      <c r="AF88" s="102"/>
      <c r="AG88" s="102"/>
      <c r="AH88" s="102"/>
      <c r="AI88" s="113"/>
    </row>
    <row r="89" spans="1:35" s="87" customFormat="1">
      <c r="A89" s="87" t="s">
        <v>171</v>
      </c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0">
        <f>monthly_data!$CE547-'Diesel (adj)'!$S73</f>
        <v>-99.582000000003063</v>
      </c>
      <c r="T89" s="110">
        <f>monthly_data!$CE559-'Diesel (adj)'!T73</f>
        <v>-108.40199999999732</v>
      </c>
      <c r="U89" s="110">
        <f>monthly_data!$CE571-'Diesel (adj)'!U73</f>
        <v>-155.82000000000335</v>
      </c>
      <c r="V89" s="110">
        <f>monthly_data!$CE583-'Diesel (adj)'!V73</f>
        <v>-182.23800000000119</v>
      </c>
      <c r="W89" s="110">
        <f>monthly_data!$CE595-'Diesel (adj)'!W73</f>
        <v>-202.64999999999782</v>
      </c>
      <c r="X89" s="111">
        <f>monthly_data!$CE607-'Diesel (adj)'!X73</f>
        <v>-234.19200000000001</v>
      </c>
      <c r="Y89" s="141"/>
      <c r="Z89" s="141"/>
      <c r="AA89" s="141"/>
      <c r="AB89" s="141"/>
      <c r="AC89" s="141"/>
      <c r="AD89" s="141"/>
      <c r="AE89" s="102"/>
      <c r="AF89" s="102"/>
      <c r="AG89" s="102"/>
      <c r="AH89" s="102"/>
      <c r="AI89" s="113"/>
    </row>
    <row r="90" spans="1:35" s="87" customFormat="1">
      <c r="A90" s="87" t="s">
        <v>172</v>
      </c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0">
        <f>monthly_data!$CE548-'Diesel (adj)'!$S74</f>
        <v>-9.5339999999969223</v>
      </c>
      <c r="T90" s="110">
        <f>monthly_data!$CE560-'Diesel (adj)'!T74</f>
        <v>-37.421999999998661</v>
      </c>
      <c r="U90" s="110">
        <f>monthly_data!$CE572-'Diesel (adj)'!U74</f>
        <v>-47.585999999999331</v>
      </c>
      <c r="V90" s="110">
        <f>monthly_data!$CE584-'Diesel (adj)'!V74</f>
        <v>-145.61399999999958</v>
      </c>
      <c r="W90" s="110">
        <f>monthly_data!$CE596-'Diesel (adj)'!W74</f>
        <v>-150.10800000000017</v>
      </c>
      <c r="X90" s="111">
        <f>monthly_data!$CE608-'Diesel (adj)'!X74</f>
        <v>-174.55200000000059</v>
      </c>
      <c r="Y90" s="141"/>
      <c r="Z90" s="141"/>
      <c r="AA90" s="141"/>
      <c r="AB90" s="141"/>
      <c r="AC90" s="141"/>
      <c r="AD90" s="141"/>
      <c r="AE90" s="102"/>
      <c r="AF90" s="102"/>
      <c r="AG90" s="102"/>
      <c r="AH90" s="102"/>
      <c r="AI90" s="113"/>
    </row>
    <row r="91" spans="1:35" s="87" customFormat="1">
      <c r="A91" s="87" t="s">
        <v>173</v>
      </c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0">
        <f>monthly_data!$CE549-'Diesel (adj)'!$S75</f>
        <v>-17.598000000002685</v>
      </c>
      <c r="T91" s="110">
        <f>monthly_data!$CE561-'Diesel (adj)'!T75</f>
        <v>-17.556000000000495</v>
      </c>
      <c r="U91" s="110">
        <f>monthly_data!$CE573-'Diesel (adj)'!U75</f>
        <v>-35.070000000001528</v>
      </c>
      <c r="V91" s="110">
        <f>monthly_data!$CE585-'Diesel (adj)'!V75</f>
        <v>-122.89200000000073</v>
      </c>
      <c r="W91" s="110">
        <f>monthly_data!$CE597-'Diesel (adj)'!W75</f>
        <v>-210.25200000000132</v>
      </c>
      <c r="X91" s="111">
        <f>X$97*(SUM(S91:W91)/SUM(S$97:W$97))</f>
        <v>-419.48756475326746</v>
      </c>
      <c r="Y91" s="141"/>
      <c r="Z91" s="141"/>
      <c r="AA91" s="141"/>
      <c r="AB91" s="141"/>
      <c r="AC91" s="141"/>
      <c r="AD91" s="141"/>
      <c r="AE91" s="102"/>
      <c r="AF91" s="102"/>
      <c r="AG91" s="102"/>
      <c r="AH91" s="102"/>
      <c r="AI91" s="113"/>
    </row>
    <row r="92" spans="1:35" s="87" customFormat="1">
      <c r="A92" s="87" t="s">
        <v>174</v>
      </c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0">
        <f>monthly_data!$CE550-'Diesel (adj)'!$S76</f>
        <v>-6.5100000000002183</v>
      </c>
      <c r="T92" s="110">
        <f>monthly_data!$CE562-'Diesel (adj)'!T76</f>
        <v>-33.852000000000771</v>
      </c>
      <c r="U92" s="110">
        <f>monthly_data!$CE574-'Diesel (adj)'!U76</f>
        <v>-14.826000000000022</v>
      </c>
      <c r="V92" s="110">
        <f>monthly_data!$CE586-'Diesel (adj)'!V76</f>
        <v>-148.76399999999921</v>
      </c>
      <c r="W92" s="110">
        <f>monthly_data!$CE598-'Diesel (adj)'!W76</f>
        <v>-39.647999999999229</v>
      </c>
      <c r="X92" s="111">
        <f t="shared" ref="X92:X95" si="57">X$97*(SUM(S92:W92)/SUM(S$97:W$97))</f>
        <v>-253.33484751862818</v>
      </c>
      <c r="Y92" s="141"/>
      <c r="Z92" s="141"/>
      <c r="AA92" s="141"/>
      <c r="AB92" s="141"/>
      <c r="AC92" s="141"/>
      <c r="AD92" s="141"/>
      <c r="AE92" s="102"/>
      <c r="AF92" s="102"/>
      <c r="AG92" s="102"/>
      <c r="AH92" s="102"/>
      <c r="AI92" s="113"/>
    </row>
    <row r="93" spans="1:35" s="87" customFormat="1">
      <c r="A93" s="87" t="s">
        <v>175</v>
      </c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0">
        <f>monthly_data!$CE551-'Diesel (adj)'!$S77</f>
        <v>-84.798000000000684</v>
      </c>
      <c r="T93" s="110">
        <f>monthly_data!$CE563-'Diesel (adj)'!T77</f>
        <v>-116.46600000000308</v>
      </c>
      <c r="U93" s="110">
        <f>monthly_data!$CE575-'Diesel (adj)'!U77</f>
        <v>-90.216000000001259</v>
      </c>
      <c r="V93" s="110">
        <f>monthly_data!$CE587-'Diesel (adj)'!V77</f>
        <v>-191.1840000000002</v>
      </c>
      <c r="W93" s="110">
        <f>monthly_data!$CE599-'Diesel (adj)'!W77</f>
        <v>-198.15599999999995</v>
      </c>
      <c r="X93" s="111">
        <f t="shared" si="57"/>
        <v>-708.02722039258674</v>
      </c>
      <c r="Y93" s="141"/>
      <c r="Z93" s="141"/>
      <c r="AA93" s="141"/>
      <c r="AB93" s="141"/>
      <c r="AC93" s="141"/>
      <c r="AD93" s="141"/>
      <c r="AE93" s="102"/>
      <c r="AF93" s="102"/>
      <c r="AG93" s="102"/>
      <c r="AH93" s="102"/>
      <c r="AI93" s="113"/>
    </row>
    <row r="94" spans="1:35" s="87" customFormat="1">
      <c r="A94" s="87" t="s">
        <v>176</v>
      </c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0">
        <f>monthly_data!$CE552-'Diesel (adj)'!$S78</f>
        <v>-240.61799999999766</v>
      </c>
      <c r="T94" s="110">
        <f>monthly_data!$CE564-'Diesel (adj)'!T78</f>
        <v>-226.84200000000055</v>
      </c>
      <c r="U94" s="110">
        <f>monthly_data!$CE576-'Diesel (adj)'!U78</f>
        <v>-167.45399999999972</v>
      </c>
      <c r="V94" s="110">
        <f>monthly_data!$CE588-'Diesel (adj)'!V78</f>
        <v>-308.7420000000011</v>
      </c>
      <c r="W94" s="110">
        <f>monthly_data!$CE600-'Diesel (adj)'!W78</f>
        <v>-328.9860000000017</v>
      </c>
      <c r="X94" s="111">
        <f t="shared" si="57"/>
        <v>-1323.4998645968922</v>
      </c>
      <c r="Y94" s="141"/>
      <c r="Z94" s="141"/>
      <c r="AA94" s="141"/>
      <c r="AB94" s="141"/>
      <c r="AC94" s="141"/>
      <c r="AD94" s="141"/>
      <c r="AE94" s="102"/>
      <c r="AF94" s="102"/>
      <c r="AG94" s="102"/>
      <c r="AH94" s="102"/>
      <c r="AI94" s="113"/>
    </row>
    <row r="95" spans="1:35" s="87" customFormat="1">
      <c r="A95" s="87" t="s">
        <v>177</v>
      </c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0">
        <f>monthly_data!$CE553-'Diesel (adj)'!$S79</f>
        <v>-461.20200000000295</v>
      </c>
      <c r="T95" s="110">
        <f>monthly_data!$CE565-'Diesel (adj)'!T79</f>
        <v>-424.61999999999989</v>
      </c>
      <c r="U95" s="110">
        <f>monthly_data!$CE577-'Diesel (adj)'!U79</f>
        <v>-289.42200000000048</v>
      </c>
      <c r="V95" s="110">
        <f>monthly_data!$CE589-'Diesel (adj)'!V79</f>
        <v>-428.77799999999752</v>
      </c>
      <c r="W95" s="110">
        <f>monthly_data!$CE601-'Diesel (adj)'!W79</f>
        <v>-415.33799999999701</v>
      </c>
      <c r="X95" s="111">
        <f t="shared" si="57"/>
        <v>-2100.0585290854583</v>
      </c>
      <c r="Y95" s="141"/>
      <c r="Z95" s="141"/>
      <c r="AA95" s="141"/>
      <c r="AB95" s="141"/>
      <c r="AC95" s="141"/>
      <c r="AD95" s="141"/>
      <c r="AE95" s="102"/>
      <c r="AF95" s="102"/>
      <c r="AG95" s="102"/>
      <c r="AH95" s="102"/>
      <c r="AI95" s="113"/>
    </row>
    <row r="96" spans="1:35" s="87" customFormat="1">
      <c r="A96" s="87" t="s">
        <v>178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0">
        <f>monthly_data!$CE554-'Diesel (adj)'!$S80</f>
        <v>-586.44599999999718</v>
      </c>
      <c r="T96" s="110">
        <f>monthly_data!$CE566-'Diesel (adj)'!T80</f>
        <v>-581.1120000000019</v>
      </c>
      <c r="U96" s="110">
        <f>monthly_data!$CE578-'Diesel (adj)'!U80</f>
        <v>-506.39400000000114</v>
      </c>
      <c r="V96" s="110">
        <f>monthly_data!$CE590-'Diesel (adj)'!V80</f>
        <v>-651.16799999999967</v>
      </c>
      <c r="W96" s="110">
        <f>monthly_data!$CE602-'Diesel (adj)'!W80</f>
        <v>-706.7340000000022</v>
      </c>
      <c r="X96" s="111">
        <f>X97-SUM(X85:X95)</f>
        <v>-12908.481973653164</v>
      </c>
      <c r="Y96" s="141"/>
      <c r="Z96" s="141"/>
      <c r="AA96" s="141"/>
      <c r="AB96" s="141"/>
      <c r="AC96" s="141"/>
      <c r="AD96" s="141"/>
      <c r="AE96" s="102"/>
      <c r="AF96" s="102"/>
      <c r="AG96" s="102"/>
      <c r="AH96" s="102"/>
      <c r="AI96" s="113"/>
    </row>
    <row r="97" spans="1:40" s="87" customFormat="1">
      <c r="A97" s="109" t="s">
        <v>179</v>
      </c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2">
        <f>SUM(S85:S96)</f>
        <v>-3851.5260000000035</v>
      </c>
      <c r="T97" s="112">
        <f t="shared" ref="T97:W97" si="58">SUM(T85:T96)</f>
        <v>-3517.2900000000036</v>
      </c>
      <c r="U97" s="112">
        <f t="shared" si="58"/>
        <v>-3003.420000000001</v>
      </c>
      <c r="V97" s="112">
        <f t="shared" si="58"/>
        <v>-4307.8139999999985</v>
      </c>
      <c r="W97" s="112">
        <f t="shared" si="58"/>
        <v>-4551.4139999999998</v>
      </c>
      <c r="X97" s="136">
        <f>X9</f>
        <v>-20000</v>
      </c>
      <c r="Y97" s="141"/>
      <c r="Z97" s="141"/>
      <c r="AA97" s="141"/>
      <c r="AB97" s="141"/>
      <c r="AC97" s="141"/>
      <c r="AD97" s="141"/>
      <c r="AE97" s="102"/>
      <c r="AF97" s="102"/>
      <c r="AG97" s="102"/>
      <c r="AH97" s="102"/>
      <c r="AI97" s="113"/>
    </row>
    <row r="98" spans="1:40" s="87" customForma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13"/>
    </row>
    <row r="99" spans="1:40" s="87" customFormat="1" ht="15.75" thickBot="1">
      <c r="A99" s="100" t="s">
        <v>247</v>
      </c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13"/>
    </row>
    <row r="100" spans="1:40" s="87" customFormat="1" ht="15.75" thickBot="1">
      <c r="A100" s="103"/>
      <c r="B100" s="104">
        <f t="shared" ref="B100:O100" si="59">B2</f>
        <v>2001</v>
      </c>
      <c r="C100" s="104">
        <f t="shared" si="59"/>
        <v>2002</v>
      </c>
      <c r="D100" s="104">
        <f t="shared" si="59"/>
        <v>2003</v>
      </c>
      <c r="E100" s="104">
        <f t="shared" si="59"/>
        <v>2004</v>
      </c>
      <c r="F100" s="104">
        <f t="shared" si="59"/>
        <v>2005</v>
      </c>
      <c r="G100" s="104">
        <f t="shared" si="59"/>
        <v>2006</v>
      </c>
      <c r="H100" s="104">
        <f t="shared" si="59"/>
        <v>2007</v>
      </c>
      <c r="I100" s="104">
        <f t="shared" si="59"/>
        <v>2008</v>
      </c>
      <c r="J100" s="104">
        <f t="shared" si="59"/>
        <v>2009</v>
      </c>
      <c r="K100" s="104">
        <f t="shared" si="59"/>
        <v>2010</v>
      </c>
      <c r="L100" s="104">
        <f t="shared" si="59"/>
        <v>2011</v>
      </c>
      <c r="M100" s="104">
        <f t="shared" si="59"/>
        <v>2012</v>
      </c>
      <c r="N100" s="104">
        <f t="shared" si="59"/>
        <v>2013</v>
      </c>
      <c r="O100" s="104">
        <f t="shared" si="59"/>
        <v>2014</v>
      </c>
      <c r="P100" s="104">
        <f>P2</f>
        <v>2015</v>
      </c>
      <c r="Q100" s="104">
        <f t="shared" ref="Q100:AH100" si="60">Q2</f>
        <v>2016</v>
      </c>
      <c r="R100" s="104">
        <f t="shared" si="60"/>
        <v>2017</v>
      </c>
      <c r="S100" s="104">
        <f t="shared" si="60"/>
        <v>2018</v>
      </c>
      <c r="T100" s="104">
        <f t="shared" si="60"/>
        <v>2019</v>
      </c>
      <c r="U100" s="104">
        <f t="shared" si="60"/>
        <v>2020</v>
      </c>
      <c r="V100" s="104">
        <f t="shared" si="60"/>
        <v>2021</v>
      </c>
      <c r="W100" s="104">
        <f t="shared" si="60"/>
        <v>2022</v>
      </c>
      <c r="X100" s="104">
        <f t="shared" si="60"/>
        <v>2023</v>
      </c>
      <c r="Y100" s="104">
        <f t="shared" si="60"/>
        <v>2024</v>
      </c>
      <c r="Z100" s="104">
        <f t="shared" si="60"/>
        <v>2025</v>
      </c>
      <c r="AA100" s="104">
        <f t="shared" si="60"/>
        <v>2026</v>
      </c>
      <c r="AB100" s="104">
        <f t="shared" si="60"/>
        <v>2027</v>
      </c>
      <c r="AC100" s="104">
        <f t="shared" si="60"/>
        <v>2028</v>
      </c>
      <c r="AD100" s="104">
        <f t="shared" si="60"/>
        <v>2029</v>
      </c>
      <c r="AE100" s="104">
        <f t="shared" si="60"/>
        <v>2030</v>
      </c>
      <c r="AF100" s="104">
        <f t="shared" si="60"/>
        <v>2031</v>
      </c>
      <c r="AG100" s="104">
        <f t="shared" si="60"/>
        <v>2032</v>
      </c>
      <c r="AH100" s="104">
        <f t="shared" si="60"/>
        <v>2033</v>
      </c>
      <c r="AI100" s="113"/>
      <c r="AJ100" s="100"/>
      <c r="AK100" s="105" t="s">
        <v>210</v>
      </c>
      <c r="AL100" s="105" t="s">
        <v>211</v>
      </c>
      <c r="AM100" s="105" t="s">
        <v>212</v>
      </c>
      <c r="AN100" s="100" t="s">
        <v>213</v>
      </c>
    </row>
    <row r="101" spans="1:40" s="87" customFormat="1">
      <c r="A101" s="87" t="s">
        <v>167</v>
      </c>
      <c r="S101" s="110">
        <f>S85+S69</f>
        <v>4687.2000000000007</v>
      </c>
      <c r="T101" s="110">
        <f t="shared" ref="T101:Y112" si="61">T85+T69</f>
        <v>4817.4000000000005</v>
      </c>
      <c r="U101" s="110">
        <f t="shared" si="61"/>
        <v>4583.04</v>
      </c>
      <c r="V101" s="110">
        <f t="shared" si="61"/>
        <v>4465.8599999999997</v>
      </c>
      <c r="W101" s="110">
        <f t="shared" si="61"/>
        <v>4557</v>
      </c>
      <c r="X101" s="110">
        <f t="shared" si="61"/>
        <v>4478.88</v>
      </c>
      <c r="Y101" s="111">
        <f t="shared" si="61"/>
        <v>5038.3620000000001</v>
      </c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13"/>
      <c r="AJ101" t="s">
        <v>214</v>
      </c>
      <c r="AK101" s="106">
        <f>MAX(S101:W101)</f>
        <v>4817.4000000000005</v>
      </c>
      <c r="AL101" s="106">
        <f>MIN(S101:W101)</f>
        <v>4465.8599999999997</v>
      </c>
      <c r="AM101" s="106">
        <f>AVERAGE(S101:W101)</f>
        <v>4622.1000000000004</v>
      </c>
      <c r="AN101" s="107">
        <f>X101/31</f>
        <v>144.47999999999999</v>
      </c>
    </row>
    <row r="102" spans="1:40" s="87" customFormat="1">
      <c r="A102" s="87" t="s">
        <v>168</v>
      </c>
      <c r="S102" s="110">
        <f t="shared" ref="S102:W112" si="62">S86+S70</f>
        <v>4033.6800000000003</v>
      </c>
      <c r="T102" s="110">
        <f t="shared" si="62"/>
        <v>4398.2400000000007</v>
      </c>
      <c r="U102" s="110">
        <f t="shared" si="62"/>
        <v>4409.16</v>
      </c>
      <c r="V102" s="110">
        <f t="shared" si="62"/>
        <v>3951.36</v>
      </c>
      <c r="W102" s="110">
        <f t="shared" si="62"/>
        <v>4421.7599999999993</v>
      </c>
      <c r="X102" s="110">
        <f t="shared" si="61"/>
        <v>4151.28</v>
      </c>
      <c r="Y102" s="111">
        <f t="shared" si="61"/>
        <v>5981.4191889963458</v>
      </c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13"/>
      <c r="AJ102" t="s">
        <v>215</v>
      </c>
      <c r="AK102" s="106">
        <f t="shared" ref="AK102:AK111" si="63">MAX(S102:W102)</f>
        <v>4421.7599999999993</v>
      </c>
      <c r="AL102" s="106">
        <f t="shared" ref="AL102:AL111" si="64">MIN(S102:W102)</f>
        <v>3951.36</v>
      </c>
      <c r="AM102" s="106">
        <f t="shared" ref="AM102:AM111" si="65">AVERAGE(S102:W102)</f>
        <v>4242.84</v>
      </c>
      <c r="AN102" s="107">
        <f t="shared" ref="AN102:AN112" si="66">X102/31</f>
        <v>133.91225806451612</v>
      </c>
    </row>
    <row r="103" spans="1:40" s="87" customFormat="1">
      <c r="A103" s="87" t="s">
        <v>169</v>
      </c>
      <c r="S103" s="110">
        <f t="shared" si="62"/>
        <v>4960.62</v>
      </c>
      <c r="T103" s="110">
        <f t="shared" si="62"/>
        <v>4908.54</v>
      </c>
      <c r="U103" s="110">
        <f t="shared" si="62"/>
        <v>4687.2000000000007</v>
      </c>
      <c r="V103" s="110">
        <f t="shared" si="62"/>
        <v>4817.4000000000005</v>
      </c>
      <c r="W103" s="110">
        <f t="shared" si="62"/>
        <v>4973.6400000000003</v>
      </c>
      <c r="X103" s="110">
        <f t="shared" si="61"/>
        <v>4895.5199999999995</v>
      </c>
      <c r="Y103" s="111">
        <f t="shared" si="61"/>
        <v>6501.9553902478692</v>
      </c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13"/>
      <c r="AJ103" t="s">
        <v>216</v>
      </c>
      <c r="AK103" s="106">
        <f t="shared" si="63"/>
        <v>4973.6400000000003</v>
      </c>
      <c r="AL103" s="106">
        <f t="shared" si="64"/>
        <v>4687.2000000000007</v>
      </c>
      <c r="AM103" s="106">
        <f t="shared" si="65"/>
        <v>4869.4800000000005</v>
      </c>
      <c r="AN103" s="107">
        <f t="shared" si="66"/>
        <v>157.91999999999999</v>
      </c>
    </row>
    <row r="104" spans="1:40" s="87" customFormat="1">
      <c r="A104" s="87" t="s">
        <v>170</v>
      </c>
      <c r="S104" s="110">
        <f t="shared" si="62"/>
        <v>4851.0000000000009</v>
      </c>
      <c r="T104" s="110">
        <f t="shared" si="62"/>
        <v>4913.9999999999991</v>
      </c>
      <c r="U104" s="110">
        <f t="shared" si="62"/>
        <v>4107.5999999999995</v>
      </c>
      <c r="V104" s="110">
        <f t="shared" si="62"/>
        <v>4838.3999999999996</v>
      </c>
      <c r="W104" s="110">
        <f t="shared" si="62"/>
        <v>4712.4000000000005</v>
      </c>
      <c r="X104" s="110">
        <f t="shared" si="61"/>
        <v>4662</v>
      </c>
      <c r="Y104" s="111">
        <f t="shared" si="61"/>
        <v>6003.5896032652781</v>
      </c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13"/>
      <c r="AJ104" t="s">
        <v>217</v>
      </c>
      <c r="AK104" s="106">
        <f t="shared" si="63"/>
        <v>4913.9999999999991</v>
      </c>
      <c r="AL104" s="106">
        <f t="shared" si="64"/>
        <v>4107.5999999999995</v>
      </c>
      <c r="AM104" s="106">
        <f t="shared" si="65"/>
        <v>4684.68</v>
      </c>
      <c r="AN104" s="107">
        <f t="shared" si="66"/>
        <v>150.38709677419354</v>
      </c>
    </row>
    <row r="105" spans="1:40" s="87" customFormat="1">
      <c r="A105" s="87" t="s">
        <v>171</v>
      </c>
      <c r="S105" s="110">
        <f t="shared" si="62"/>
        <v>5286.119999999999</v>
      </c>
      <c r="T105" s="110">
        <f t="shared" si="62"/>
        <v>5142.9000000000005</v>
      </c>
      <c r="U105" s="110">
        <f t="shared" si="62"/>
        <v>4244.5199999999995</v>
      </c>
      <c r="V105" s="110">
        <f t="shared" si="62"/>
        <v>4895.5199999999995</v>
      </c>
      <c r="W105" s="110">
        <f t="shared" si="62"/>
        <v>4843.4400000000005</v>
      </c>
      <c r="X105" s="110">
        <f t="shared" si="61"/>
        <v>4882.5</v>
      </c>
      <c r="Y105" s="111">
        <f t="shared" si="61"/>
        <v>6103.0012053796636</v>
      </c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13"/>
      <c r="AJ105" t="s">
        <v>171</v>
      </c>
      <c r="AK105" s="106">
        <f t="shared" si="63"/>
        <v>5286.119999999999</v>
      </c>
      <c r="AL105" s="106">
        <f t="shared" si="64"/>
        <v>4244.5199999999995</v>
      </c>
      <c r="AM105" s="106">
        <f t="shared" si="65"/>
        <v>4882.5</v>
      </c>
      <c r="AN105" s="107">
        <f t="shared" si="66"/>
        <v>157.5</v>
      </c>
    </row>
    <row r="106" spans="1:40" s="87" customFormat="1">
      <c r="A106" s="87" t="s">
        <v>172</v>
      </c>
      <c r="S106" s="110">
        <f t="shared" si="62"/>
        <v>4863.6000000000004</v>
      </c>
      <c r="T106" s="110">
        <f t="shared" si="62"/>
        <v>4901.3999999999996</v>
      </c>
      <c r="U106" s="110">
        <f t="shared" si="62"/>
        <v>4258.8</v>
      </c>
      <c r="V106" s="110">
        <f t="shared" si="62"/>
        <v>4825.8</v>
      </c>
      <c r="W106" s="110">
        <f t="shared" si="62"/>
        <v>4951.8</v>
      </c>
      <c r="X106" s="110">
        <f t="shared" si="61"/>
        <v>4813.2</v>
      </c>
      <c r="Y106" s="111">
        <f t="shared" si="61"/>
        <v>5959.3517492479386</v>
      </c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13"/>
      <c r="AJ106" t="s">
        <v>218</v>
      </c>
      <c r="AK106" s="106">
        <f t="shared" si="63"/>
        <v>4951.8</v>
      </c>
      <c r="AL106" s="106">
        <f t="shared" si="64"/>
        <v>4258.8</v>
      </c>
      <c r="AM106" s="106">
        <f t="shared" si="65"/>
        <v>4760.28</v>
      </c>
      <c r="AN106" s="107">
        <f t="shared" si="66"/>
        <v>155.26451612903224</v>
      </c>
    </row>
    <row r="107" spans="1:40" s="87" customFormat="1">
      <c r="A107" s="87" t="s">
        <v>173</v>
      </c>
      <c r="S107" s="110">
        <f t="shared" si="62"/>
        <v>5038.74</v>
      </c>
      <c r="T107" s="110">
        <f t="shared" si="62"/>
        <v>4973.6400000000003</v>
      </c>
      <c r="U107" s="110">
        <f t="shared" si="62"/>
        <v>4557</v>
      </c>
      <c r="V107" s="110">
        <f t="shared" si="62"/>
        <v>4661.1600000000008</v>
      </c>
      <c r="W107" s="110">
        <f t="shared" si="62"/>
        <v>4635.12</v>
      </c>
      <c r="X107" s="110">
        <f t="shared" si="61"/>
        <v>4329.6624352467334</v>
      </c>
      <c r="Y107" s="111">
        <f>Y75+Y91</f>
        <v>5874.9023449657689</v>
      </c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13"/>
      <c r="AJ107" t="s">
        <v>219</v>
      </c>
      <c r="AK107" s="106">
        <f t="shared" si="63"/>
        <v>5038.74</v>
      </c>
      <c r="AL107" s="106">
        <f t="shared" si="64"/>
        <v>4557</v>
      </c>
      <c r="AM107" s="106">
        <f t="shared" si="65"/>
        <v>4773.1319999999996</v>
      </c>
      <c r="AN107" s="108">
        <f t="shared" si="66"/>
        <v>139.66653016924946</v>
      </c>
    </row>
    <row r="108" spans="1:40" s="87" customFormat="1">
      <c r="A108" s="87" t="s">
        <v>174</v>
      </c>
      <c r="S108" s="110">
        <f t="shared" si="62"/>
        <v>5338.2</v>
      </c>
      <c r="T108" s="110">
        <f t="shared" si="62"/>
        <v>5116.8599999999997</v>
      </c>
      <c r="U108" s="110">
        <f t="shared" si="62"/>
        <v>4661.1600000000008</v>
      </c>
      <c r="V108" s="110">
        <f t="shared" si="62"/>
        <v>5038.74</v>
      </c>
      <c r="W108" s="110">
        <f t="shared" si="62"/>
        <v>5090.82</v>
      </c>
      <c r="X108" s="110">
        <f t="shared" si="61"/>
        <v>5128.6711524813718</v>
      </c>
      <c r="Y108" s="111">
        <f t="shared" ref="Y108:Y112" si="67">Y76+Y92</f>
        <v>6258.5648135360789</v>
      </c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13"/>
      <c r="AJ108" t="s">
        <v>220</v>
      </c>
      <c r="AK108" s="106">
        <f t="shared" si="63"/>
        <v>5338.2</v>
      </c>
      <c r="AL108" s="106">
        <f t="shared" si="64"/>
        <v>4661.1600000000008</v>
      </c>
      <c r="AM108" s="106">
        <f t="shared" si="65"/>
        <v>5049.1559999999999</v>
      </c>
      <c r="AN108" s="108">
        <f t="shared" si="66"/>
        <v>165.44100491875392</v>
      </c>
    </row>
    <row r="109" spans="1:40" s="87" customFormat="1">
      <c r="A109" s="87" t="s">
        <v>175</v>
      </c>
      <c r="S109" s="110">
        <f t="shared" si="62"/>
        <v>4876.2</v>
      </c>
      <c r="T109" s="110">
        <f t="shared" si="62"/>
        <v>4737.5999999999995</v>
      </c>
      <c r="U109" s="110">
        <f t="shared" si="62"/>
        <v>4611.6000000000004</v>
      </c>
      <c r="V109" s="110">
        <f t="shared" si="62"/>
        <v>4888.8</v>
      </c>
      <c r="W109" s="110">
        <f t="shared" si="62"/>
        <v>4951.8</v>
      </c>
      <c r="X109" s="110">
        <f t="shared" si="61"/>
        <v>4232.3487796074123</v>
      </c>
      <c r="Y109" s="111">
        <f t="shared" si="67"/>
        <v>6062.3056748683703</v>
      </c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13"/>
      <c r="AJ109" t="s">
        <v>221</v>
      </c>
      <c r="AK109" s="106">
        <f t="shared" si="63"/>
        <v>4951.8</v>
      </c>
      <c r="AL109" s="106">
        <f t="shared" si="64"/>
        <v>4611.6000000000004</v>
      </c>
      <c r="AM109" s="106">
        <f t="shared" si="65"/>
        <v>4813.2</v>
      </c>
      <c r="AN109" s="108">
        <f t="shared" si="66"/>
        <v>136.52737998733588</v>
      </c>
    </row>
    <row r="110" spans="1:40" s="87" customFormat="1">
      <c r="A110" s="87" t="s">
        <v>176</v>
      </c>
      <c r="S110" s="110">
        <f t="shared" si="62"/>
        <v>5312.1600000000008</v>
      </c>
      <c r="T110" s="110">
        <f t="shared" si="62"/>
        <v>5181.96</v>
      </c>
      <c r="U110" s="110">
        <f t="shared" si="62"/>
        <v>4986.6600000000008</v>
      </c>
      <c r="V110" s="110">
        <f t="shared" si="62"/>
        <v>4856.46</v>
      </c>
      <c r="W110" s="110">
        <f t="shared" si="62"/>
        <v>5090.82</v>
      </c>
      <c r="X110" s="110">
        <f t="shared" si="61"/>
        <v>3971.9441354031092</v>
      </c>
      <c r="Y110" s="111">
        <f t="shared" si="67"/>
        <v>6483.3170020329308</v>
      </c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13"/>
      <c r="AJ110" t="s">
        <v>222</v>
      </c>
      <c r="AK110" s="106">
        <f t="shared" si="63"/>
        <v>5312.1600000000008</v>
      </c>
      <c r="AL110" s="106">
        <f t="shared" si="64"/>
        <v>4856.46</v>
      </c>
      <c r="AM110" s="106">
        <f t="shared" si="65"/>
        <v>5085.6120000000001</v>
      </c>
      <c r="AN110" s="108">
        <f t="shared" si="66"/>
        <v>128.12723017429386</v>
      </c>
    </row>
    <row r="111" spans="1:40" s="87" customFormat="1">
      <c r="A111" s="87" t="s">
        <v>177</v>
      </c>
      <c r="S111" s="110">
        <f t="shared" si="62"/>
        <v>4737.5999999999995</v>
      </c>
      <c r="T111" s="110">
        <f t="shared" si="62"/>
        <v>4788</v>
      </c>
      <c r="U111" s="110">
        <f t="shared" si="62"/>
        <v>4498.2</v>
      </c>
      <c r="V111" s="110">
        <f t="shared" si="62"/>
        <v>4851.0000000000009</v>
      </c>
      <c r="W111" s="110">
        <f t="shared" si="62"/>
        <v>4699.8</v>
      </c>
      <c r="X111" s="110">
        <f t="shared" si="61"/>
        <v>2953.6334709145408</v>
      </c>
      <c r="Y111" s="111">
        <f t="shared" si="67"/>
        <v>6239.4836348828812</v>
      </c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13"/>
      <c r="AJ111" t="s">
        <v>223</v>
      </c>
      <c r="AK111" s="106">
        <f t="shared" si="63"/>
        <v>4851.0000000000009</v>
      </c>
      <c r="AL111" s="106">
        <f t="shared" si="64"/>
        <v>4498.2</v>
      </c>
      <c r="AM111" s="106">
        <f t="shared" si="65"/>
        <v>4714.92</v>
      </c>
      <c r="AN111" s="108">
        <f t="shared" si="66"/>
        <v>95.278499061759376</v>
      </c>
    </row>
    <row r="112" spans="1:40" s="87" customFormat="1">
      <c r="A112" s="87" t="s">
        <v>178</v>
      </c>
      <c r="S112" s="110">
        <f t="shared" si="62"/>
        <v>4543.9800000000005</v>
      </c>
      <c r="T112" s="110">
        <f t="shared" si="62"/>
        <v>4439.82</v>
      </c>
      <c r="U112" s="110">
        <f t="shared" si="62"/>
        <v>4439.82</v>
      </c>
      <c r="V112" s="110">
        <f t="shared" si="62"/>
        <v>4491.9000000000005</v>
      </c>
      <c r="W112" s="110">
        <f t="shared" si="62"/>
        <v>4231.5</v>
      </c>
      <c r="X112" s="110">
        <f t="shared" si="61"/>
        <v>-8203.1799736531648</v>
      </c>
      <c r="Y112" s="111">
        <f t="shared" si="67"/>
        <v>6069.0608034147781</v>
      </c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13"/>
      <c r="AJ112" t="s">
        <v>224</v>
      </c>
      <c r="AK112" s="106">
        <f>MAX(S112:W112)</f>
        <v>4543.9800000000005</v>
      </c>
      <c r="AL112" s="106">
        <f>MIN(S112:W112)</f>
        <v>4231.5</v>
      </c>
      <c r="AM112" s="106">
        <f>AVERAGE(S112:W112)</f>
        <v>4429.4040000000005</v>
      </c>
      <c r="AN112" s="108">
        <f t="shared" si="66"/>
        <v>-264.61870882752146</v>
      </c>
    </row>
    <row r="113" spans="1:40" s="87" customFormat="1">
      <c r="A113" s="109" t="s">
        <v>179</v>
      </c>
      <c r="S113" s="112">
        <f>SUM(S101:S112)</f>
        <v>58529.1</v>
      </c>
      <c r="T113" s="112">
        <f t="shared" ref="T113:X113" si="68">SUM(T101:T112)</f>
        <v>58320.36</v>
      </c>
      <c r="U113" s="112">
        <f t="shared" si="68"/>
        <v>54044.76</v>
      </c>
      <c r="V113" s="112">
        <f t="shared" si="68"/>
        <v>56582.400000000001</v>
      </c>
      <c r="W113" s="112">
        <f t="shared" si="68"/>
        <v>57159.9</v>
      </c>
      <c r="X113" s="112">
        <f t="shared" si="68"/>
        <v>40296.459999999992</v>
      </c>
      <c r="Y113" s="136">
        <f>SUM(Y101:Y112)</f>
        <v>72575.313410837902</v>
      </c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13"/>
      <c r="AJ113" t="s">
        <v>201</v>
      </c>
      <c r="AK113" s="106">
        <f>AVERAGE(AK101:AK112)</f>
        <v>4950.05</v>
      </c>
      <c r="AL113" s="106">
        <f t="shared" ref="AL113:AN113" si="69">AVERAGE(AL101:AL112)</f>
        <v>4427.6049999999996</v>
      </c>
      <c r="AM113" s="106">
        <f t="shared" si="69"/>
        <v>4743.942</v>
      </c>
      <c r="AN113" s="107">
        <f t="shared" si="69"/>
        <v>108.32381720430108</v>
      </c>
    </row>
    <row r="114" spans="1:40" s="87" customForma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13"/>
    </row>
    <row r="115" spans="1:40" s="150" customFormat="1" ht="15.75" thickBot="1">
      <c r="A115" s="145" t="s">
        <v>243</v>
      </c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7"/>
      <c r="Y115" s="147"/>
      <c r="Z115" s="147"/>
      <c r="AA115" s="147"/>
      <c r="AB115" s="147"/>
      <c r="AC115" s="147"/>
      <c r="AD115" s="148"/>
      <c r="AE115" s="148"/>
      <c r="AF115" s="148"/>
      <c r="AG115" s="148"/>
      <c r="AH115" s="148"/>
      <c r="AI115" s="149"/>
    </row>
    <row r="116" spans="1:40" s="150" customFormat="1" ht="15.75" thickBot="1">
      <c r="A116" s="151"/>
      <c r="B116" s="152">
        <v>2001</v>
      </c>
      <c r="C116" s="152">
        <v>2002</v>
      </c>
      <c r="D116" s="152">
        <v>2003</v>
      </c>
      <c r="E116" s="152">
        <v>2004</v>
      </c>
      <c r="F116" s="152">
        <v>2005</v>
      </c>
      <c r="G116" s="152">
        <v>2006</v>
      </c>
      <c r="H116" s="152">
        <v>2007</v>
      </c>
      <c r="I116" s="152">
        <v>2008</v>
      </c>
      <c r="J116" s="152">
        <v>2009</v>
      </c>
      <c r="K116" s="152">
        <v>2010</v>
      </c>
      <c r="L116" s="152">
        <v>2011</v>
      </c>
      <c r="M116" s="152">
        <v>2012</v>
      </c>
      <c r="N116" s="152">
        <v>2013</v>
      </c>
      <c r="O116" s="152">
        <v>2014</v>
      </c>
      <c r="P116" s="152">
        <v>2015</v>
      </c>
      <c r="Q116" s="152">
        <v>2016</v>
      </c>
      <c r="R116" s="152">
        <v>2017</v>
      </c>
      <c r="S116" s="152">
        <v>2018</v>
      </c>
      <c r="T116" s="152">
        <v>2019</v>
      </c>
      <c r="U116" s="152">
        <v>2020</v>
      </c>
      <c r="V116" s="152">
        <v>2021</v>
      </c>
      <c r="W116" s="152">
        <v>2022</v>
      </c>
      <c r="X116" s="152">
        <v>2023</v>
      </c>
      <c r="Y116" s="152">
        <v>2024</v>
      </c>
      <c r="Z116" s="152">
        <v>2025</v>
      </c>
      <c r="AA116" s="152">
        <v>2026</v>
      </c>
      <c r="AB116" s="152">
        <v>2027</v>
      </c>
      <c r="AC116" s="152">
        <v>2028</v>
      </c>
      <c r="AD116" s="152">
        <v>2029</v>
      </c>
      <c r="AE116" s="152">
        <v>2030</v>
      </c>
      <c r="AF116" s="152">
        <v>2031</v>
      </c>
      <c r="AG116" s="152">
        <v>2032</v>
      </c>
      <c r="AH116" s="152">
        <v>2033</v>
      </c>
      <c r="AI116" s="149"/>
    </row>
    <row r="117" spans="1:40" s="150" customFormat="1" ht="14.25">
      <c r="A117" s="150" t="s">
        <v>167</v>
      </c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>
        <f>(comp!C471)</f>
        <v>26.026979999999998</v>
      </c>
      <c r="N117" s="153">
        <f>(comp!C483)</f>
        <v>16.604279999999999</v>
      </c>
      <c r="O117" s="153">
        <f>(comp!C495)</f>
        <v>26.669369999999997</v>
      </c>
      <c r="P117" s="153">
        <f>(comp!C507)</f>
        <v>25.699169999999999</v>
      </c>
      <c r="Q117" s="153">
        <f>(comp!C519)</f>
        <v>27.42033</v>
      </c>
      <c r="R117" s="153">
        <f>(comp!C531)</f>
        <v>128.43171599999999</v>
      </c>
      <c r="S117" s="153">
        <f>monthly_data!$CI543</f>
        <v>1300.278</v>
      </c>
      <c r="T117" s="153">
        <f>monthly_data!$CI555</f>
        <v>1666.0139999999999</v>
      </c>
      <c r="U117" s="153">
        <f>monthly_data!$CI567</f>
        <v>1609.944</v>
      </c>
      <c r="V117" s="153">
        <f>monthly_data!$CI579</f>
        <v>1173.8579999999999</v>
      </c>
      <c r="W117" s="153">
        <f>monthly_data!$CI591</f>
        <v>1219.848</v>
      </c>
      <c r="X117" s="153">
        <f>monthly_data!$CI603</f>
        <v>1223.712</v>
      </c>
      <c r="Y117" s="153">
        <f>monthly_data!$CI615</f>
        <v>1336.7760000000001</v>
      </c>
      <c r="Z117" s="154">
        <f t="shared" ref="Z117:Z127" si="70">Y$129*(SUM(U117:Y117)/SUM(U$129:Y$129))</f>
        <v>1341.2272829807473</v>
      </c>
      <c r="AA117" s="154">
        <f t="shared" ref="AA117:AA127" si="71">Z$129*(SUM(V117:Z117)/SUM(V$129:Z$129))</f>
        <v>88.85372230519188</v>
      </c>
      <c r="AB117" s="154">
        <f t="shared" ref="AB117:AH127" si="72">AA$129*(SUM(W117:AA117)/SUM(W$129:AA$129))</f>
        <v>984.14239075249805</v>
      </c>
      <c r="AC117" s="154">
        <f t="shared" si="72"/>
        <v>1048.6088890311573</v>
      </c>
      <c r="AD117" s="154">
        <f t="shared" si="72"/>
        <v>1111.6853856431496</v>
      </c>
      <c r="AE117" s="154">
        <f t="shared" si="72"/>
        <v>1240.4138376405158</v>
      </c>
      <c r="AF117" s="154">
        <f t="shared" si="72"/>
        <v>986.06282950213802</v>
      </c>
      <c r="AG117" s="154">
        <f t="shared" si="72"/>
        <v>1138.2599620367109</v>
      </c>
      <c r="AH117" s="154">
        <f t="shared" si="72"/>
        <v>1137.4085626826522</v>
      </c>
      <c r="AI117" s="149"/>
    </row>
    <row r="118" spans="1:40" s="150" customFormat="1" ht="14.25">
      <c r="A118" s="150" t="s">
        <v>168</v>
      </c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>
        <f>(comp!C472)</f>
        <v>23.602319999999999</v>
      </c>
      <c r="N118" s="153">
        <f>(comp!C484)</f>
        <v>26.406617999999998</v>
      </c>
      <c r="O118" s="153">
        <f>(comp!C496)</f>
        <v>15.648569999999999</v>
      </c>
      <c r="P118" s="153">
        <f>(comp!C508)</f>
        <v>49.008959999999995</v>
      </c>
      <c r="Q118" s="153">
        <f>(comp!C520)</f>
        <v>29.937809999999999</v>
      </c>
      <c r="R118" s="153">
        <f>(comp!C532)</f>
        <v>123.68021399999999</v>
      </c>
      <c r="S118" s="153">
        <f>monthly_data!$CI544</f>
        <v>1216.068</v>
      </c>
      <c r="T118" s="153">
        <f>monthly_data!$CI556</f>
        <v>1364.328</v>
      </c>
      <c r="U118" s="153">
        <f>monthly_data!$CI568</f>
        <v>1601.6279999999999</v>
      </c>
      <c r="V118" s="153">
        <f>monthly_data!$CI580</f>
        <v>1037.19</v>
      </c>
      <c r="W118" s="153">
        <f>monthly_data!$CI592</f>
        <v>1038.8699999999999</v>
      </c>
      <c r="X118" s="153">
        <f>monthly_data!$CI604</f>
        <v>1073.8979999999999</v>
      </c>
      <c r="Y118" s="153">
        <f>monthly_data!$CI616</f>
        <v>1157.604</v>
      </c>
      <c r="Z118" s="154">
        <f t="shared" si="70"/>
        <v>1207.4040564529575</v>
      </c>
      <c r="AA118" s="154">
        <f t="shared" si="71"/>
        <v>77.838359098759753</v>
      </c>
      <c r="AB118" s="154">
        <f t="shared" si="72"/>
        <v>860.46342504242068</v>
      </c>
      <c r="AC118" s="154">
        <f t="shared" si="72"/>
        <v>922.66237885459566</v>
      </c>
      <c r="AD118" s="154">
        <f t="shared" si="72"/>
        <v>978.81978642075387</v>
      </c>
      <c r="AE118" s="154">
        <f t="shared" si="72"/>
        <v>1097.4245521344885</v>
      </c>
      <c r="AF118" s="154">
        <f t="shared" si="72"/>
        <v>867.81216633873453</v>
      </c>
      <c r="AG118" s="154">
        <f t="shared" si="72"/>
        <v>1001.8337705648431</v>
      </c>
      <c r="AH118" s="154">
        <f t="shared" si="72"/>
        <v>1002.2628964889662</v>
      </c>
      <c r="AI118" s="149"/>
    </row>
    <row r="119" spans="1:40" s="150" customFormat="1" ht="14.25">
      <c r="A119" s="150" t="s">
        <v>169</v>
      </c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>
        <f>(comp!C473)</f>
        <v>29.674218</v>
      </c>
      <c r="N119" s="153">
        <f>(comp!C485)</f>
        <v>87.924479999999988</v>
      </c>
      <c r="O119" s="153">
        <f>(comp!C497)</f>
        <v>43.078559999999996</v>
      </c>
      <c r="P119" s="153">
        <f>(comp!C509)</f>
        <v>67.65549</v>
      </c>
      <c r="Q119" s="153">
        <f>(comp!C521)</f>
        <v>41.740985999999999</v>
      </c>
      <c r="R119" s="153">
        <f>(comp!C533)</f>
        <v>137.09455199999999</v>
      </c>
      <c r="S119" s="153">
        <f>monthly_data!$CI545</f>
        <v>1468.6559999999999</v>
      </c>
      <c r="T119" s="153">
        <f>monthly_data!$CI557</f>
        <v>1526.8679999999999</v>
      </c>
      <c r="U119" s="153">
        <f>monthly_data!$CI569</f>
        <v>1857.5340000000001</v>
      </c>
      <c r="V119" s="153">
        <f>monthly_data!$CI581</f>
        <v>1101.4079999999999</v>
      </c>
      <c r="W119" s="153">
        <f>monthly_data!$CI593</f>
        <v>1564.7940000000001</v>
      </c>
      <c r="X119" s="153">
        <f>monthly_data!$CI605</f>
        <v>1486.086</v>
      </c>
      <c r="Y119" s="153">
        <f>monthly_data!$CI617</f>
        <v>1467.3119999999999</v>
      </c>
      <c r="Z119" s="154">
        <f t="shared" si="70"/>
        <v>1527.7765518188328</v>
      </c>
      <c r="AA119" s="154">
        <f t="shared" si="71"/>
        <v>100.87823877058437</v>
      </c>
      <c r="AB119" s="154">
        <f t="shared" si="72"/>
        <v>1161.0150377489813</v>
      </c>
      <c r="AC119" s="154">
        <f t="shared" si="72"/>
        <v>1210.5691156074413</v>
      </c>
      <c r="AD119" s="154">
        <f t="shared" si="72"/>
        <v>1266.3942802481977</v>
      </c>
      <c r="AE119" s="154">
        <f t="shared" si="72"/>
        <v>1428.0860189681389</v>
      </c>
      <c r="AF119" s="154">
        <f t="shared" si="72"/>
        <v>1138.8616398030135</v>
      </c>
      <c r="AG119" s="154">
        <f t="shared" si="72"/>
        <v>1315.0126432908523</v>
      </c>
      <c r="AH119" s="154">
        <f t="shared" si="72"/>
        <v>1309.0776122921607</v>
      </c>
      <c r="AI119" s="149"/>
    </row>
    <row r="120" spans="1:40" s="150" customFormat="1" ht="14.25">
      <c r="A120" s="150" t="s">
        <v>170</v>
      </c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>
        <f>(comp!C474)</f>
        <v>16.138794000000001</v>
      </c>
      <c r="N120" s="153">
        <f>(comp!C486)</f>
        <v>29.043629999999997</v>
      </c>
      <c r="O120" s="153">
        <f>(comp!C498)</f>
        <v>11.724383999999999</v>
      </c>
      <c r="P120" s="153">
        <f>(comp!C510)</f>
        <v>36.571163999999996</v>
      </c>
      <c r="Q120" s="153">
        <f>(comp!C522)</f>
        <v>68.486586000000003</v>
      </c>
      <c r="R120" s="153">
        <f>(comp!C534)</f>
        <v>79.98236399999999</v>
      </c>
      <c r="S120" s="153">
        <f>monthly_data!$CI546</f>
        <v>1844.598</v>
      </c>
      <c r="T120" s="153">
        <f>monthly_data!$CI558</f>
        <v>1589.1959999999999</v>
      </c>
      <c r="U120" s="153">
        <f>monthly_data!$CI570</f>
        <v>1315.9860000000001</v>
      </c>
      <c r="V120" s="153">
        <f>monthly_data!$CI582</f>
        <v>1311.492</v>
      </c>
      <c r="W120" s="153">
        <f>monthly_data!$CI594</f>
        <v>1596.63</v>
      </c>
      <c r="X120" s="153">
        <f>monthly_data!$CI606</f>
        <v>1285.0740000000001</v>
      </c>
      <c r="Y120" s="154">
        <f t="shared" ref="Y120:Y127" si="73">X$129*(SUM(T120:X120)/SUM(T$129:X$129))</f>
        <v>1339.2902614777361</v>
      </c>
      <c r="Z120" s="154">
        <f t="shared" si="70"/>
        <v>1399.3243048562965</v>
      </c>
      <c r="AA120" s="154">
        <f t="shared" si="71"/>
        <v>97.835735441300812</v>
      </c>
      <c r="AB120" s="154">
        <f t="shared" si="72"/>
        <v>1080.0436969885161</v>
      </c>
      <c r="AC120" s="154">
        <f t="shared" si="72"/>
        <v>1096.4275123070149</v>
      </c>
      <c r="AD120" s="154">
        <f t="shared" si="72"/>
        <v>1161.0930001452916</v>
      </c>
      <c r="AE120" s="154">
        <f t="shared" si="72"/>
        <v>1310.9707497571669</v>
      </c>
      <c r="AF120" s="154">
        <f t="shared" si="72"/>
        <v>1046.1620798438767</v>
      </c>
      <c r="AG120" s="154">
        <f t="shared" si="72"/>
        <v>1206.8795815718997</v>
      </c>
      <c r="AH120" s="154">
        <f t="shared" si="72"/>
        <v>1198.4478477128353</v>
      </c>
      <c r="AI120" s="149"/>
    </row>
    <row r="121" spans="1:40" s="150" customFormat="1" ht="14.25">
      <c r="A121" s="150" t="s">
        <v>171</v>
      </c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>
        <f>(comp!C475)</f>
        <v>25.109741999999997</v>
      </c>
      <c r="N121" s="153">
        <f>(comp!C487)</f>
        <v>44.706437999999999</v>
      </c>
      <c r="O121" s="153">
        <f>(comp!C499)</f>
        <v>51.957401999999995</v>
      </c>
      <c r="P121" s="153">
        <f>(comp!C511)</f>
        <v>42.775866000000001</v>
      </c>
      <c r="Q121" s="153">
        <f>(comp!C523)</f>
        <v>92.549982</v>
      </c>
      <c r="R121" s="153">
        <f>(comp!C535)</f>
        <v>131.83610999999999</v>
      </c>
      <c r="S121" s="153">
        <f>monthly_data!$CI547</f>
        <v>1786.134</v>
      </c>
      <c r="T121" s="153">
        <f>monthly_data!$CI559</f>
        <v>1676.0940000000001</v>
      </c>
      <c r="U121" s="153">
        <f>monthly_data!$CI571</f>
        <v>1040.424</v>
      </c>
      <c r="V121" s="153">
        <f>monthly_data!$CI583</f>
        <v>1354.5840000000001</v>
      </c>
      <c r="W121" s="153">
        <f>monthly_data!$CI595</f>
        <v>1538.3340000000001</v>
      </c>
      <c r="X121" s="153">
        <f>monthly_data!$CI607</f>
        <v>1523.172</v>
      </c>
      <c r="Y121" s="154">
        <f t="shared" si="73"/>
        <v>1345.7486250152065</v>
      </c>
      <c r="Z121" s="154">
        <f t="shared" si="70"/>
        <v>1389.8824519945545</v>
      </c>
      <c r="AA121" s="154">
        <f t="shared" si="71"/>
        <v>100.93955750010392</v>
      </c>
      <c r="AB121" s="154">
        <f t="shared" si="72"/>
        <v>1114.0273866831205</v>
      </c>
      <c r="AC121" s="154">
        <f t="shared" si="72"/>
        <v>1153.8044006544983</v>
      </c>
      <c r="AD121" s="154">
        <f t="shared" si="72"/>
        <v>1182.2818108847118</v>
      </c>
      <c r="AE121" s="154">
        <f t="shared" si="72"/>
        <v>1339.7707342877065</v>
      </c>
      <c r="AF121" s="154">
        <f t="shared" si="72"/>
        <v>1078.0014503928194</v>
      </c>
      <c r="AG121" s="154">
        <f t="shared" si="72"/>
        <v>1243.5835462061768</v>
      </c>
      <c r="AH121" s="154">
        <f t="shared" si="72"/>
        <v>1234.6612966000482</v>
      </c>
      <c r="AI121" s="149"/>
    </row>
    <row r="122" spans="1:40" s="150" customFormat="1" ht="14.25">
      <c r="A122" s="150" t="s">
        <v>172</v>
      </c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>
        <f>(comp!C476)</f>
        <v>19.224449999999997</v>
      </c>
      <c r="N122" s="153">
        <f>(comp!C488)</f>
        <v>56.776691999999997</v>
      </c>
      <c r="O122" s="153">
        <f>(comp!C500)</f>
        <v>12.150053999999999</v>
      </c>
      <c r="P122" s="153">
        <f>(comp!C512)</f>
        <v>47.296367999999994</v>
      </c>
      <c r="Q122" s="153">
        <f>(comp!C524)</f>
        <v>61.312985999999995</v>
      </c>
      <c r="R122" s="153">
        <f>(comp!C536)</f>
        <v>114.51602399999999</v>
      </c>
      <c r="S122" s="153">
        <f>monthly_data!$CI548</f>
        <v>1848.672</v>
      </c>
      <c r="T122" s="153">
        <f>monthly_data!$CI560</f>
        <v>1909.992</v>
      </c>
      <c r="U122" s="153">
        <f>monthly_data!$CI572</f>
        <v>1644.636</v>
      </c>
      <c r="V122" s="153">
        <f>monthly_data!$CI584</f>
        <v>1584.3240000000001</v>
      </c>
      <c r="W122" s="153">
        <f>monthly_data!$CI596</f>
        <v>1524.768</v>
      </c>
      <c r="X122" s="153">
        <f>monthly_data!$CI608</f>
        <v>1504.3140000000001</v>
      </c>
      <c r="Y122" s="154">
        <f t="shared" si="73"/>
        <v>1541.1081787443604</v>
      </c>
      <c r="Z122" s="154">
        <f t="shared" si="70"/>
        <v>1593.5729876178884</v>
      </c>
      <c r="AA122" s="154">
        <f t="shared" si="71"/>
        <v>109.35668234587276</v>
      </c>
      <c r="AB122" s="154">
        <f t="shared" si="72"/>
        <v>1184.8654645341119</v>
      </c>
      <c r="AC122" s="154">
        <f t="shared" si="72"/>
        <v>1250.6503231873708</v>
      </c>
      <c r="AD122" s="154">
        <f t="shared" si="72"/>
        <v>1315.4983489457088</v>
      </c>
      <c r="AE122" s="154">
        <f t="shared" si="72"/>
        <v>1478.8766498315356</v>
      </c>
      <c r="AF122" s="154">
        <f t="shared" si="72"/>
        <v>1176.8398627431941</v>
      </c>
      <c r="AG122" s="154">
        <f t="shared" si="72"/>
        <v>1357.7811694266868</v>
      </c>
      <c r="AH122" s="154">
        <f t="shared" si="72"/>
        <v>1354.5166050377034</v>
      </c>
      <c r="AI122" s="149"/>
    </row>
    <row r="123" spans="1:40" s="150" customFormat="1" ht="14.25">
      <c r="A123" s="150" t="s">
        <v>173</v>
      </c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>
        <f>(comp!C477)</f>
        <v>22.388562</v>
      </c>
      <c r="N123" s="153">
        <f>(comp!C489)</f>
        <v>56.595167999999994</v>
      </c>
      <c r="O123" s="153">
        <f>(comp!C501)</f>
        <v>14.314775999999998</v>
      </c>
      <c r="P123" s="153">
        <f>(comp!C513)</f>
        <v>63.167957999999999</v>
      </c>
      <c r="Q123" s="153">
        <f>(comp!C525)</f>
        <v>46.307477999999996</v>
      </c>
      <c r="R123" s="153">
        <f>(comp!C537)</f>
        <v>78.130373999999989</v>
      </c>
      <c r="S123" s="153">
        <f>monthly_data!$CI549</f>
        <v>1695.7919999999999</v>
      </c>
      <c r="T123" s="153">
        <f>monthly_data!$CI561</f>
        <v>1788.864</v>
      </c>
      <c r="U123" s="153">
        <f>monthly_data!$CI573</f>
        <v>1785.84</v>
      </c>
      <c r="V123" s="153">
        <f>monthly_data!$CI585</f>
        <v>1668.4079999999999</v>
      </c>
      <c r="W123" s="153">
        <f>monthly_data!$CI597</f>
        <v>1994.6220000000001</v>
      </c>
      <c r="X123" s="153">
        <f>monthly_data!$CI609</f>
        <v>1588.566</v>
      </c>
      <c r="Y123" s="154">
        <f t="shared" si="73"/>
        <v>1665.3068679747596</v>
      </c>
      <c r="Z123" s="154">
        <f t="shared" si="70"/>
        <v>1778.2009109640694</v>
      </c>
      <c r="AA123" s="154">
        <f t="shared" si="71"/>
        <v>122.7228968261913</v>
      </c>
      <c r="AB123" s="154">
        <f t="shared" si="72"/>
        <v>1350.3805896763956</v>
      </c>
      <c r="AC123" s="154">
        <f t="shared" si="72"/>
        <v>1371.2125512843643</v>
      </c>
      <c r="AD123" s="154">
        <f t="shared" si="72"/>
        <v>1456.3859026365569</v>
      </c>
      <c r="AE123" s="154">
        <f t="shared" si="72"/>
        <v>1648.3388539099672</v>
      </c>
      <c r="AF123" s="154">
        <f t="shared" si="72"/>
        <v>1311.2462744440056</v>
      </c>
      <c r="AG123" s="154">
        <f t="shared" si="72"/>
        <v>1512.6670307884353</v>
      </c>
      <c r="AH123" s="154">
        <f t="shared" si="72"/>
        <v>1502.7812039587347</v>
      </c>
      <c r="AI123" s="149"/>
    </row>
    <row r="124" spans="1:40" s="150" customFormat="1" ht="14.25">
      <c r="A124" s="150" t="s">
        <v>174</v>
      </c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>
        <f>(comp!C478)</f>
        <v>28.742363999999998</v>
      </c>
      <c r="N124" s="153">
        <f>(comp!C490)</f>
        <v>46.569263999999997</v>
      </c>
      <c r="O124" s="153">
        <f>(comp!C502)</f>
        <v>43.277975999999995</v>
      </c>
      <c r="P124" s="153">
        <f>(comp!C514)</f>
        <v>44.032505999999998</v>
      </c>
      <c r="Q124" s="153">
        <f>(comp!C526)</f>
        <v>71.877960000000002</v>
      </c>
      <c r="R124" s="153">
        <f>(comp!C538)</f>
        <v>113.082984</v>
      </c>
      <c r="S124" s="153">
        <f>monthly_data!$CI550</f>
        <v>1663.41</v>
      </c>
      <c r="T124" s="153">
        <f>monthly_data!$CI562</f>
        <v>1992.06</v>
      </c>
      <c r="U124" s="153">
        <f>monthly_data!$CI574</f>
        <v>1752.0719999999999</v>
      </c>
      <c r="V124" s="153">
        <f>monthly_data!$CI586</f>
        <v>1509.732</v>
      </c>
      <c r="W124" s="153">
        <f>monthly_data!$CI598</f>
        <v>1771.8119999999999</v>
      </c>
      <c r="X124" s="153">
        <f>monthly_data!$CI610</f>
        <v>1489.2360000000001</v>
      </c>
      <c r="Y124" s="154">
        <f t="shared" si="73"/>
        <v>1606.5555707148749</v>
      </c>
      <c r="Z124" s="154">
        <f t="shared" si="70"/>
        <v>1661.0533215957726</v>
      </c>
      <c r="AA124" s="154">
        <f t="shared" si="71"/>
        <v>113.45400765305598</v>
      </c>
      <c r="AB124" s="154">
        <f t="shared" si="72"/>
        <v>1254.5604112112285</v>
      </c>
      <c r="AC124" s="154">
        <f t="shared" si="72"/>
        <v>1291.0461344306018</v>
      </c>
      <c r="AD124" s="154">
        <f t="shared" si="72"/>
        <v>1372.735318570258</v>
      </c>
      <c r="AE124" s="154">
        <f t="shared" si="72"/>
        <v>1543.6575882915622</v>
      </c>
      <c r="AF124" s="154">
        <f t="shared" si="72"/>
        <v>1228.9027476379099</v>
      </c>
      <c r="AG124" s="154">
        <f t="shared" si="72"/>
        <v>1418.0057678720671</v>
      </c>
      <c r="AH124" s="154">
        <f t="shared" si="72"/>
        <v>1411.067872447948</v>
      </c>
      <c r="AI124" s="149"/>
    </row>
    <row r="125" spans="1:40" s="150" customFormat="1" ht="14.25">
      <c r="A125" s="150" t="s">
        <v>175</v>
      </c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>
        <f>(comp!C479)</f>
        <v>26.816412</v>
      </c>
      <c r="N125" s="153">
        <f>(comp!C491)</f>
        <v>56.309483999999998</v>
      </c>
      <c r="O125" s="153">
        <f>(comp!C503)</f>
        <v>46.321883999999997</v>
      </c>
      <c r="P125" s="153">
        <f>(comp!C515)</f>
        <v>55.090433999999995</v>
      </c>
      <c r="Q125" s="153">
        <f>(comp!C527)</f>
        <v>106.01266199999999</v>
      </c>
      <c r="R125" s="153">
        <f>(comp!C539)</f>
        <v>59.674607999999999</v>
      </c>
      <c r="S125" s="153">
        <f>monthly_data!$CI551</f>
        <v>1635.69</v>
      </c>
      <c r="T125" s="153">
        <f>monthly_data!$CI563</f>
        <v>1798.0619999999999</v>
      </c>
      <c r="U125" s="153">
        <f>monthly_data!$CI575</f>
        <v>1491.5039999999999</v>
      </c>
      <c r="V125" s="153">
        <f>monthly_data!$CI587</f>
        <v>1174.53</v>
      </c>
      <c r="W125" s="153">
        <f>monthly_data!$CI599</f>
        <v>1649.55</v>
      </c>
      <c r="X125" s="153">
        <f>monthly_data!$CI611</f>
        <v>1317.162</v>
      </c>
      <c r="Y125" s="154">
        <f t="shared" si="73"/>
        <v>1402.0116693293667</v>
      </c>
      <c r="Z125" s="154">
        <f t="shared" si="70"/>
        <v>1437.3873485387726</v>
      </c>
      <c r="AA125" s="154">
        <f t="shared" si="71"/>
        <v>98.524929569162964</v>
      </c>
      <c r="AB125" s="154">
        <f t="shared" si="72"/>
        <v>1115.2663082319243</v>
      </c>
      <c r="AC125" s="154">
        <f t="shared" si="72"/>
        <v>1132.0051886844708</v>
      </c>
      <c r="AD125" s="154">
        <f t="shared" si="72"/>
        <v>1200.9950926876234</v>
      </c>
      <c r="AE125" s="154">
        <f t="shared" si="72"/>
        <v>1351.4964596960608</v>
      </c>
      <c r="AF125" s="154">
        <f t="shared" si="72"/>
        <v>1079.6466330444393</v>
      </c>
      <c r="AG125" s="154">
        <f t="shared" si="72"/>
        <v>1246.0258111486098</v>
      </c>
      <c r="AH125" s="154">
        <f t="shared" si="72"/>
        <v>1237.2813860135038</v>
      </c>
      <c r="AI125" s="149"/>
    </row>
    <row r="126" spans="1:40" s="150" customFormat="1" ht="14.25">
      <c r="A126" s="150" t="s">
        <v>176</v>
      </c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>
        <f>(comp!C480)</f>
        <v>58.04421</v>
      </c>
      <c r="N126" s="153">
        <f>(comp!C492)</f>
        <v>79.890803999999989</v>
      </c>
      <c r="O126" s="153">
        <f>(comp!C504)</f>
        <v>33.169205999999996</v>
      </c>
      <c r="P126" s="153">
        <f>(comp!C516)</f>
        <v>35.632841999999997</v>
      </c>
      <c r="Q126" s="153">
        <f>(comp!C528)</f>
        <v>84.583128000000002</v>
      </c>
      <c r="R126" s="153">
        <f>(comp!C540)</f>
        <v>101.32760399999999</v>
      </c>
      <c r="S126" s="153">
        <f>monthly_data!$CI552</f>
        <v>1737.33</v>
      </c>
      <c r="T126" s="153">
        <f>monthly_data!$CI564</f>
        <v>1568.7840000000001</v>
      </c>
      <c r="U126" s="153">
        <f>monthly_data!$CI576</f>
        <v>1367.4780000000001</v>
      </c>
      <c r="V126" s="153">
        <f>monthly_data!$CI588</f>
        <v>1337.952</v>
      </c>
      <c r="W126" s="153">
        <f>monthly_data!$CI600</f>
        <v>1329.72</v>
      </c>
      <c r="X126" s="153">
        <f>monthly_data!$CI612</f>
        <v>1389.9059999999999</v>
      </c>
      <c r="Y126" s="154">
        <f t="shared" si="73"/>
        <v>1319.5664984780253</v>
      </c>
      <c r="Z126" s="154">
        <f t="shared" si="70"/>
        <v>1378.1050472071888</v>
      </c>
      <c r="AA126" s="154">
        <f t="shared" si="71"/>
        <v>95.343749092259628</v>
      </c>
      <c r="AB126" s="154">
        <f t="shared" si="72"/>
        <v>1041.2264465011899</v>
      </c>
      <c r="AC126" s="154">
        <f t="shared" si="72"/>
        <v>1101.1870484545639</v>
      </c>
      <c r="AD126" s="154">
        <f t="shared" si="72"/>
        <v>1143.1441341778855</v>
      </c>
      <c r="AE126" s="154">
        <f t="shared" si="72"/>
        <v>1290.439309333256</v>
      </c>
      <c r="AF126" s="154">
        <f t="shared" si="72"/>
        <v>1029.6244865315155</v>
      </c>
      <c r="AG126" s="154">
        <f t="shared" si="72"/>
        <v>1188.00174855146</v>
      </c>
      <c r="AH126" s="154">
        <f t="shared" si="72"/>
        <v>1184.2151486843732</v>
      </c>
      <c r="AI126" s="149"/>
    </row>
    <row r="127" spans="1:40" s="150" customFormat="1" ht="14.25">
      <c r="A127" s="150" t="s">
        <v>177</v>
      </c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>
        <f>(comp!C481)</f>
        <v>25.807025999999997</v>
      </c>
      <c r="N127" s="153">
        <f>(comp!C493)</f>
        <v>36.350285999999997</v>
      </c>
      <c r="O127" s="153">
        <f>(comp!C505)</f>
        <v>63.22974</v>
      </c>
      <c r="P127" s="153">
        <f>(comp!C517)</f>
        <v>27.891821999999998</v>
      </c>
      <c r="Q127" s="153">
        <f>(comp!C529)</f>
        <v>104.166426</v>
      </c>
      <c r="R127" s="153">
        <f>(comp!C541)</f>
        <v>65.435705999999996</v>
      </c>
      <c r="S127" s="153">
        <f>monthly_data!$CI553</f>
        <v>1753.5419999999999</v>
      </c>
      <c r="T127" s="153">
        <f>monthly_data!$CI565</f>
        <v>1445.9760000000001</v>
      </c>
      <c r="U127" s="153">
        <f>monthly_data!$CI577</f>
        <v>1253.616</v>
      </c>
      <c r="V127" s="153">
        <f>monthly_data!$CI589</f>
        <v>1420.566</v>
      </c>
      <c r="W127" s="153">
        <f>monthly_data!$CI601</f>
        <v>1473.4860000000001</v>
      </c>
      <c r="X127" s="153">
        <f>monthly_data!$CI613</f>
        <v>1417.08</v>
      </c>
      <c r="Y127" s="154">
        <f t="shared" si="73"/>
        <v>1322.7520961983482</v>
      </c>
      <c r="Z127" s="154">
        <f t="shared" si="70"/>
        <v>1407.2987253701472</v>
      </c>
      <c r="AA127" s="154">
        <f t="shared" si="71"/>
        <v>99.37941799369294</v>
      </c>
      <c r="AB127" s="154">
        <f t="shared" si="72"/>
        <v>1080.3916017829565</v>
      </c>
      <c r="AC127" s="154">
        <f t="shared" si="72"/>
        <v>1122.8463677871214</v>
      </c>
      <c r="AD127" s="154">
        <f t="shared" si="72"/>
        <v>1165.6667308219921</v>
      </c>
      <c r="AE127" s="154">
        <f t="shared" si="72"/>
        <v>1322.0498555895279</v>
      </c>
      <c r="AF127" s="154">
        <f t="shared" si="72"/>
        <v>1055.8521606879315</v>
      </c>
      <c r="AG127" s="154">
        <f t="shared" si="72"/>
        <v>1217.9232078614032</v>
      </c>
      <c r="AH127" s="154">
        <f t="shared" si="72"/>
        <v>1211.3772593284452</v>
      </c>
      <c r="AI127" s="149"/>
    </row>
    <row r="128" spans="1:40" s="150" customFormat="1" ht="14.25">
      <c r="A128" s="150" t="s">
        <v>178</v>
      </c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>
        <f>(comp!C482)</f>
        <v>60.696593999999997</v>
      </c>
      <c r="N128" s="153">
        <f>(comp!C494)</f>
        <v>36.492162</v>
      </c>
      <c r="O128" s="153">
        <f>(comp!C506)</f>
        <v>38.147171999999998</v>
      </c>
      <c r="P128" s="153">
        <f>(comp!C518)</f>
        <v>29.529527999999999</v>
      </c>
      <c r="Q128" s="153">
        <f>(comp!C530)</f>
        <v>93.377129999999994</v>
      </c>
      <c r="R128" s="153">
        <f>(comp!C542)</f>
        <v>93.210641999999993</v>
      </c>
      <c r="S128" s="153">
        <f>monthly_data!$CI554</f>
        <v>1803.816</v>
      </c>
      <c r="T128" s="153">
        <f>monthly_data!$CI566</f>
        <v>1693.2719999999999</v>
      </c>
      <c r="U128" s="153">
        <f>monthly_data!$CI578</f>
        <v>1522.1220000000001</v>
      </c>
      <c r="V128" s="153">
        <f>monthly_data!$CI590</f>
        <v>1719.9</v>
      </c>
      <c r="W128" s="153">
        <f>monthly_data!$CI602</f>
        <v>1752.87</v>
      </c>
      <c r="X128" s="153">
        <f>monthly_data!$CI614</f>
        <v>1704.066</v>
      </c>
      <c r="Y128" s="154">
        <f>Y129-SUM(Y117:Y127)</f>
        <v>2495.9682320673237</v>
      </c>
      <c r="Z128" s="154">
        <f t="shared" ref="Z128:AH128" si="74">Z129-SUM(Z117:Z127)</f>
        <v>-15121.232989397227</v>
      </c>
      <c r="AA128" s="154">
        <f t="shared" si="74"/>
        <v>11576.019559058959</v>
      </c>
      <c r="AB128" s="154">
        <f t="shared" si="74"/>
        <v>776.30009728089499</v>
      </c>
      <c r="AC128" s="154">
        <f t="shared" si="74"/>
        <v>768.44835686045008</v>
      </c>
      <c r="AD128" s="154">
        <f t="shared" si="74"/>
        <v>1583.8590942047504</v>
      </c>
      <c r="AE128" s="154">
        <f t="shared" si="74"/>
        <v>241.89675438143422</v>
      </c>
      <c r="AF128" s="154">
        <f t="shared" si="74"/>
        <v>3250.0611870889807</v>
      </c>
      <c r="AG128" s="154">
        <f t="shared" si="74"/>
        <v>1435.8397644484376</v>
      </c>
      <c r="AH128" s="154">
        <f t="shared" si="74"/>
        <v>1899.6376672505394</v>
      </c>
      <c r="AI128" s="149"/>
    </row>
    <row r="129" spans="1:35" s="150" customFormat="1" ht="14.25">
      <c r="A129" s="155" t="s">
        <v>179</v>
      </c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>
        <f t="shared" ref="M129:X129" si="75">SUM(M117:M128)</f>
        <v>362.27167200000002</v>
      </c>
      <c r="N129" s="156">
        <f t="shared" si="75"/>
        <v>573.66930600000001</v>
      </c>
      <c r="O129" s="156">
        <f t="shared" si="75"/>
        <v>399.68909399999995</v>
      </c>
      <c r="P129" s="156">
        <f t="shared" si="75"/>
        <v>524.35210799999993</v>
      </c>
      <c r="Q129" s="156">
        <f t="shared" si="75"/>
        <v>827.77346399999988</v>
      </c>
      <c r="R129" s="156">
        <f t="shared" si="75"/>
        <v>1226.4028979999998</v>
      </c>
      <c r="S129" s="156">
        <f t="shared" si="75"/>
        <v>19753.986000000001</v>
      </c>
      <c r="T129" s="156">
        <f t="shared" si="75"/>
        <v>20019.509999999998</v>
      </c>
      <c r="U129" s="156">
        <f t="shared" si="75"/>
        <v>18242.783999999996</v>
      </c>
      <c r="V129" s="156">
        <f t="shared" si="75"/>
        <v>16393.944</v>
      </c>
      <c r="W129" s="156">
        <f t="shared" si="75"/>
        <v>18455.303999999996</v>
      </c>
      <c r="X129" s="156">
        <f t="shared" si="75"/>
        <v>17002.272000000004</v>
      </c>
      <c r="Y129" s="157">
        <f t="shared" ref="Y129:AH129" si="76">Y11</f>
        <v>18000</v>
      </c>
      <c r="Z129" s="157">
        <f t="shared" si="76"/>
        <v>1000</v>
      </c>
      <c r="AA129" s="157">
        <f t="shared" si="76"/>
        <v>12681.146855655135</v>
      </c>
      <c r="AB129" s="157">
        <f t="shared" si="76"/>
        <v>13002.68285643424</v>
      </c>
      <c r="AC129" s="157">
        <f t="shared" si="76"/>
        <v>13469.468267143648</v>
      </c>
      <c r="AD129" s="157">
        <f t="shared" si="76"/>
        <v>14938.558885386878</v>
      </c>
      <c r="AE129" s="157">
        <f t="shared" si="76"/>
        <v>15293.421363821362</v>
      </c>
      <c r="AF129" s="157">
        <f t="shared" si="76"/>
        <v>15249.073518058558</v>
      </c>
      <c r="AG129" s="157">
        <f t="shared" si="76"/>
        <v>15281.814003767582</v>
      </c>
      <c r="AH129" s="157">
        <f t="shared" si="76"/>
        <v>15682.73535849791</v>
      </c>
      <c r="AI129" s="149"/>
    </row>
    <row r="130" spans="1:35" s="87" customFormat="1"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13"/>
    </row>
    <row r="131" spans="1:35" s="87" customFormat="1" ht="15.75" thickBot="1">
      <c r="A131" s="100" t="s">
        <v>248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98"/>
      <c r="Y131" s="98"/>
      <c r="Z131" s="98"/>
      <c r="AA131" s="98"/>
      <c r="AB131" s="98"/>
      <c r="AC131" s="98"/>
      <c r="AD131" s="102"/>
      <c r="AE131" s="102"/>
      <c r="AF131" s="102"/>
      <c r="AG131" s="102"/>
      <c r="AH131" s="102"/>
      <c r="AI131" s="113"/>
    </row>
    <row r="132" spans="1:35" s="100" customFormat="1" ht="15.75" thickBot="1">
      <c r="A132" s="103"/>
      <c r="B132" s="104">
        <v>2001</v>
      </c>
      <c r="C132" s="104">
        <v>2002</v>
      </c>
      <c r="D132" s="104">
        <v>2003</v>
      </c>
      <c r="E132" s="104">
        <v>2004</v>
      </c>
      <c r="F132" s="104">
        <v>2005</v>
      </c>
      <c r="G132" s="104">
        <v>2006</v>
      </c>
      <c r="H132" s="104">
        <v>2007</v>
      </c>
      <c r="I132" s="104">
        <f t="shared" ref="I132:AH132" si="77">I2</f>
        <v>2008</v>
      </c>
      <c r="J132" s="104">
        <f t="shared" si="77"/>
        <v>2009</v>
      </c>
      <c r="K132" s="104">
        <f t="shared" si="77"/>
        <v>2010</v>
      </c>
      <c r="L132" s="104">
        <f t="shared" si="77"/>
        <v>2011</v>
      </c>
      <c r="M132" s="104">
        <f t="shared" si="77"/>
        <v>2012</v>
      </c>
      <c r="N132" s="104">
        <f t="shared" si="77"/>
        <v>2013</v>
      </c>
      <c r="O132" s="104">
        <f t="shared" si="77"/>
        <v>2014</v>
      </c>
      <c r="P132" s="104">
        <f t="shared" si="77"/>
        <v>2015</v>
      </c>
      <c r="Q132" s="104">
        <f t="shared" si="77"/>
        <v>2016</v>
      </c>
      <c r="R132" s="104">
        <f t="shared" si="77"/>
        <v>2017</v>
      </c>
      <c r="S132" s="104">
        <f t="shared" si="77"/>
        <v>2018</v>
      </c>
      <c r="T132" s="104">
        <f t="shared" si="77"/>
        <v>2019</v>
      </c>
      <c r="U132" s="104">
        <f t="shared" si="77"/>
        <v>2020</v>
      </c>
      <c r="V132" s="104">
        <f t="shared" si="77"/>
        <v>2021</v>
      </c>
      <c r="W132" s="104">
        <f t="shared" si="77"/>
        <v>2022</v>
      </c>
      <c r="X132" s="104">
        <f t="shared" si="77"/>
        <v>2023</v>
      </c>
      <c r="Y132" s="104">
        <f t="shared" si="77"/>
        <v>2024</v>
      </c>
      <c r="Z132" s="104">
        <f t="shared" si="77"/>
        <v>2025</v>
      </c>
      <c r="AA132" s="104">
        <f t="shared" si="77"/>
        <v>2026</v>
      </c>
      <c r="AB132" s="104">
        <f t="shared" si="77"/>
        <v>2027</v>
      </c>
      <c r="AC132" s="104">
        <f t="shared" si="77"/>
        <v>2028</v>
      </c>
      <c r="AD132" s="104">
        <f t="shared" si="77"/>
        <v>2029</v>
      </c>
      <c r="AE132" s="104">
        <f t="shared" si="77"/>
        <v>2030</v>
      </c>
      <c r="AF132" s="104">
        <f t="shared" si="77"/>
        <v>2031</v>
      </c>
      <c r="AG132" s="104">
        <f t="shared" si="77"/>
        <v>2032</v>
      </c>
      <c r="AH132" s="104">
        <f t="shared" si="77"/>
        <v>2033</v>
      </c>
      <c r="AI132" s="102"/>
    </row>
    <row r="133" spans="1:35">
      <c r="A133" s="87" t="s">
        <v>167</v>
      </c>
      <c r="B133" s="106">
        <f>monthly_data!CB339*42/1000</f>
        <v>4964.6099999999997</v>
      </c>
      <c r="C133" s="106">
        <f>monthly_data!CB351*42/1000</f>
        <v>5751.69</v>
      </c>
      <c r="D133" s="106">
        <f>monthly_data!CB363*42/1000</f>
        <v>4728.7380000000003</v>
      </c>
      <c r="E133" s="106">
        <f>monthly_data!CB375*42/1000</f>
        <v>5157.2219999999998</v>
      </c>
      <c r="F133" s="106">
        <f>monthly_data!CB387*42/1000</f>
        <v>5119.59</v>
      </c>
      <c r="G133" s="106">
        <f>monthly_data!CB399*42/1000</f>
        <v>5855.8919999999998</v>
      </c>
      <c r="H133" s="106">
        <f>monthly_data!CB411*42/1000</f>
        <v>5863.5360000000001</v>
      </c>
      <c r="I133" s="106">
        <f>monthly_data!CB423*42/1000</f>
        <v>5500.4459999999999</v>
      </c>
      <c r="J133" s="106">
        <f>monthly_data!CB435*42/1000</f>
        <v>6036.66</v>
      </c>
      <c r="K133" s="106">
        <f>monthly_data!CB447*42/1000</f>
        <v>6868.134</v>
      </c>
      <c r="L133" s="106">
        <f>monthly_data!CB459*42/1000</f>
        <v>6849.6120000000001</v>
      </c>
      <c r="M133" s="106">
        <f>monthly_data!CB471*42/1000</f>
        <v>6182.82</v>
      </c>
      <c r="N133" s="106">
        <f>monthly_data!CB483*42/1000</f>
        <v>5513.2560000000003</v>
      </c>
      <c r="O133" s="106">
        <f>monthly_data!CB495*42/1000</f>
        <v>4816.0559999999996</v>
      </c>
      <c r="P133" s="106">
        <f>monthly_data!CB507*42/1000</f>
        <v>5569.5360000000001</v>
      </c>
      <c r="Q133" s="106">
        <f>monthly_data!CB519*42/1000</f>
        <v>6744.99</v>
      </c>
      <c r="R133" s="106">
        <f>monthly_data!CB531*42/1000</f>
        <v>7150.3739999999998</v>
      </c>
      <c r="S133" s="106">
        <f>monthly_data!$CB543*42/1000</f>
        <v>5936.28</v>
      </c>
      <c r="T133" s="106">
        <f>monthly_data!$CB555*42/1000</f>
        <v>5885.4179999999997</v>
      </c>
      <c r="U133" s="106">
        <f>monthly_data!$CB567*42/1000</f>
        <v>6013.98</v>
      </c>
      <c r="V133" s="106">
        <f>monthly_data!$CB579*42/1000</f>
        <v>6890.4359999999997</v>
      </c>
      <c r="W133" s="106">
        <f>monthly_data!$CB591*42/1000</f>
        <v>5261.8440000000001</v>
      </c>
      <c r="X133" s="106">
        <f>monthly_data!$CB603*42/1000</f>
        <v>5166.5460000000003</v>
      </c>
      <c r="Y133" s="106">
        <f>monthly_data!$CB615*42/1000</f>
        <v>5405.0219999999999</v>
      </c>
      <c r="Z133" s="135">
        <f t="shared" ref="Z133:AH133" si="78">Y144+Z21+Z37-Z69-Z117</f>
        <v>9565.6168000838061</v>
      </c>
      <c r="AA133" s="135">
        <f t="shared" si="78"/>
        <v>27399.282545127844</v>
      </c>
      <c r="AB133" s="135">
        <f t="shared" si="78"/>
        <v>31511.432893997724</v>
      </c>
      <c r="AC133" s="135">
        <f t="shared" si="78"/>
        <v>36317.961916787484</v>
      </c>
      <c r="AD133" s="135">
        <f t="shared" si="78"/>
        <v>40802.837513282851</v>
      </c>
      <c r="AE133" s="135">
        <f t="shared" si="78"/>
        <v>43742.500007832561</v>
      </c>
      <c r="AF133" s="135">
        <f t="shared" si="78"/>
        <v>46584.09757083407</v>
      </c>
      <c r="AG133" s="135">
        <f t="shared" si="78"/>
        <v>48970.526304879939</v>
      </c>
      <c r="AH133" s="135">
        <f t="shared" si="78"/>
        <v>51446.401286046064</v>
      </c>
    </row>
    <row r="134" spans="1:35">
      <c r="A134" s="87" t="s">
        <v>168</v>
      </c>
      <c r="B134" s="106">
        <f>monthly_data!CB340*42/1000</f>
        <v>4914.9660000000003</v>
      </c>
      <c r="C134" s="106">
        <f>monthly_data!CB352*42/1000</f>
        <v>5460.1679999999997</v>
      </c>
      <c r="D134" s="106">
        <f>monthly_data!CB364*42/1000</f>
        <v>4102.7280000000001</v>
      </c>
      <c r="E134" s="106">
        <f>monthly_data!CB376*42/1000</f>
        <v>4712.3159999999998</v>
      </c>
      <c r="F134" s="106">
        <f>monthly_data!CB388*42/1000</f>
        <v>4927.692</v>
      </c>
      <c r="G134" s="106">
        <f>monthly_data!CB400*42/1000</f>
        <v>5696.67</v>
      </c>
      <c r="H134" s="106">
        <f>monthly_data!CB412*42/1000</f>
        <v>5196.366</v>
      </c>
      <c r="I134" s="106">
        <f>monthly_data!CB424*42/1000</f>
        <v>4940.7120000000004</v>
      </c>
      <c r="J134" s="106">
        <f>monthly_data!CB436*42/1000</f>
        <v>6220.41</v>
      </c>
      <c r="K134" s="106">
        <f>monthly_data!CB448*42/1000</f>
        <v>6523.9859999999999</v>
      </c>
      <c r="L134" s="106">
        <f>monthly_data!CB460*42/1000</f>
        <v>6471.2340000000004</v>
      </c>
      <c r="M134" s="106">
        <f>monthly_data!CB472*42/1000</f>
        <v>5850.1379999999999</v>
      </c>
      <c r="N134" s="106">
        <f>monthly_data!CB484*42/1000</f>
        <v>5122.4459999999999</v>
      </c>
      <c r="O134" s="106">
        <f>monthly_data!CB496*42/1000</f>
        <v>4750.326</v>
      </c>
      <c r="P134" s="106">
        <f>monthly_data!CB508*42/1000</f>
        <v>5191.5360000000001</v>
      </c>
      <c r="Q134" s="106">
        <f>monthly_data!CB520*42/1000</f>
        <v>6824.8320000000003</v>
      </c>
      <c r="R134" s="106">
        <f>monthly_data!CB532*42/1000</f>
        <v>6838.9440000000004</v>
      </c>
      <c r="S134" s="106">
        <f>monthly_data!$CB544*42/1000</f>
        <v>5833.2960000000003</v>
      </c>
      <c r="T134" s="106">
        <f>monthly_data!$CB556*42/1000</f>
        <v>5725.5659999999998</v>
      </c>
      <c r="U134" s="106">
        <f>monthly_data!$CB568*42/1000</f>
        <v>5582.5559999999996</v>
      </c>
      <c r="V134" s="106">
        <f>monthly_data!$CB580*42/1000</f>
        <v>6048.5039999999999</v>
      </c>
      <c r="W134" s="106">
        <f>monthly_data!$CB592*42/1000</f>
        <v>5065.62</v>
      </c>
      <c r="X134" s="106">
        <f>monthly_data!$CB604*42/1000</f>
        <v>5242.482</v>
      </c>
      <c r="Y134" s="106">
        <f>monthly_data!$CB616*42/1000</f>
        <v>4947.4319999999998</v>
      </c>
      <c r="Z134" s="135">
        <f t="shared" ref="Y134:AH144" si="79">Z133+Z22+Z38-Z70-Z118</f>
        <v>8420.3133623410304</v>
      </c>
      <c r="AA134" s="135">
        <f t="shared" si="79"/>
        <v>27353.759540997886</v>
      </c>
      <c r="AB134" s="135">
        <f t="shared" si="79"/>
        <v>30719.294839865506</v>
      </c>
      <c r="AC134" s="135">
        <f t="shared" si="79"/>
        <v>35447.100503454036</v>
      </c>
      <c r="AD134" s="135">
        <f t="shared" si="79"/>
        <v>39913.016615630797</v>
      </c>
      <c r="AE134" s="135">
        <f t="shared" si="79"/>
        <v>42843.326112151364</v>
      </c>
      <c r="AF134" s="135">
        <f t="shared" si="79"/>
        <v>45903.538820615417</v>
      </c>
      <c r="AG134" s="135">
        <f t="shared" si="79"/>
        <v>48175.1998421928</v>
      </c>
      <c r="AH134" s="135">
        <f t="shared" si="79"/>
        <v>50702.071319583134</v>
      </c>
    </row>
    <row r="135" spans="1:35">
      <c r="A135" s="87" t="s">
        <v>169</v>
      </c>
      <c r="B135" s="106">
        <f>monthly_data!CB341*42/1000</f>
        <v>4410.8819999999996</v>
      </c>
      <c r="C135" s="106">
        <f>monthly_data!CB353*42/1000</f>
        <v>5170.1580000000004</v>
      </c>
      <c r="D135" s="106">
        <f>monthly_data!CB365*42/1000</f>
        <v>4141.2839999999997</v>
      </c>
      <c r="E135" s="106">
        <f>monthly_data!CB377*42/1000</f>
        <v>4383.96</v>
      </c>
      <c r="F135" s="106">
        <f>monthly_data!CB389*42/1000</f>
        <v>4428.6059999999998</v>
      </c>
      <c r="G135" s="106">
        <f>monthly_data!CB401*42/1000</f>
        <v>5062.848</v>
      </c>
      <c r="H135" s="106">
        <f>monthly_data!CB413*42/1000</f>
        <v>5040.2939999999999</v>
      </c>
      <c r="I135" s="106">
        <f>monthly_data!CB425*42/1000</f>
        <v>4526.9279999999999</v>
      </c>
      <c r="J135" s="106">
        <f>monthly_data!CB437*42/1000</f>
        <v>6102.6419999999998</v>
      </c>
      <c r="K135" s="106">
        <f>monthly_data!CB449*42/1000</f>
        <v>6166.3140000000003</v>
      </c>
      <c r="L135" s="106">
        <f>monthly_data!CB461*42/1000</f>
        <v>6268.0379999999996</v>
      </c>
      <c r="M135" s="106">
        <f>monthly_data!CB473*42/1000</f>
        <v>5615.2740000000003</v>
      </c>
      <c r="N135" s="106">
        <f>monthly_data!CB485*42/1000</f>
        <v>4986.9539999999997</v>
      </c>
      <c r="O135" s="106">
        <f>monthly_data!CB497*42/1000</f>
        <v>4839.5339999999997</v>
      </c>
      <c r="P135" s="106">
        <f>monthly_data!CB509*42/1000</f>
        <v>5405.0640000000003</v>
      </c>
      <c r="Q135" s="106">
        <f>monthly_data!CB521*42/1000</f>
        <v>6723.0659999999998</v>
      </c>
      <c r="R135" s="106">
        <f>monthly_data!CB533*42/1000</f>
        <v>6385.2179999999998</v>
      </c>
      <c r="S135" s="106">
        <f>monthly_data!$CB545*42/1000</f>
        <v>5480.076</v>
      </c>
      <c r="T135" s="106">
        <f>monthly_data!$CB557*42/1000</f>
        <v>5551.2240000000002</v>
      </c>
      <c r="U135" s="106">
        <f>monthly_data!$CB569*42/1000</f>
        <v>5324.8440000000001</v>
      </c>
      <c r="V135" s="106">
        <f>monthly_data!$CB581*42/1000</f>
        <v>6135.3180000000002</v>
      </c>
      <c r="W135" s="106">
        <f>monthly_data!$CB593*42/1000</f>
        <v>4815.6360000000004</v>
      </c>
      <c r="X135" s="106">
        <f>monthly_data!$CB605*42/1000</f>
        <v>4716.2640000000001</v>
      </c>
      <c r="Y135" s="106">
        <f>monthly_data!$CB617*42/1000</f>
        <v>5088.93</v>
      </c>
      <c r="Z135" s="135">
        <f t="shared" si="79"/>
        <v>7314.3466837440637</v>
      </c>
      <c r="AA135" s="135">
        <f t="shared" si="79"/>
        <v>27669.6626837978</v>
      </c>
      <c r="AB135" s="135">
        <f t="shared" si="79"/>
        <v>29908.06580372703</v>
      </c>
      <c r="AC135" s="135">
        <f t="shared" si="79"/>
        <v>34555.843862731344</v>
      </c>
      <c r="AD135" s="135">
        <f t="shared" si="79"/>
        <v>39117.635725388536</v>
      </c>
      <c r="AE135" s="135">
        <f t="shared" si="79"/>
        <v>41992.903961976976</v>
      </c>
      <c r="AF135" s="135">
        <f t="shared" si="79"/>
        <v>45327.726974494588</v>
      </c>
      <c r="AG135" s="135">
        <f t="shared" si="79"/>
        <v>47432.320297820464</v>
      </c>
      <c r="AH135" s="135">
        <f t="shared" si="79"/>
        <v>50031.606935910779</v>
      </c>
    </row>
    <row r="136" spans="1:35">
      <c r="A136" s="87" t="s">
        <v>170</v>
      </c>
      <c r="B136" s="106">
        <f>monthly_data!CB342*42/1000</f>
        <v>4407.6899999999996</v>
      </c>
      <c r="C136" s="106">
        <f>monthly_data!CB354*42/1000</f>
        <v>5140.674</v>
      </c>
      <c r="D136" s="106">
        <f>monthly_data!CB366*42/1000</f>
        <v>4081.6019999999999</v>
      </c>
      <c r="E136" s="106">
        <f>monthly_data!CB378*42/1000</f>
        <v>4263.21</v>
      </c>
      <c r="F136" s="106">
        <f>monthly_data!CB390*42/1000</f>
        <v>4426.884</v>
      </c>
      <c r="G136" s="106">
        <f>monthly_data!CB402*42/1000</f>
        <v>4892.6220000000003</v>
      </c>
      <c r="H136" s="106">
        <f>monthly_data!CB414*42/1000</f>
        <v>5095.0619999999999</v>
      </c>
      <c r="I136" s="106">
        <f>monthly_data!CB426*42/1000</f>
        <v>4496.1419999999998</v>
      </c>
      <c r="J136" s="106">
        <f>monthly_data!CB438*42/1000</f>
        <v>6302.4359999999997</v>
      </c>
      <c r="K136" s="106">
        <f>monthly_data!CB450*42/1000</f>
        <v>6081.6840000000002</v>
      </c>
      <c r="L136" s="106">
        <f>monthly_data!CB462*42/1000</f>
        <v>6002.598</v>
      </c>
      <c r="M136" s="106">
        <f>monthly_data!CB474*42/1000</f>
        <v>5235.93</v>
      </c>
      <c r="N136" s="106">
        <f>monthly_data!CB486*42/1000</f>
        <v>4989.2219999999998</v>
      </c>
      <c r="O136" s="106">
        <f>monthly_data!CB498*42/1000</f>
        <v>4901.0640000000003</v>
      </c>
      <c r="P136" s="106">
        <f>monthly_data!CB510*42/1000</f>
        <v>5450.5919999999996</v>
      </c>
      <c r="Q136" s="106">
        <f>monthly_data!CB522*42/1000</f>
        <v>6499.1220000000003</v>
      </c>
      <c r="R136" s="106">
        <f>monthly_data!CB534*42/1000</f>
        <v>6508.1940000000004</v>
      </c>
      <c r="S136" s="106">
        <f>monthly_data!$CB546*42/1000</f>
        <v>5078.9759999999997</v>
      </c>
      <c r="T136" s="106">
        <f>monthly_data!$CB558*42/1000</f>
        <v>5387.5079999999998</v>
      </c>
      <c r="U136" s="106">
        <f>monthly_data!$CB570*42/1000</f>
        <v>6338.7240000000002</v>
      </c>
      <c r="V136" s="106">
        <f>monthly_data!$CB582*42/1000</f>
        <v>5763.1559999999999</v>
      </c>
      <c r="W136" s="106">
        <f>monthly_data!$CB594*42/1000</f>
        <v>4464.2219999999998</v>
      </c>
      <c r="X136" s="106">
        <f>monthly_data!$CB606*42/1000</f>
        <v>4706.5619999999999</v>
      </c>
      <c r="Y136" s="135">
        <f t="shared" si="79"/>
        <v>4587.5593198580118</v>
      </c>
      <c r="Z136" s="135">
        <f t="shared" si="79"/>
        <v>6746.4980901782974</v>
      </c>
      <c r="AA136" s="135">
        <f t="shared" si="79"/>
        <v>28299.935344490186</v>
      </c>
      <c r="AB136" s="135">
        <f t="shared" si="79"/>
        <v>29593.411229149082</v>
      </c>
      <c r="AC136" s="135">
        <f t="shared" si="79"/>
        <v>34264.854309034505</v>
      </c>
      <c r="AD136" s="135">
        <f t="shared" si="79"/>
        <v>38912.721524265668</v>
      </c>
      <c r="AE136" s="135">
        <f t="shared" si="79"/>
        <v>41663.750820287474</v>
      </c>
      <c r="AF136" s="135">
        <f t="shared" si="79"/>
        <v>45251.754065350244</v>
      </c>
      <c r="AG136" s="135">
        <f t="shared" si="79"/>
        <v>47219.720131143935</v>
      </c>
      <c r="AH136" s="135">
        <f t="shared" si="79"/>
        <v>49889.556187349088</v>
      </c>
    </row>
    <row r="137" spans="1:35">
      <c r="A137" s="87" t="s">
        <v>171</v>
      </c>
      <c r="B137" s="106">
        <f>monthly_data!CB343*42/1000</f>
        <v>4499.9639999999999</v>
      </c>
      <c r="C137" s="106">
        <f>monthly_data!CB355*42/1000</f>
        <v>5334.8819999999996</v>
      </c>
      <c r="D137" s="106">
        <f>monthly_data!CB367*42/1000</f>
        <v>4480.9380000000001</v>
      </c>
      <c r="E137" s="106">
        <f>monthly_data!CB379*42/1000</f>
        <v>4513.2780000000002</v>
      </c>
      <c r="F137" s="106">
        <f>monthly_data!CB391*42/1000</f>
        <v>4719.4979999999996</v>
      </c>
      <c r="G137" s="106">
        <f>monthly_data!CB403*42/1000</f>
        <v>5205.9840000000004</v>
      </c>
      <c r="H137" s="106">
        <f>monthly_data!CB415*42/1000</f>
        <v>5253.4859999999999</v>
      </c>
      <c r="I137" s="106">
        <f>monthly_data!CB427*42/1000</f>
        <v>4785.5219999999999</v>
      </c>
      <c r="J137" s="106">
        <f>monthly_data!CB439*42/1000</f>
        <v>6581.652</v>
      </c>
      <c r="K137" s="106">
        <f>monthly_data!CB451*42/1000</f>
        <v>6301.7219999999998</v>
      </c>
      <c r="L137" s="106">
        <f>monthly_data!CB463*42/1000</f>
        <v>6083.5739999999996</v>
      </c>
      <c r="M137" s="106">
        <f>monthly_data!CB475*42/1000</f>
        <v>5100.6899999999996</v>
      </c>
      <c r="N137" s="106">
        <f>monthly_data!CB487*42/1000</f>
        <v>5129.5439999999999</v>
      </c>
      <c r="O137" s="106">
        <f>monthly_data!CB499*42/1000</f>
        <v>5105.6880000000001</v>
      </c>
      <c r="P137" s="106">
        <f>monthly_data!CB511*42/1000</f>
        <v>5686.884</v>
      </c>
      <c r="Q137" s="106">
        <f>monthly_data!CB523*42/1000</f>
        <v>6507.7740000000003</v>
      </c>
      <c r="R137" s="106">
        <f>monthly_data!CB535*42/1000</f>
        <v>6478.3739999999998</v>
      </c>
      <c r="S137" s="106">
        <f>monthly_data!$CB547*42/1000</f>
        <v>4854.3599999999997</v>
      </c>
      <c r="T137" s="106">
        <f>monthly_data!$CB559*42/1000</f>
        <v>5454.33</v>
      </c>
      <c r="U137" s="106">
        <f>monthly_data!$CB571*42/1000</f>
        <v>7418.3339999999998</v>
      </c>
      <c r="V137" s="106">
        <f>monthly_data!$CB583*42/1000</f>
        <v>5863.2</v>
      </c>
      <c r="W137" s="106">
        <f>monthly_data!$CB595*42/1000</f>
        <v>4607.9040000000005</v>
      </c>
      <c r="X137" s="106">
        <f>monthly_data!$CB607*42/1000</f>
        <v>4751.88</v>
      </c>
      <c r="Y137" s="135">
        <f t="shared" si="79"/>
        <v>4407.3931003238486</v>
      </c>
      <c r="Z137" s="135">
        <f t="shared" si="79"/>
        <v>6498.0393647654337</v>
      </c>
      <c r="AA137" s="135">
        <f t="shared" si="79"/>
        <v>29327.443182473151</v>
      </c>
      <c r="AB137" s="135">
        <f t="shared" si="79"/>
        <v>29602.434421153717</v>
      </c>
      <c r="AC137" s="135">
        <f t="shared" si="79"/>
        <v>34247.215404625</v>
      </c>
      <c r="AD137" s="135">
        <f t="shared" si="79"/>
        <v>39019.046092287354</v>
      </c>
      <c r="AE137" s="135">
        <f t="shared" si="79"/>
        <v>41639.955861754912</v>
      </c>
      <c r="AF137" s="135">
        <f t="shared" si="79"/>
        <v>45485.978052909566</v>
      </c>
      <c r="AG137" s="135">
        <f t="shared" si="79"/>
        <v>47300.225073558759</v>
      </c>
      <c r="AH137" s="135">
        <f t="shared" si="79"/>
        <v>50033.293259792896</v>
      </c>
    </row>
    <row r="138" spans="1:35">
      <c r="A138" s="87" t="s">
        <v>172</v>
      </c>
      <c r="B138" s="106">
        <f>monthly_data!CB344*42/1000</f>
        <v>4782.8339999999998</v>
      </c>
      <c r="C138" s="106">
        <f>monthly_data!CB356*42/1000</f>
        <v>5591.2079999999996</v>
      </c>
      <c r="D138" s="106">
        <f>monthly_data!CB368*42/1000</f>
        <v>4712.5680000000002</v>
      </c>
      <c r="E138" s="106">
        <f>monthly_data!CB380*42/1000</f>
        <v>4800.2640000000001</v>
      </c>
      <c r="F138" s="106">
        <f>monthly_data!CB392*42/1000</f>
        <v>5028.2820000000002</v>
      </c>
      <c r="G138" s="106">
        <f>monthly_data!CB404*42/1000</f>
        <v>5456.3040000000001</v>
      </c>
      <c r="H138" s="106">
        <f>monthly_data!CB416*42/1000</f>
        <v>5199.6000000000004</v>
      </c>
      <c r="I138" s="106">
        <f>monthly_data!CB428*42/1000</f>
        <v>5111.82</v>
      </c>
      <c r="J138" s="106">
        <f>monthly_data!CB440*42/1000</f>
        <v>6834.366</v>
      </c>
      <c r="K138" s="106">
        <f>monthly_data!CB452*42/1000</f>
        <v>6633.6480000000001</v>
      </c>
      <c r="L138" s="106">
        <f>monthly_data!CB464*42/1000</f>
        <v>6042.54</v>
      </c>
      <c r="M138" s="106">
        <f>monthly_data!CB476*42/1000</f>
        <v>5035.38</v>
      </c>
      <c r="N138" s="106">
        <f>monthly_data!CB488*42/1000</f>
        <v>5143.4459999999999</v>
      </c>
      <c r="O138" s="106">
        <f>monthly_data!CB500*42/1000</f>
        <v>5106.57</v>
      </c>
      <c r="P138" s="106">
        <f>monthly_data!CB512*42/1000</f>
        <v>5864.7120000000004</v>
      </c>
      <c r="Q138" s="106">
        <f>monthly_data!CB524*42/1000</f>
        <v>6290.2139999999999</v>
      </c>
      <c r="R138" s="106">
        <f>monthly_data!CB536*42/1000</f>
        <v>6386.52</v>
      </c>
      <c r="S138" s="106">
        <f>monthly_data!$CB548*42/1000</f>
        <v>5063.058</v>
      </c>
      <c r="T138" s="106">
        <f>monthly_data!$CB560*42/1000</f>
        <v>5505.9480000000003</v>
      </c>
      <c r="U138" s="106">
        <f>monthly_data!$CB572*42/1000</f>
        <v>7431.7740000000003</v>
      </c>
      <c r="V138" s="106">
        <f>monthly_data!$CB584*42/1000</f>
        <v>5885.5860000000002</v>
      </c>
      <c r="W138" s="106">
        <f>monthly_data!$CB596*42/1000</f>
        <v>4675.8180000000002</v>
      </c>
      <c r="X138" s="106">
        <f>monthly_data!$CB608*42/1000</f>
        <v>4729.116</v>
      </c>
      <c r="Y138" s="135">
        <f t="shared" si="79"/>
        <v>3911.1007725891081</v>
      </c>
      <c r="Z138" s="135">
        <f t="shared" si="79"/>
        <v>5881.7656508776399</v>
      </c>
      <c r="AA138" s="135">
        <f t="shared" si="79"/>
        <v>30276.042124481664</v>
      </c>
      <c r="AB138" s="135">
        <f t="shared" si="79"/>
        <v>29441.185522642052</v>
      </c>
      <c r="AC138" s="135">
        <f t="shared" si="79"/>
        <v>34046.053058809302</v>
      </c>
      <c r="AD138" s="135">
        <f t="shared" si="79"/>
        <v>38909.944628688696</v>
      </c>
      <c r="AE138" s="135">
        <f t="shared" si="79"/>
        <v>41399.882524911482</v>
      </c>
      <c r="AF138" s="135">
        <f t="shared" si="79"/>
        <v>45557.107524272164</v>
      </c>
      <c r="AG138" s="135">
        <f t="shared" si="79"/>
        <v>47200.619432076339</v>
      </c>
      <c r="AH138" s="135">
        <f t="shared" si="79"/>
        <v>49998.058383403622</v>
      </c>
    </row>
    <row r="139" spans="1:35">
      <c r="A139" s="87" t="s">
        <v>173</v>
      </c>
      <c r="B139" s="106">
        <f>monthly_data!CB345*42/1000</f>
        <v>5257.3919999999998</v>
      </c>
      <c r="C139" s="106">
        <f>monthly_data!CB357*42/1000</f>
        <v>5619.39</v>
      </c>
      <c r="D139" s="106">
        <f>monthly_data!CB369*42/1000</f>
        <v>4957.8900000000003</v>
      </c>
      <c r="E139" s="106">
        <f>monthly_data!CB381*42/1000</f>
        <v>5118.75</v>
      </c>
      <c r="F139" s="106">
        <f>monthly_data!CB393*42/1000</f>
        <v>5596.71</v>
      </c>
      <c r="G139" s="106">
        <f>monthly_data!CB405*42/1000</f>
        <v>5775.2520000000004</v>
      </c>
      <c r="H139" s="106">
        <f>monthly_data!CB417*42/1000</f>
        <v>5472.4740000000002</v>
      </c>
      <c r="I139" s="106">
        <f>monthly_data!CB429*42/1000</f>
        <v>5498.0519999999997</v>
      </c>
      <c r="J139" s="106">
        <f>monthly_data!CB441*42/1000</f>
        <v>6969.48</v>
      </c>
      <c r="K139" s="106">
        <f>monthly_data!CB453*42/1000</f>
        <v>6998.3760000000002</v>
      </c>
      <c r="L139" s="106">
        <f>monthly_data!CB465*42/1000</f>
        <v>6487.11</v>
      </c>
      <c r="M139" s="106">
        <f>monthly_data!CB477*42/1000</f>
        <v>5311.0680000000002</v>
      </c>
      <c r="N139" s="106">
        <f>monthly_data!CB489*42/1000</f>
        <v>5292.84</v>
      </c>
      <c r="O139" s="106">
        <f>monthly_data!CB501*42/1000</f>
        <v>5269.1940000000004</v>
      </c>
      <c r="P139" s="106">
        <f>monthly_data!CB513*42/1000</f>
        <v>5966.2259999999997</v>
      </c>
      <c r="Q139" s="106">
        <f>monthly_data!CB525*42/1000</f>
        <v>6573.2939999999999</v>
      </c>
      <c r="R139" s="106">
        <f>monthly_data!CB537*42/1000</f>
        <v>6362.7479999999996</v>
      </c>
      <c r="S139" s="106">
        <f>monthly_data!$CB549*42/1000</f>
        <v>5343.03</v>
      </c>
      <c r="T139" s="106">
        <f>monthly_data!$CB561*42/1000</f>
        <v>5782.308</v>
      </c>
      <c r="U139" s="106">
        <f>monthly_data!$CB573*42/1000</f>
        <v>7509.6</v>
      </c>
      <c r="V139" s="106">
        <f>monthly_data!$CB585*42/1000</f>
        <v>5969.8379999999997</v>
      </c>
      <c r="W139" s="106">
        <f>monthly_data!$CB597*42/1000</f>
        <v>4728.8220000000001</v>
      </c>
      <c r="X139" s="106">
        <f>monthly_data!$CB609*42/1000</f>
        <v>5048.7359999999999</v>
      </c>
      <c r="Y139" s="135">
        <f t="shared" si="79"/>
        <v>3576.3339931679093</v>
      </c>
      <c r="Z139" s="135">
        <f t="shared" si="79"/>
        <v>5404.39147866843</v>
      </c>
      <c r="AA139" s="135">
        <f t="shared" si="79"/>
        <v>31566.783270311957</v>
      </c>
      <c r="AB139" s="135">
        <f t="shared" si="79"/>
        <v>29505.630099864058</v>
      </c>
      <c r="AC139" s="135">
        <f t="shared" si="79"/>
        <v>34096.90390442116</v>
      </c>
      <c r="AD139" s="135">
        <f t="shared" si="79"/>
        <v>39009.95035811203</v>
      </c>
      <c r="AE139" s="135">
        <f t="shared" si="79"/>
        <v>41351.373479718386</v>
      </c>
      <c r="AF139" s="135">
        <f t="shared" si="79"/>
        <v>45862.550817320916</v>
      </c>
      <c r="AG139" s="135">
        <f t="shared" si="79"/>
        <v>47313.871476385066</v>
      </c>
      <c r="AH139" s="135">
        <f t="shared" si="79"/>
        <v>50174.639310294326</v>
      </c>
    </row>
    <row r="140" spans="1:35">
      <c r="A140" s="87" t="s">
        <v>174</v>
      </c>
      <c r="B140" s="106">
        <f>monthly_data!CB346*42/1000</f>
        <v>5124.1679999999997</v>
      </c>
      <c r="C140" s="106">
        <f>monthly_data!CB358*42/1000</f>
        <v>5484.5280000000002</v>
      </c>
      <c r="D140" s="106">
        <f>monthly_data!CB370*42/1000</f>
        <v>5314.0079999999998</v>
      </c>
      <c r="E140" s="106">
        <f>monthly_data!CB382*42/1000</f>
        <v>5492.6760000000004</v>
      </c>
      <c r="F140" s="106">
        <f>monthly_data!CB394*42/1000</f>
        <v>5840.4780000000001</v>
      </c>
      <c r="G140" s="106">
        <f>monthly_data!CB406*42/1000</f>
        <v>6093.4859999999999</v>
      </c>
      <c r="H140" s="106">
        <f>monthly_data!CB418*42/1000</f>
        <v>5651.8980000000001</v>
      </c>
      <c r="I140" s="106">
        <f>monthly_data!CB430*42/1000</f>
        <v>5584.866</v>
      </c>
      <c r="J140" s="106">
        <f>monthly_data!CB442*42/1000</f>
        <v>7083.2579999999998</v>
      </c>
      <c r="K140" s="106">
        <f>monthly_data!CB454*42/1000</f>
        <v>7154.0280000000002</v>
      </c>
      <c r="L140" s="106">
        <f>monthly_data!CB466*42/1000</f>
        <v>6512.6880000000001</v>
      </c>
      <c r="M140" s="106">
        <f>monthly_data!CB478*42/1000</f>
        <v>5346.9780000000001</v>
      </c>
      <c r="N140" s="106">
        <f>monthly_data!CB490*42/1000</f>
        <v>5420.52</v>
      </c>
      <c r="O140" s="106">
        <f>monthly_data!CB502*42/1000</f>
        <v>5389.1459999999997</v>
      </c>
      <c r="P140" s="106">
        <f>monthly_data!CB514*42/1000</f>
        <v>6406.2179999999998</v>
      </c>
      <c r="Q140" s="106">
        <f>monthly_data!CB526*42/1000</f>
        <v>6734.1959999999999</v>
      </c>
      <c r="R140" s="106">
        <f>monthly_data!CB538*42/1000</f>
        <v>6207.8519999999999</v>
      </c>
      <c r="S140" s="106">
        <f>monthly_data!$CB550*42/1000</f>
        <v>5555.1719999999996</v>
      </c>
      <c r="T140" s="106">
        <f>monthly_data!$CB562*42/1000</f>
        <v>5696.7120000000004</v>
      </c>
      <c r="U140" s="106">
        <f>monthly_data!$CB574*42/1000</f>
        <v>7550.0460000000003</v>
      </c>
      <c r="V140" s="106">
        <f>monthly_data!$CB586*42/1000</f>
        <v>5780.25</v>
      </c>
      <c r="W140" s="106">
        <f>monthly_data!$CB598*42/1000</f>
        <v>4751.1239999999998</v>
      </c>
      <c r="X140" s="106">
        <f>monthly_data!$CB610*42/1000</f>
        <v>4909.38</v>
      </c>
      <c r="Y140" s="135">
        <f t="shared" si="79"/>
        <v>2984.610041027302</v>
      </c>
      <c r="Z140" s="135">
        <f t="shared" si="79"/>
        <v>4682.1569364042916</v>
      </c>
      <c r="AA140" s="135">
        <f t="shared" si="79"/>
        <v>32439.538817237477</v>
      </c>
      <c r="AB140" s="135">
        <f t="shared" si="79"/>
        <v>29244.990137971079</v>
      </c>
      <c r="AC140" s="135">
        <f t="shared" si="79"/>
        <v>33779.778181699578</v>
      </c>
      <c r="AD140" s="135">
        <f t="shared" si="79"/>
        <v>38789.382794353318</v>
      </c>
      <c r="AE140" s="135">
        <f t="shared" si="79"/>
        <v>40989.254237932444</v>
      </c>
      <c r="AF140" s="135">
        <f t="shared" si="79"/>
        <v>45820.08347130919</v>
      </c>
      <c r="AG140" s="135">
        <f t="shared" si="79"/>
        <v>47096.172831517688</v>
      </c>
      <c r="AH140" s="135">
        <f t="shared" si="79"/>
        <v>50021.28020008302</v>
      </c>
    </row>
    <row r="141" spans="1:35">
      <c r="A141" s="87" t="s">
        <v>175</v>
      </c>
      <c r="B141" s="106">
        <f>monthly_data!CB347*42/1000</f>
        <v>5333.6220000000003</v>
      </c>
      <c r="C141" s="106">
        <f>monthly_data!CB359*42/1000</f>
        <v>5327.826</v>
      </c>
      <c r="D141" s="106">
        <f>monthly_data!CB371*42/1000</f>
        <v>5514.3059999999996</v>
      </c>
      <c r="E141" s="106">
        <f>monthly_data!CB383*42/1000</f>
        <v>5170.0739999999996</v>
      </c>
      <c r="F141" s="106">
        <f>monthly_data!CB395*42/1000</f>
        <v>5364.1980000000003</v>
      </c>
      <c r="G141" s="106">
        <f>monthly_data!CB407*42/1000</f>
        <v>6270.9359999999997</v>
      </c>
      <c r="H141" s="106">
        <f>monthly_data!CB419*42/1000</f>
        <v>5637.9120000000003</v>
      </c>
      <c r="I141" s="106">
        <f>monthly_data!CB431*42/1000</f>
        <v>5362.518</v>
      </c>
      <c r="J141" s="106">
        <f>monthly_data!CB443*42/1000</f>
        <v>7254.7020000000002</v>
      </c>
      <c r="K141" s="106">
        <f>monthly_data!CB455*42/1000</f>
        <v>7002.87</v>
      </c>
      <c r="L141" s="106">
        <f>monthly_data!CB467*42/1000</f>
        <v>6442.7579999999998</v>
      </c>
      <c r="M141" s="106">
        <f>monthly_data!CB479*42/1000</f>
        <v>5350.1279999999997</v>
      </c>
      <c r="N141" s="106">
        <f>monthly_data!CB491*42/1000</f>
        <v>5431.692</v>
      </c>
      <c r="O141" s="106">
        <f>monthly_data!CB503*42/1000</f>
        <v>5520.3119999999999</v>
      </c>
      <c r="P141" s="106">
        <f>monthly_data!CB515*42/1000</f>
        <v>6274.9260000000004</v>
      </c>
      <c r="Q141" s="106">
        <f>monthly_data!CB527*42/1000</f>
        <v>6764.1419999999998</v>
      </c>
      <c r="R141" s="106">
        <f>monthly_data!CB539*42/1000</f>
        <v>5767.902</v>
      </c>
      <c r="S141" s="106">
        <f>monthly_data!$CB551*42/1000</f>
        <v>5764.4579999999996</v>
      </c>
      <c r="T141" s="106">
        <f>monthly_data!$CB563*42/1000</f>
        <v>5537.1959999999999</v>
      </c>
      <c r="U141" s="106">
        <f>monthly_data!$CB575*42/1000</f>
        <v>7245.0839999999998</v>
      </c>
      <c r="V141" s="106">
        <f>monthly_data!$CB587*42/1000</f>
        <v>5547.99</v>
      </c>
      <c r="W141" s="106">
        <f>monthly_data!$CB599*42/1000</f>
        <v>4642.3019999999997</v>
      </c>
      <c r="X141" s="106">
        <f>monthly_data!$CB611*42/1000</f>
        <v>5005.1400000000003</v>
      </c>
      <c r="Y141" s="135">
        <f t="shared" si="79"/>
        <v>2283.3804807088081</v>
      </c>
      <c r="Z141" s="135">
        <f t="shared" si="79"/>
        <v>3866.983678477734</v>
      </c>
      <c r="AA141" s="135">
        <f t="shared" si="79"/>
        <v>33080.613646891863</v>
      </c>
      <c r="AB141" s="135">
        <f t="shared" si="79"/>
        <v>28914.324016949296</v>
      </c>
      <c r="AC141" s="135">
        <f t="shared" si="79"/>
        <v>33424.771286135539</v>
      </c>
      <c r="AD141" s="135">
        <f t="shared" si="79"/>
        <v>38487.812958673028</v>
      </c>
      <c r="AE141" s="135">
        <f t="shared" si="79"/>
        <v>40578.541847844994</v>
      </c>
      <c r="AF141" s="135">
        <f t="shared" si="79"/>
        <v>45700.699378408106</v>
      </c>
      <c r="AG141" s="135">
        <f t="shared" si="79"/>
        <v>46829.154250873667</v>
      </c>
      <c r="AH141" s="135">
        <f t="shared" si="79"/>
        <v>49818.749048165388</v>
      </c>
    </row>
    <row r="142" spans="1:35">
      <c r="A142" s="87" t="s">
        <v>176</v>
      </c>
      <c r="B142" s="106">
        <f>monthly_data!CB348*42/1000</f>
        <v>5414.598</v>
      </c>
      <c r="C142" s="106">
        <f>monthly_data!CB360*42/1000</f>
        <v>5100.1859999999997</v>
      </c>
      <c r="D142" s="106">
        <f>monthly_data!CB372*42/1000</f>
        <v>5546.8140000000003</v>
      </c>
      <c r="E142" s="106">
        <f>monthly_data!CB384*42/1000</f>
        <v>4969.6499999999996</v>
      </c>
      <c r="F142" s="106">
        <f>monthly_data!CB396*42/1000</f>
        <v>5237.82</v>
      </c>
      <c r="G142" s="106">
        <f>monthly_data!CB408*42/1000</f>
        <v>5999.4059999999999</v>
      </c>
      <c r="H142" s="106">
        <f>monthly_data!CB420*42/1000</f>
        <v>5646.1019999999999</v>
      </c>
      <c r="I142" s="106">
        <f>monthly_data!CB432*42/1000</f>
        <v>5358.99</v>
      </c>
      <c r="J142" s="106">
        <f>monthly_data!CB444*42/1000</f>
        <v>7188.8879999999999</v>
      </c>
      <c r="K142" s="106">
        <f>monthly_data!CB456*42/1000</f>
        <v>6783.42</v>
      </c>
      <c r="L142" s="106">
        <f>monthly_data!CB468*42/1000</f>
        <v>5977.7340000000004</v>
      </c>
      <c r="M142" s="106">
        <f>monthly_data!CB480*42/1000</f>
        <v>4983.4260000000004</v>
      </c>
      <c r="N142" s="106">
        <f>monthly_data!CB492*42/1000</f>
        <v>4957.47</v>
      </c>
      <c r="O142" s="106">
        <f>monthly_data!CB504*42/1000</f>
        <v>5055.6239999999998</v>
      </c>
      <c r="P142" s="106">
        <f>monthly_data!CB516*42/1000</f>
        <v>6032.25</v>
      </c>
      <c r="Q142" s="106">
        <f>monthly_data!CB528*42/1000</f>
        <v>6498.03</v>
      </c>
      <c r="R142" s="106">
        <f>monthly_data!CB540*42/1000</f>
        <v>5462.2259999999997</v>
      </c>
      <c r="S142" s="106">
        <f>monthly_data!$CB552*42/1000</f>
        <v>5240.4660000000003</v>
      </c>
      <c r="T142" s="106">
        <f>monthly_data!$CB564*42/1000</f>
        <v>5043.0659999999998</v>
      </c>
      <c r="U142" s="106">
        <f>monthly_data!$CB576*42/1000</f>
        <v>6561.87</v>
      </c>
      <c r="V142" s="106">
        <f>monthly_data!$CB588*42/1000</f>
        <v>5578.0619999999999</v>
      </c>
      <c r="W142" s="106">
        <f>monthly_data!$CB600*42/1000</f>
        <v>4640.6639999999998</v>
      </c>
      <c r="X142" s="106">
        <f>monthly_data!$CB612*42/1000</f>
        <v>4638.1859999999997</v>
      </c>
      <c r="Y142" s="135">
        <f t="shared" si="79"/>
        <v>1431.8429365850714</v>
      </c>
      <c r="Z142" s="135">
        <f t="shared" si="79"/>
        <v>2916.9927537675408</v>
      </c>
      <c r="AA142" s="135">
        <f t="shared" si="79"/>
        <v>33584.292363977584</v>
      </c>
      <c r="AB142" s="135">
        <f t="shared" si="79"/>
        <v>28395.175916539032</v>
      </c>
      <c r="AC142" s="135">
        <f t="shared" si="79"/>
        <v>32828.085106357445</v>
      </c>
      <c r="AD142" s="135">
        <f t="shared" si="79"/>
        <v>38008.002171484695</v>
      </c>
      <c r="AE142" s="135">
        <f t="shared" si="79"/>
        <v>39997.291776820508</v>
      </c>
      <c r="AF142" s="135">
        <f t="shared" si="79"/>
        <v>45393.61655343818</v>
      </c>
      <c r="AG142" s="135">
        <f t="shared" si="79"/>
        <v>46366.769671875991</v>
      </c>
      <c r="AH142" s="135">
        <f t="shared" si="79"/>
        <v>49420.566142868433</v>
      </c>
    </row>
    <row r="143" spans="1:35">
      <c r="A143" s="87" t="s">
        <v>177</v>
      </c>
      <c r="B143" s="106">
        <f>monthly_data!CB349*42/1000</f>
        <v>5835.6059999999998</v>
      </c>
      <c r="C143" s="106">
        <f>monthly_data!CB361*42/1000</f>
        <v>5224.9260000000004</v>
      </c>
      <c r="D143" s="106">
        <f>monthly_data!CB373*42/1000</f>
        <v>5717.7539999999999</v>
      </c>
      <c r="E143" s="106">
        <f>monthly_data!CB385*42/1000</f>
        <v>5174.5680000000002</v>
      </c>
      <c r="F143" s="106">
        <f>monthly_data!CB397*42/1000</f>
        <v>5614.7280000000001</v>
      </c>
      <c r="G143" s="106">
        <f>monthly_data!CB409*42/1000</f>
        <v>5906.2920000000004</v>
      </c>
      <c r="H143" s="106">
        <f>monthly_data!CB421*42/1000</f>
        <v>5661.6</v>
      </c>
      <c r="I143" s="106">
        <f>monthly_data!CB433*42/1000</f>
        <v>5706.7920000000004</v>
      </c>
      <c r="J143" s="106">
        <f>monthly_data!CB445*42/1000</f>
        <v>7187.25</v>
      </c>
      <c r="K143" s="106">
        <f>monthly_data!CB457*42/1000</f>
        <v>6803.6220000000003</v>
      </c>
      <c r="L143" s="106">
        <f>monthly_data!CB469*42/1000</f>
        <v>6041.9939999999997</v>
      </c>
      <c r="M143" s="106">
        <f>monthly_data!CB481*42/1000</f>
        <v>4955.7060000000001</v>
      </c>
      <c r="N143" s="106">
        <f>monthly_data!CB493*42/1000</f>
        <v>5086.9560000000001</v>
      </c>
      <c r="O143" s="106">
        <f>monthly_data!CB505*42/1000</f>
        <v>5301.03</v>
      </c>
      <c r="P143" s="106">
        <f>monthly_data!CB517*42/1000</f>
        <v>6602.82</v>
      </c>
      <c r="Q143" s="106">
        <f>monthly_data!CB529*42/1000</f>
        <v>6773.6760000000004</v>
      </c>
      <c r="R143" s="106">
        <f>monthly_data!CB541*42/1000</f>
        <v>5602.2539999999999</v>
      </c>
      <c r="S143" s="106">
        <f>monthly_data!$CB553*42/1000</f>
        <v>5314.8059999999996</v>
      </c>
      <c r="T143" s="106">
        <f>monthly_data!$CB565*42/1000</f>
        <v>5301.2820000000002</v>
      </c>
      <c r="U143" s="106">
        <f>monthly_data!$CB577*42/1000</f>
        <v>6602.61</v>
      </c>
      <c r="V143" s="106">
        <f>monthly_data!$CB589*42/1000</f>
        <v>5531.0640000000003</v>
      </c>
      <c r="W143" s="106">
        <f>monthly_data!$CB601*42/1000</f>
        <v>5065.2420000000002</v>
      </c>
      <c r="X143" s="106">
        <f>monthly_data!$CB613*42/1000</f>
        <v>4778.8860000000004</v>
      </c>
      <c r="Y143" s="135">
        <f t="shared" si="79"/>
        <v>1197.4791024029782</v>
      </c>
      <c r="Z143" s="135">
        <f t="shared" si="79"/>
        <v>2510.8713544153766</v>
      </c>
      <c r="AA143" s="135">
        <f t="shared" si="79"/>
        <v>34594.761213435566</v>
      </c>
      <c r="AB143" s="135">
        <f t="shared" si="79"/>
        <v>28422.523337673243</v>
      </c>
      <c r="AC143" s="135">
        <f t="shared" si="79"/>
        <v>32769.202353178138</v>
      </c>
      <c r="AD143" s="135">
        <f t="shared" si="79"/>
        <v>38041.649040778037</v>
      </c>
      <c r="AE143" s="135">
        <f t="shared" si="79"/>
        <v>39904.820188056096</v>
      </c>
      <c r="AF143" s="135">
        <f t="shared" si="79"/>
        <v>45578.46628139008</v>
      </c>
      <c r="AG143" s="135">
        <f t="shared" si="79"/>
        <v>46393.937653957655</v>
      </c>
      <c r="AH143" s="135">
        <f t="shared" si="79"/>
        <v>49496.623177367044</v>
      </c>
    </row>
    <row r="144" spans="1:35">
      <c r="A144" s="87" t="s">
        <v>178</v>
      </c>
      <c r="B144" s="106">
        <f>monthly_data!CB350*42/1000</f>
        <v>6069.5460000000003</v>
      </c>
      <c r="C144" s="106">
        <f>monthly_data!CB362*42/1000</f>
        <v>5631.57</v>
      </c>
      <c r="D144" s="106">
        <f>monthly_data!CB374*42/1000</f>
        <v>5734.7640000000001</v>
      </c>
      <c r="E144" s="106">
        <f>monthly_data!CB386*42/1000</f>
        <v>5303.424</v>
      </c>
      <c r="F144" s="106">
        <f>monthly_data!CB398*42/1000</f>
        <v>5712.924</v>
      </c>
      <c r="G144" s="106">
        <f>monthly_data!CB410*42/1000</f>
        <v>6033.3419999999996</v>
      </c>
      <c r="H144" s="106">
        <f>monthly_data!CB422*42/1000</f>
        <v>5625.6480000000001</v>
      </c>
      <c r="I144" s="106">
        <f>monthly_data!CB434*42/1000</f>
        <v>6132.5460000000003</v>
      </c>
      <c r="J144" s="106">
        <f>monthly_data!CB446*42/1000</f>
        <v>6970.4880000000003</v>
      </c>
      <c r="K144" s="106">
        <f>monthly_data!CB458*42/1000</f>
        <v>6900.8519999999999</v>
      </c>
      <c r="L144" s="106">
        <f>monthly_data!CB470*42/1000</f>
        <v>6266.9040000000005</v>
      </c>
      <c r="M144" s="106">
        <f>monthly_data!CB482*42/1000</f>
        <v>5661.9780000000001</v>
      </c>
      <c r="N144" s="106">
        <f>monthly_data!CB494*42/1000</f>
        <v>5356.8059999999996</v>
      </c>
      <c r="O144" s="106">
        <f>monthly_data!CB506*42/1000</f>
        <v>5724.0119999999997</v>
      </c>
      <c r="P144" s="106">
        <f>monthly_data!CB518*42/1000</f>
        <v>6775.692</v>
      </c>
      <c r="Q144" s="106">
        <f>monthly_data!CB530*42/1000</f>
        <v>6975.99</v>
      </c>
      <c r="R144" s="106">
        <f>monthly_data!CB542*42/1000</f>
        <v>6116.7960000000003</v>
      </c>
      <c r="S144" s="106">
        <f>monthly_data!$CB554*42/1000</f>
        <v>5886.8040000000001</v>
      </c>
      <c r="T144" s="106">
        <f>monthly_data!$CB566*42/1000</f>
        <v>5883.4859999999999</v>
      </c>
      <c r="U144" s="106">
        <f>monthly_data!$CB578*42/1000</f>
        <v>6769.8959999999997</v>
      </c>
      <c r="V144" s="106">
        <f>monthly_data!$CB590*42/1000</f>
        <v>5461.6379999999999</v>
      </c>
      <c r="W144" s="106">
        <f>monthly_data!$CB602*42/1000</f>
        <v>4993.7579999999998</v>
      </c>
      <c r="X144" s="106">
        <f>monthly_data!$CB614*42/1000</f>
        <v>5489.9459999999999</v>
      </c>
      <c r="Y144" s="135">
        <f t="shared" si="79"/>
        <v>10040.991168406308</v>
      </c>
      <c r="Z144" s="135">
        <f t="shared" si="79"/>
        <v>26600.264696827729</v>
      </c>
      <c r="AA144" s="135">
        <f t="shared" si="79"/>
        <v>31624.583814126163</v>
      </c>
      <c r="AB144" s="135">
        <f t="shared" si="79"/>
        <v>36390.012857757865</v>
      </c>
      <c r="AC144" s="135">
        <f t="shared" si="79"/>
        <v>40781.87072873475</v>
      </c>
      <c r="AD144" s="135">
        <f t="shared" si="79"/>
        <v>43884.042588233511</v>
      </c>
      <c r="AE144" s="135">
        <f t="shared" si="79"/>
        <v>46462.4615900606</v>
      </c>
      <c r="AF144" s="135">
        <f t="shared" si="79"/>
        <v>48979.375931022587</v>
      </c>
      <c r="AG144" s="135">
        <f t="shared" si="79"/>
        <v>51387.666123859359</v>
      </c>
      <c r="AH144" s="135">
        <f t="shared" si="79"/>
        <v>53527.148871120138</v>
      </c>
    </row>
    <row r="145" spans="1:34">
      <c r="A145" s="117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</row>
    <row r="146" spans="1:34" ht="16.5">
      <c r="A146" s="87"/>
      <c r="N146" s="127"/>
      <c r="O146" s="127"/>
      <c r="P146" s="127"/>
      <c r="Q146" s="127"/>
    </row>
    <row r="162" spans="1:35">
      <c r="A162" s="87"/>
      <c r="AD162" s="159"/>
    </row>
    <row r="163" spans="1:35" s="87" customFormat="1">
      <c r="A163" s="100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98"/>
      <c r="Y163" s="98"/>
      <c r="Z163" s="98"/>
      <c r="AA163" s="98"/>
      <c r="AB163" s="98"/>
      <c r="AC163" s="98"/>
      <c r="AD163" s="102"/>
      <c r="AE163" s="102"/>
      <c r="AF163" s="102"/>
      <c r="AG163" s="102"/>
      <c r="AH163" s="102"/>
      <c r="AI163" s="113"/>
    </row>
    <row r="210" spans="2:35" s="87" customFormat="1"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13"/>
    </row>
    <row r="211" spans="2:35" s="87" customFormat="1"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13"/>
    </row>
    <row r="212" spans="2:35" s="87" customFormat="1"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13"/>
    </row>
    <row r="213" spans="2:35" s="87" customFormat="1"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13"/>
    </row>
    <row r="214" spans="2:35" s="87" customFormat="1"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13"/>
    </row>
    <row r="215" spans="2:35" s="87" customFormat="1"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13"/>
    </row>
    <row r="216" spans="2:35" s="87" customFormat="1"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13"/>
    </row>
    <row r="217" spans="2:35" s="87" customFormat="1"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13"/>
    </row>
    <row r="218" spans="2:35" s="87" customFormat="1"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13"/>
    </row>
    <row r="219" spans="2:35" s="87" customFormat="1"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13"/>
    </row>
    <row r="220" spans="2:35" s="87" customFormat="1"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13"/>
    </row>
    <row r="221" spans="2:35" s="87" customFormat="1"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13"/>
    </row>
    <row r="222" spans="2:35" s="87" customFormat="1"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13"/>
    </row>
    <row r="223" spans="2:35" s="87" customFormat="1"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13"/>
    </row>
    <row r="224" spans="2:35" s="87" customFormat="1"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13"/>
    </row>
    <row r="225" spans="2:35" s="87" customFormat="1"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13"/>
    </row>
    <row r="226" spans="2:35" s="87" customFormat="1"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13"/>
    </row>
    <row r="227" spans="2:35" s="87" customFormat="1"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13"/>
    </row>
    <row r="228" spans="2:35" s="87" customFormat="1"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13"/>
    </row>
    <row r="229" spans="2:35" s="87" customFormat="1"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13"/>
    </row>
    <row r="230" spans="2:35" s="87" customFormat="1"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13"/>
    </row>
    <row r="231" spans="2:35" s="87" customFormat="1"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13"/>
    </row>
    <row r="232" spans="2:35" s="87" customFormat="1"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13"/>
    </row>
    <row r="233" spans="2:35" s="87" customFormat="1"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13"/>
    </row>
    <row r="234" spans="2:35" s="87" customFormat="1"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13"/>
    </row>
    <row r="235" spans="2:35" s="87" customFormat="1"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13"/>
    </row>
    <row r="236" spans="2:35" s="87" customFormat="1"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13"/>
    </row>
    <row r="237" spans="2:35" s="87" customFormat="1"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13"/>
    </row>
    <row r="238" spans="2:35" s="87" customFormat="1"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13"/>
    </row>
    <row r="239" spans="2:35" s="87" customFormat="1"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13"/>
    </row>
    <row r="240" spans="2:35" s="87" customFormat="1"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13"/>
    </row>
    <row r="241" spans="2:35" s="87" customFormat="1"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13"/>
    </row>
    <row r="242" spans="2:35" s="87" customFormat="1"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13"/>
    </row>
    <row r="243" spans="2:35" s="87" customFormat="1"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13"/>
    </row>
    <row r="244" spans="2:35" s="87" customFormat="1"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13"/>
    </row>
    <row r="245" spans="2:35" s="87" customFormat="1"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13"/>
    </row>
    <row r="246" spans="2:35" s="87" customFormat="1"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13"/>
    </row>
    <row r="247" spans="2:35" s="87" customFormat="1"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13"/>
    </row>
    <row r="248" spans="2:35" s="87" customFormat="1"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13"/>
    </row>
    <row r="249" spans="2:35" s="87" customFormat="1"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13"/>
    </row>
    <row r="250" spans="2:35" s="87" customFormat="1"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13"/>
    </row>
    <row r="251" spans="2:35" s="87" customFormat="1"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13"/>
    </row>
    <row r="252" spans="2:35" s="87" customFormat="1"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13"/>
    </row>
    <row r="253" spans="2:35" s="87" customFormat="1"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13"/>
    </row>
    <row r="254" spans="2:35" s="87" customFormat="1"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13"/>
    </row>
    <row r="255" spans="2:35" s="87" customFormat="1"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13"/>
    </row>
    <row r="256" spans="2:35" s="87" customFormat="1"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13"/>
    </row>
    <row r="257" spans="2:35" s="87" customFormat="1"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13"/>
    </row>
    <row r="258" spans="2:35" s="87" customFormat="1"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13"/>
    </row>
    <row r="259" spans="2:35" s="87" customFormat="1"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13"/>
    </row>
    <row r="260" spans="2:35" s="87" customFormat="1"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13"/>
    </row>
    <row r="261" spans="2:35" s="87" customFormat="1"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13"/>
    </row>
    <row r="262" spans="2:35" s="87" customFormat="1"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13"/>
    </row>
    <row r="263" spans="2:35" s="87" customFormat="1"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13"/>
    </row>
    <row r="264" spans="2:35" s="87" customFormat="1"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13"/>
    </row>
    <row r="265" spans="2:35" s="87" customFormat="1"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13"/>
    </row>
    <row r="266" spans="2:35" s="87" customFormat="1"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13"/>
    </row>
    <row r="267" spans="2:35" s="87" customFormat="1"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13"/>
    </row>
    <row r="268" spans="2:35" s="87" customFormat="1"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13"/>
    </row>
    <row r="269" spans="2:35" s="87" customFormat="1"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13"/>
    </row>
    <row r="270" spans="2:35" s="87" customFormat="1"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13"/>
    </row>
    <row r="271" spans="2:35" s="87" customFormat="1"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13"/>
    </row>
    <row r="272" spans="2:35" s="87" customFormat="1"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13"/>
    </row>
    <row r="273" spans="2:35" s="87" customFormat="1"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13"/>
    </row>
    <row r="274" spans="2:35" s="87" customFormat="1"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13"/>
    </row>
    <row r="275" spans="2:35" s="87" customFormat="1"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13"/>
    </row>
    <row r="276" spans="2:35" s="87" customFormat="1"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13"/>
    </row>
    <row r="277" spans="2:35" s="87" customFormat="1"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13"/>
    </row>
    <row r="278" spans="2:35" s="87" customFormat="1"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13"/>
    </row>
    <row r="279" spans="2:35" s="87" customFormat="1"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13"/>
    </row>
    <row r="280" spans="2:35" s="87" customFormat="1"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13"/>
    </row>
    <row r="281" spans="2:35" s="87" customFormat="1"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13"/>
    </row>
    <row r="282" spans="2:35" s="87" customFormat="1"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13"/>
    </row>
    <row r="283" spans="2:35" s="87" customFormat="1"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13"/>
    </row>
    <row r="284" spans="2:35" s="87" customFormat="1"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13"/>
    </row>
    <row r="285" spans="2:35" s="87" customFormat="1"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13"/>
    </row>
    <row r="286" spans="2:35" s="87" customFormat="1"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13"/>
    </row>
    <row r="287" spans="2:35" s="87" customFormat="1"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13"/>
    </row>
    <row r="288" spans="2:35" s="87" customFormat="1"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13"/>
    </row>
    <row r="289" spans="2:35" s="87" customFormat="1"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13"/>
    </row>
    <row r="290" spans="2:35" s="87" customFormat="1"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13"/>
    </row>
    <row r="291" spans="2:35" s="87" customFormat="1"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13"/>
    </row>
    <row r="292" spans="2:35" s="87" customFormat="1"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13"/>
    </row>
    <row r="293" spans="2:35" s="87" customFormat="1"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13"/>
    </row>
    <row r="294" spans="2:35" s="87" customFormat="1"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13"/>
    </row>
    <row r="295" spans="2:35" s="87" customFormat="1"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13"/>
    </row>
    <row r="296" spans="2:35" s="87" customFormat="1"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13"/>
    </row>
    <row r="297" spans="2:35" s="87" customFormat="1"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13"/>
    </row>
    <row r="298" spans="2:35" s="87" customFormat="1"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13"/>
    </row>
    <row r="299" spans="2:35" s="87" customFormat="1"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13"/>
    </row>
    <row r="300" spans="2:35" s="87" customFormat="1"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13"/>
    </row>
    <row r="301" spans="2:35" s="87" customFormat="1"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13"/>
    </row>
    <row r="302" spans="2:35" s="87" customFormat="1"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13"/>
    </row>
    <row r="303" spans="2:35" s="87" customFormat="1"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13"/>
    </row>
    <row r="304" spans="2:35" s="87" customFormat="1"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13"/>
    </row>
    <row r="305" spans="2:35" s="87" customFormat="1"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13"/>
    </row>
    <row r="306" spans="2:35" s="87" customFormat="1"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13"/>
    </row>
    <row r="307" spans="2:35" s="87" customFormat="1"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13"/>
    </row>
    <row r="308" spans="2:35" s="87" customFormat="1"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13"/>
    </row>
    <row r="309" spans="2:35" s="87" customFormat="1"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13"/>
    </row>
    <row r="310" spans="2:35" s="87" customFormat="1"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13"/>
    </row>
    <row r="311" spans="2:35" s="87" customFormat="1"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13"/>
    </row>
    <row r="312" spans="2:35" s="87" customFormat="1"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13"/>
    </row>
    <row r="313" spans="2:35" s="87" customFormat="1"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13"/>
    </row>
    <row r="314" spans="2:35" s="87" customFormat="1"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13"/>
    </row>
    <row r="315" spans="2:35" s="87" customFormat="1"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13"/>
    </row>
    <row r="316" spans="2:35" s="87" customFormat="1"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13"/>
    </row>
    <row r="317" spans="2:35" s="87" customFormat="1"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13"/>
    </row>
    <row r="318" spans="2:35" s="87" customFormat="1"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13"/>
    </row>
    <row r="319" spans="2:35" s="87" customFormat="1"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13"/>
    </row>
    <row r="320" spans="2:35" s="87" customFormat="1"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13"/>
    </row>
    <row r="321" spans="2:35" s="87" customFormat="1"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13"/>
    </row>
    <row r="322" spans="2:35" s="87" customFormat="1"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13"/>
    </row>
    <row r="323" spans="2:35" s="87" customFormat="1"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13"/>
    </row>
    <row r="324" spans="2:35" s="87" customFormat="1"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13"/>
    </row>
    <row r="325" spans="2:35" s="87" customFormat="1"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13"/>
    </row>
    <row r="326" spans="2:35" s="87" customFormat="1"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13"/>
    </row>
    <row r="327" spans="2:35" s="87" customFormat="1"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13"/>
    </row>
    <row r="328" spans="2:35" s="87" customFormat="1"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13"/>
    </row>
    <row r="329" spans="2:35" s="87" customFormat="1"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13"/>
    </row>
    <row r="330" spans="2:35" s="87" customFormat="1"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13"/>
    </row>
    <row r="331" spans="2:35" s="87" customFormat="1"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13"/>
    </row>
    <row r="332" spans="2:35" s="87" customFormat="1"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13"/>
    </row>
    <row r="333" spans="2:35" s="87" customFormat="1"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13"/>
    </row>
    <row r="334" spans="2:35" s="87" customFormat="1"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13"/>
    </row>
    <row r="335" spans="2:35" s="87" customFormat="1"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13"/>
    </row>
    <row r="336" spans="2:35" s="87" customFormat="1"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13"/>
    </row>
    <row r="337" spans="2:35" s="87" customFormat="1"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13"/>
    </row>
    <row r="338" spans="2:35" s="87" customFormat="1"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13"/>
    </row>
    <row r="339" spans="2:35" s="87" customFormat="1"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13"/>
    </row>
    <row r="340" spans="2:35" s="87" customFormat="1"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13"/>
    </row>
    <row r="341" spans="2:35" s="87" customFormat="1"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13"/>
    </row>
    <row r="342" spans="2:35" s="87" customFormat="1"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13"/>
    </row>
    <row r="343" spans="2:35" s="87" customFormat="1"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13"/>
    </row>
    <row r="344" spans="2:35" s="87" customFormat="1"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13"/>
    </row>
    <row r="345" spans="2:35" s="87" customFormat="1"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13"/>
    </row>
    <row r="346" spans="2:35" s="87" customFormat="1"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13"/>
    </row>
    <row r="347" spans="2:35" s="87" customFormat="1"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13"/>
    </row>
    <row r="348" spans="2:35" s="87" customFormat="1"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13"/>
    </row>
    <row r="349" spans="2:35" s="87" customFormat="1"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13"/>
    </row>
    <row r="350" spans="2:35" s="87" customFormat="1"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13"/>
    </row>
    <row r="351" spans="2:35" s="87" customFormat="1"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13"/>
    </row>
    <row r="352" spans="2:35" s="87" customFormat="1"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13"/>
    </row>
    <row r="353" spans="2:35" s="87" customFormat="1"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13"/>
    </row>
    <row r="354" spans="2:35" s="87" customFormat="1"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13"/>
    </row>
    <row r="355" spans="2:35" s="87" customFormat="1"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13"/>
    </row>
    <row r="356" spans="2:35" s="87" customFormat="1"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13"/>
    </row>
    <row r="357" spans="2:35" s="87" customFormat="1"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13"/>
    </row>
    <row r="358" spans="2:35" s="87" customFormat="1"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13"/>
    </row>
    <row r="359" spans="2:35" s="87" customFormat="1"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13"/>
    </row>
    <row r="360" spans="2:35" s="87" customFormat="1"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13"/>
    </row>
    <row r="361" spans="2:35" s="87" customFormat="1"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13"/>
    </row>
    <row r="362" spans="2:35" s="87" customFormat="1"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13"/>
    </row>
    <row r="363" spans="2:35" s="87" customFormat="1"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13"/>
    </row>
    <row r="364" spans="2:35" s="87" customFormat="1"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13"/>
    </row>
    <row r="365" spans="2:35" s="87" customFormat="1"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13"/>
    </row>
    <row r="366" spans="2:35" s="87" customFormat="1"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13"/>
    </row>
    <row r="367" spans="2:35" s="87" customFormat="1"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13"/>
    </row>
    <row r="368" spans="2:35" s="87" customFormat="1"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13"/>
    </row>
    <row r="369" spans="2:35" s="87" customFormat="1"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13"/>
    </row>
    <row r="370" spans="2:35" s="87" customFormat="1"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13"/>
    </row>
    <row r="371" spans="2:35" s="87" customFormat="1"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13"/>
    </row>
    <row r="372" spans="2:35" s="87" customFormat="1"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13"/>
    </row>
    <row r="373" spans="2:35" s="87" customFormat="1"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13"/>
    </row>
    <row r="374" spans="2:35" s="87" customFormat="1"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13"/>
    </row>
    <row r="375" spans="2:35" s="87" customFormat="1"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13"/>
    </row>
    <row r="376" spans="2:35" s="87" customFormat="1"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13"/>
    </row>
    <row r="377" spans="2:35" s="87" customFormat="1"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13"/>
    </row>
    <row r="378" spans="2:35" s="87" customFormat="1"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13"/>
    </row>
    <row r="379" spans="2:35" s="87" customFormat="1"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13"/>
    </row>
    <row r="380" spans="2:35" s="87" customFormat="1"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13"/>
    </row>
    <row r="381" spans="2:35" s="87" customFormat="1"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13"/>
    </row>
    <row r="382" spans="2:35" s="87" customFormat="1"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13"/>
    </row>
    <row r="383" spans="2:35" s="87" customFormat="1"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13"/>
    </row>
    <row r="384" spans="2:35" s="87" customFormat="1"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13"/>
    </row>
    <row r="385" spans="2:35" s="87" customFormat="1"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13"/>
    </row>
    <row r="386" spans="2:35" s="87" customFormat="1"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13"/>
    </row>
    <row r="387" spans="2:35" s="87" customFormat="1"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13"/>
    </row>
    <row r="388" spans="2:35" s="87" customFormat="1"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13"/>
    </row>
    <row r="389" spans="2:35" s="87" customFormat="1"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13"/>
    </row>
    <row r="390" spans="2:35" s="87" customFormat="1"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13"/>
    </row>
    <row r="391" spans="2:35" s="87" customFormat="1"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13"/>
    </row>
    <row r="392" spans="2:35" s="87" customFormat="1"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13"/>
    </row>
    <row r="393" spans="2:35" s="87" customFormat="1"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13"/>
    </row>
    <row r="394" spans="2:35" s="87" customFormat="1"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13"/>
    </row>
    <row r="395" spans="2:35" s="87" customFormat="1"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13"/>
    </row>
    <row r="396" spans="2:35" s="87" customFormat="1"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13"/>
    </row>
    <row r="397" spans="2:35" s="87" customFormat="1"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13"/>
    </row>
    <row r="398" spans="2:35" s="87" customFormat="1"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13"/>
    </row>
    <row r="399" spans="2:35" s="87" customFormat="1"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13"/>
    </row>
    <row r="400" spans="2:35" s="87" customFormat="1"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13"/>
    </row>
    <row r="401" spans="2:35" s="87" customFormat="1"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13"/>
    </row>
    <row r="402" spans="2:35" s="87" customFormat="1"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13"/>
    </row>
    <row r="403" spans="2:35" s="87" customFormat="1"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13"/>
    </row>
    <row r="404" spans="2:35" s="87" customFormat="1"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13"/>
    </row>
    <row r="405" spans="2:35" s="87" customFormat="1"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13"/>
    </row>
    <row r="406" spans="2:35" s="87" customFormat="1"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13"/>
    </row>
    <row r="407" spans="2:35" s="87" customFormat="1"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13"/>
    </row>
    <row r="408" spans="2:35" s="87" customFormat="1"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13"/>
    </row>
    <row r="409" spans="2:35" s="87" customFormat="1"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13"/>
    </row>
    <row r="410" spans="2:35" s="87" customFormat="1"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13"/>
    </row>
    <row r="411" spans="2:35" s="87" customFormat="1"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13"/>
    </row>
    <row r="412" spans="2:35" s="87" customFormat="1"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13"/>
    </row>
    <row r="413" spans="2:35" s="87" customFormat="1"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13"/>
    </row>
    <row r="414" spans="2:35" s="87" customFormat="1"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13"/>
    </row>
    <row r="415" spans="2:35" s="87" customFormat="1"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13"/>
    </row>
    <row r="416" spans="2:35" s="87" customFormat="1"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13"/>
    </row>
    <row r="417" spans="2:35" s="87" customFormat="1"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13"/>
    </row>
    <row r="418" spans="2:35" s="87" customFormat="1"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13"/>
    </row>
    <row r="419" spans="2:35" s="87" customFormat="1"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13"/>
    </row>
    <row r="420" spans="2:35" s="87" customFormat="1"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13"/>
    </row>
    <row r="421" spans="2:35" s="87" customFormat="1"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13"/>
    </row>
    <row r="422" spans="2:35" s="87" customFormat="1"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13"/>
    </row>
    <row r="423" spans="2:35" s="87" customFormat="1"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13"/>
    </row>
    <row r="424" spans="2:35" s="87" customFormat="1"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13"/>
    </row>
    <row r="425" spans="2:35" s="87" customFormat="1"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13"/>
    </row>
    <row r="426" spans="2:35" s="87" customFormat="1"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13"/>
    </row>
    <row r="427" spans="2:35" s="87" customFormat="1"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13"/>
    </row>
    <row r="428" spans="2:35" s="87" customFormat="1"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13"/>
    </row>
    <row r="429" spans="2:35" s="87" customFormat="1"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13"/>
    </row>
    <row r="430" spans="2:35" s="87" customFormat="1"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13"/>
    </row>
    <row r="431" spans="2:35" s="87" customFormat="1"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13"/>
    </row>
    <row r="432" spans="2:35" s="87" customFormat="1"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13"/>
    </row>
    <row r="433" spans="2:35" s="87" customFormat="1"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13"/>
    </row>
    <row r="434" spans="2:35" s="87" customFormat="1"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13"/>
    </row>
    <row r="435" spans="2:35" s="87" customFormat="1"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13"/>
    </row>
    <row r="436" spans="2:35" s="87" customFormat="1"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13"/>
    </row>
    <row r="437" spans="2:35" s="87" customFormat="1"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13"/>
    </row>
    <row r="438" spans="2:35" s="87" customFormat="1"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13"/>
    </row>
    <row r="439" spans="2:35" s="87" customFormat="1"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13"/>
    </row>
    <row r="440" spans="2:35" s="87" customFormat="1"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13"/>
    </row>
    <row r="441" spans="2:35" s="87" customFormat="1"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13"/>
    </row>
    <row r="442" spans="2:35" s="87" customFormat="1"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13"/>
    </row>
    <row r="443" spans="2:35" s="87" customFormat="1"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13"/>
    </row>
    <row r="444" spans="2:35" s="87" customFormat="1"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13"/>
    </row>
    <row r="445" spans="2:35" s="87" customFormat="1"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13"/>
    </row>
    <row r="446" spans="2:35" s="87" customFormat="1"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13"/>
    </row>
    <row r="447" spans="2:35" s="87" customFormat="1"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13"/>
    </row>
    <row r="448" spans="2:35" s="87" customFormat="1"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13"/>
    </row>
    <row r="449" spans="2:35" s="87" customFormat="1"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13"/>
    </row>
    <row r="450" spans="2:35" s="87" customFormat="1"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13"/>
    </row>
    <row r="451" spans="2:35" s="87" customFormat="1"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13"/>
    </row>
    <row r="452" spans="2:35" s="87" customFormat="1"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13"/>
    </row>
    <row r="453" spans="2:35" s="87" customFormat="1"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13"/>
    </row>
    <row r="454" spans="2:35" s="87" customFormat="1"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13"/>
    </row>
    <row r="455" spans="2:35" s="87" customFormat="1"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13"/>
    </row>
    <row r="456" spans="2:35" s="87" customFormat="1"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13"/>
    </row>
    <row r="457" spans="2:35" s="87" customFormat="1"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13"/>
    </row>
    <row r="458" spans="2:35" s="87" customFormat="1"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13"/>
    </row>
    <row r="459" spans="2:35" s="87" customFormat="1"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13"/>
    </row>
    <row r="460" spans="2:35" s="87" customFormat="1"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13"/>
    </row>
    <row r="461" spans="2:35" s="87" customFormat="1"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13"/>
    </row>
    <row r="462" spans="2:35" s="87" customFormat="1"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13"/>
    </row>
    <row r="463" spans="2:35" s="87" customFormat="1"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13"/>
    </row>
    <row r="464" spans="2:35" s="87" customFormat="1"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13"/>
    </row>
    <row r="465" spans="2:35" s="87" customFormat="1"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13"/>
    </row>
    <row r="466" spans="2:35" s="87" customFormat="1"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13"/>
    </row>
    <row r="467" spans="2:35" s="87" customFormat="1"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13"/>
    </row>
    <row r="468" spans="2:35" s="87" customFormat="1"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13"/>
    </row>
    <row r="469" spans="2:35" s="87" customFormat="1"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13"/>
    </row>
    <row r="470" spans="2:35" s="87" customFormat="1"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13"/>
    </row>
    <row r="471" spans="2:35" s="87" customFormat="1"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13"/>
    </row>
    <row r="472" spans="2:35" s="87" customFormat="1"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13"/>
    </row>
    <row r="473" spans="2:35" s="87" customFormat="1"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13"/>
    </row>
    <row r="474" spans="2:35" s="87" customFormat="1"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13"/>
    </row>
    <row r="475" spans="2:35" s="87" customFormat="1"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13"/>
    </row>
    <row r="476" spans="2:35" s="87" customFormat="1"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13"/>
    </row>
    <row r="477" spans="2:35" s="87" customFormat="1"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1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5D47-B0B9-4250-B1D6-E407876EF84B}">
  <dimension ref="A1:T169"/>
  <sheetViews>
    <sheetView workbookViewId="0">
      <pane xSplit="1" ySplit="1" topLeftCell="B84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3.5"/>
  <cols>
    <col min="1" max="1" width="9.140625" style="84"/>
    <col min="2" max="13" width="14.28515625" style="84" customWidth="1"/>
    <col min="14" max="16384" width="9.140625" style="84"/>
  </cols>
  <sheetData>
    <row r="1" spans="1:20" ht="47.25">
      <c r="B1" s="161" t="s">
        <v>249</v>
      </c>
      <c r="C1" s="161" t="s">
        <v>250</v>
      </c>
      <c r="D1" s="161" t="s">
        <v>251</v>
      </c>
      <c r="E1" s="162" t="s">
        <v>252</v>
      </c>
      <c r="F1" s="162" t="s">
        <v>253</v>
      </c>
      <c r="G1" s="162" t="s">
        <v>254</v>
      </c>
      <c r="H1" s="162" t="s">
        <v>255</v>
      </c>
      <c r="I1" s="162" t="s">
        <v>256</v>
      </c>
      <c r="J1" s="162" t="s">
        <v>257</v>
      </c>
      <c r="K1" s="162" t="s">
        <v>258</v>
      </c>
      <c r="L1" s="162" t="s">
        <v>259</v>
      </c>
      <c r="M1" s="162" t="s">
        <v>260</v>
      </c>
    </row>
    <row r="2" spans="1:20">
      <c r="A2" s="163">
        <v>40544</v>
      </c>
      <c r="B2" s="116">
        <f>'[7]US EIA'!$R150</f>
        <v>2114.4475000000002</v>
      </c>
      <c r="C2" s="116">
        <f>'[4]Renewable Diesel'!$AX13</f>
        <v>0</v>
      </c>
      <c r="D2" s="116">
        <f>C2+B2</f>
        <v>2114.4475000000002</v>
      </c>
      <c r="E2" s="116">
        <f>monthly_data!F459</f>
        <v>35.354999999999997</v>
      </c>
      <c r="F2" s="116">
        <f>monthly_data!AD459</f>
        <v>4.4279999999999999</v>
      </c>
      <c r="G2" s="116">
        <f>SUM(E2:F2)</f>
        <v>39.782999999999994</v>
      </c>
      <c r="H2" s="164">
        <f>(E2/(31)*365)/B2</f>
        <v>0.19687252244533182</v>
      </c>
      <c r="I2" s="164"/>
      <c r="J2" s="164">
        <f>(G2/(31)*365)/D2</f>
        <v>0.22152961562558721</v>
      </c>
      <c r="K2" s="116">
        <f>((1-H2)*B2)</f>
        <v>1698.1708870967743</v>
      </c>
      <c r="L2" s="116">
        <f>((1-I2)*C2)</f>
        <v>0</v>
      </c>
      <c r="M2" s="116">
        <f>((1-J2)*D2)</f>
        <v>1646.0347580645162</v>
      </c>
    </row>
    <row r="3" spans="1:20">
      <c r="A3" s="163">
        <v>40575</v>
      </c>
      <c r="B3" s="116">
        <f>'[7]US EIA'!$R151</f>
        <v>2103.5974999999999</v>
      </c>
      <c r="C3" s="116">
        <f>'[4]Renewable Diesel'!$AX14</f>
        <v>0</v>
      </c>
      <c r="D3" s="116">
        <f t="shared" ref="D3:D66" si="0">C3+B3</f>
        <v>2103.5974999999999</v>
      </c>
      <c r="E3" s="116">
        <f>monthly_data!F460</f>
        <v>40.341999999999999</v>
      </c>
      <c r="F3" s="116">
        <f>monthly_data!AD460</f>
        <v>0.96199999999999997</v>
      </c>
      <c r="G3" s="116">
        <f t="shared" ref="G3:G66" si="1">SUM(E3:F3)</f>
        <v>41.304000000000002</v>
      </c>
      <c r="H3" s="164">
        <f>(E3/(A3-A2)*365)/B3</f>
        <v>0.22580104612647253</v>
      </c>
      <c r="I3" s="164"/>
      <c r="J3" s="164">
        <f>(G3/(A3-A2)*365)/D3</f>
        <v>0.23118552399999556</v>
      </c>
      <c r="K3" s="116">
        <f t="shared" ref="K3:M18" si="2">((1-H3)*B3)</f>
        <v>1628.6029838709676</v>
      </c>
      <c r="L3" s="116">
        <f t="shared" si="2"/>
        <v>0</v>
      </c>
      <c r="M3" s="116">
        <f t="shared" si="2"/>
        <v>1617.2762096774193</v>
      </c>
    </row>
    <row r="4" spans="1:20">
      <c r="A4" s="163">
        <v>40603</v>
      </c>
      <c r="B4" s="116">
        <f>'[7]US EIA'!$R152</f>
        <v>2081.4974999999999</v>
      </c>
      <c r="C4" s="116">
        <f>'[4]Renewable Diesel'!$AX15</f>
        <v>0</v>
      </c>
      <c r="D4" s="116">
        <f t="shared" si="0"/>
        <v>2081.4974999999999</v>
      </c>
      <c r="E4" s="116">
        <f>monthly_data!F461</f>
        <v>59.59</v>
      </c>
      <c r="F4" s="116">
        <f>monthly_data!AD461</f>
        <v>3.1509999999999998</v>
      </c>
      <c r="G4" s="116">
        <f t="shared" si="1"/>
        <v>62.741</v>
      </c>
      <c r="H4" s="164">
        <f t="shared" ref="H4:H67" si="3">(E4/(A4-A3)*365)/B4</f>
        <v>0.37319199964723204</v>
      </c>
      <c r="I4" s="164"/>
      <c r="J4" s="164">
        <f t="shared" ref="J4:J67" si="4">(G4/(A4-A3)*365)/D4</f>
        <v>0.39292564607932512</v>
      </c>
      <c r="K4" s="116">
        <f t="shared" si="2"/>
        <v>1304.6992857142857</v>
      </c>
      <c r="L4" s="116">
        <f t="shared" si="2"/>
        <v>0</v>
      </c>
      <c r="M4" s="116">
        <f t="shared" si="2"/>
        <v>1263.62375</v>
      </c>
    </row>
    <row r="5" spans="1:20">
      <c r="A5" s="163">
        <v>40634</v>
      </c>
      <c r="B5" s="116">
        <f>'[7]US EIA'!$R153</f>
        <v>2101.3975</v>
      </c>
      <c r="C5" s="116">
        <f>'[4]Renewable Diesel'!$AX16</f>
        <v>0</v>
      </c>
      <c r="D5" s="116">
        <f t="shared" si="0"/>
        <v>2101.3975</v>
      </c>
      <c r="E5" s="116">
        <f>monthly_data!F462</f>
        <v>71.052000000000007</v>
      </c>
      <c r="F5" s="116">
        <f>monthly_data!AD462</f>
        <v>1.9670000000000001</v>
      </c>
      <c r="G5" s="116">
        <f t="shared" si="1"/>
        <v>73.019000000000005</v>
      </c>
      <c r="H5" s="164">
        <f t="shared" si="3"/>
        <v>0.39810649817561888</v>
      </c>
      <c r="I5" s="164"/>
      <c r="J5" s="164">
        <f t="shared" si="4"/>
        <v>0.40912765847950111</v>
      </c>
      <c r="K5" s="116">
        <f t="shared" si="2"/>
        <v>1264.8175000000001</v>
      </c>
      <c r="L5" s="116">
        <f t="shared" si="2"/>
        <v>0</v>
      </c>
      <c r="M5" s="116">
        <f t="shared" si="2"/>
        <v>1241.6576612903225</v>
      </c>
    </row>
    <row r="6" spans="1:20">
      <c r="A6" s="163">
        <v>40664</v>
      </c>
      <c r="B6" s="116">
        <f>'[7]US EIA'!$R154</f>
        <v>2064.3975</v>
      </c>
      <c r="C6" s="116">
        <f>'[4]Renewable Diesel'!$AX17</f>
        <v>0</v>
      </c>
      <c r="D6" s="116">
        <f t="shared" si="0"/>
        <v>2064.3975</v>
      </c>
      <c r="E6" s="116">
        <f>monthly_data!F463</f>
        <v>77.197000000000003</v>
      </c>
      <c r="F6" s="116">
        <f>monthly_data!AD463</f>
        <v>7.5259999999999998</v>
      </c>
      <c r="G6" s="116">
        <f t="shared" si="1"/>
        <v>84.722999999999999</v>
      </c>
      <c r="H6" s="164">
        <f t="shared" si="3"/>
        <v>0.4549657547379643</v>
      </c>
      <c r="I6" s="164"/>
      <c r="J6" s="164">
        <f t="shared" si="4"/>
        <v>0.49932074612568556</v>
      </c>
      <c r="K6" s="116">
        <f t="shared" si="2"/>
        <v>1125.1673333333333</v>
      </c>
      <c r="L6" s="116">
        <f t="shared" si="2"/>
        <v>0</v>
      </c>
      <c r="M6" s="116">
        <f t="shared" si="2"/>
        <v>1033.6010000000001</v>
      </c>
    </row>
    <row r="7" spans="1:20">
      <c r="A7" s="163">
        <v>40695</v>
      </c>
      <c r="B7" s="116">
        <f>'[7]US EIA'!$R155</f>
        <v>2068.9974999999999</v>
      </c>
      <c r="C7" s="116">
        <f>'[4]Renewable Diesel'!$AX18</f>
        <v>0</v>
      </c>
      <c r="D7" s="116">
        <f t="shared" si="0"/>
        <v>2068.9974999999999</v>
      </c>
      <c r="E7" s="116">
        <f>monthly_data!F464</f>
        <v>81.391000000000005</v>
      </c>
      <c r="F7" s="116">
        <f>monthly_data!AD464</f>
        <v>4.5640000000000001</v>
      </c>
      <c r="G7" s="116">
        <f t="shared" si="1"/>
        <v>85.955000000000013</v>
      </c>
      <c r="H7" s="164">
        <f t="shared" si="3"/>
        <v>0.46317764380903043</v>
      </c>
      <c r="I7" s="164"/>
      <c r="J7" s="164">
        <f t="shared" si="4"/>
        <v>0.48915032833612077</v>
      </c>
      <c r="K7" s="116">
        <f t="shared" si="2"/>
        <v>1110.6841129032255</v>
      </c>
      <c r="L7" s="116">
        <f t="shared" si="2"/>
        <v>0</v>
      </c>
      <c r="M7" s="116">
        <f t="shared" si="2"/>
        <v>1056.946693548387</v>
      </c>
    </row>
    <row r="8" spans="1:20">
      <c r="A8" s="163">
        <v>40725</v>
      </c>
      <c r="B8" s="116">
        <f>'[7]US EIA'!$R156</f>
        <v>1958.4974999999999</v>
      </c>
      <c r="C8" s="116">
        <f>'[4]Renewable Diesel'!$AX19</f>
        <v>0</v>
      </c>
      <c r="D8" s="116">
        <f t="shared" si="0"/>
        <v>1958.4974999999999</v>
      </c>
      <c r="E8" s="116">
        <f>monthly_data!F465</f>
        <v>91.68</v>
      </c>
      <c r="F8" s="116">
        <f>monthly_data!AD465</f>
        <v>6.4660000000000002</v>
      </c>
      <c r="G8" s="116">
        <f t="shared" si="1"/>
        <v>98.146000000000001</v>
      </c>
      <c r="H8" s="164">
        <f t="shared" si="3"/>
        <v>0.56953863867582166</v>
      </c>
      <c r="I8" s="164"/>
      <c r="J8" s="164">
        <f t="shared" si="4"/>
        <v>0.60970701605014377</v>
      </c>
      <c r="K8" s="116">
        <f t="shared" si="2"/>
        <v>843.05749999999989</v>
      </c>
      <c r="L8" s="116">
        <f t="shared" si="2"/>
        <v>0</v>
      </c>
      <c r="M8" s="116">
        <f t="shared" si="2"/>
        <v>764.38783333333356</v>
      </c>
    </row>
    <row r="9" spans="1:20">
      <c r="A9" s="163">
        <v>40756</v>
      </c>
      <c r="B9" s="116">
        <f>'[7]US EIA'!$R157</f>
        <v>2007.6575</v>
      </c>
      <c r="C9" s="116">
        <f>'[4]Renewable Diesel'!$AX20</f>
        <v>0</v>
      </c>
      <c r="D9" s="116">
        <f t="shared" si="0"/>
        <v>2007.6575</v>
      </c>
      <c r="E9" s="116">
        <f>monthly_data!F466</f>
        <v>95.484999999999999</v>
      </c>
      <c r="F9" s="116">
        <f>monthly_data!AD466</f>
        <v>8.4450000000000003</v>
      </c>
      <c r="G9" s="116">
        <f t="shared" si="1"/>
        <v>103.93</v>
      </c>
      <c r="H9" s="164">
        <f t="shared" si="3"/>
        <v>0.55998539141648507</v>
      </c>
      <c r="I9" s="164"/>
      <c r="J9" s="164">
        <f t="shared" si="4"/>
        <v>0.60951229753275693</v>
      </c>
      <c r="K9" s="116">
        <f t="shared" si="2"/>
        <v>883.3986290322581</v>
      </c>
      <c r="L9" s="116">
        <f t="shared" si="2"/>
        <v>0</v>
      </c>
      <c r="M9" s="116">
        <f t="shared" si="2"/>
        <v>783.96556451612912</v>
      </c>
    </row>
    <row r="10" spans="1:20">
      <c r="A10" s="163">
        <v>40787</v>
      </c>
      <c r="B10" s="116">
        <f>'[7]US EIA'!$R158</f>
        <v>2087.0946509999999</v>
      </c>
      <c r="C10" s="116">
        <f>'[4]Renewable Diesel'!$AX21</f>
        <v>40</v>
      </c>
      <c r="D10" s="116">
        <f t="shared" si="0"/>
        <v>2127.0946509999999</v>
      </c>
      <c r="E10" s="116">
        <f>monthly_data!F467</f>
        <v>95.941999999999993</v>
      </c>
      <c r="F10" s="116">
        <f>monthly_data!AD467</f>
        <v>5.899</v>
      </c>
      <c r="G10" s="116">
        <f t="shared" si="1"/>
        <v>101.84099999999999</v>
      </c>
      <c r="H10" s="164">
        <f t="shared" si="3"/>
        <v>0.54124985509310986</v>
      </c>
      <c r="I10" s="164">
        <f t="shared" ref="I10:I73" si="5">(F10/(A10-A9)*365)/C10</f>
        <v>1.7363991935483871</v>
      </c>
      <c r="J10" s="164">
        <f t="shared" si="4"/>
        <v>0.56372463002413442</v>
      </c>
      <c r="K10" s="116">
        <f t="shared" si="2"/>
        <v>957.45497358064529</v>
      </c>
      <c r="L10" s="116">
        <f t="shared" si="2"/>
        <v>-29.455967741935485</v>
      </c>
      <c r="M10" s="116">
        <f t="shared" si="2"/>
        <v>927.99900583870965</v>
      </c>
    </row>
    <row r="11" spans="1:20">
      <c r="A11" s="163">
        <v>40817</v>
      </c>
      <c r="B11" s="116">
        <f>'[7]US EIA'!$R159</f>
        <v>2118.9381509999998</v>
      </c>
      <c r="C11" s="116">
        <f>'[4]Renewable Diesel'!$AX22</f>
        <v>40</v>
      </c>
      <c r="D11" s="116">
        <f t="shared" si="0"/>
        <v>2158.9381509999998</v>
      </c>
      <c r="E11" s="116">
        <f>monthly_data!F468</f>
        <v>105.342</v>
      </c>
      <c r="F11" s="116">
        <f>monthly_data!AD468</f>
        <v>6.9180000000000001</v>
      </c>
      <c r="G11" s="116">
        <f t="shared" si="1"/>
        <v>112.26</v>
      </c>
      <c r="H11" s="164">
        <f t="shared" si="3"/>
        <v>0.60486003302887348</v>
      </c>
      <c r="I11" s="164">
        <f t="shared" si="5"/>
        <v>2.104225</v>
      </c>
      <c r="J11" s="164">
        <f t="shared" si="4"/>
        <v>0.63263970733360764</v>
      </c>
      <c r="K11" s="116">
        <f t="shared" si="2"/>
        <v>837.27715099999989</v>
      </c>
      <c r="L11" s="116">
        <f t="shared" si="2"/>
        <v>-44.168999999999997</v>
      </c>
      <c r="M11" s="116">
        <f t="shared" si="2"/>
        <v>793.10815099999991</v>
      </c>
    </row>
    <row r="12" spans="1:20">
      <c r="A12" s="163">
        <v>40848</v>
      </c>
      <c r="B12" s="116">
        <f>'[7]US EIA'!$R160</f>
        <v>2097.7631510000001</v>
      </c>
      <c r="C12" s="116">
        <f>'[4]Renewable Diesel'!$AX23</f>
        <v>120</v>
      </c>
      <c r="D12" s="116">
        <f t="shared" si="0"/>
        <v>2217.7631510000001</v>
      </c>
      <c r="E12" s="116">
        <f>monthly_data!F469</f>
        <v>104.747</v>
      </c>
      <c r="F12" s="116">
        <f>monthly_data!AD469</f>
        <v>5.234</v>
      </c>
      <c r="G12" s="116">
        <f t="shared" si="1"/>
        <v>109.98099999999999</v>
      </c>
      <c r="H12" s="164">
        <f t="shared" si="3"/>
        <v>0.58791739716897284</v>
      </c>
      <c r="I12" s="164">
        <f t="shared" si="5"/>
        <v>0.51355107526881716</v>
      </c>
      <c r="J12" s="164">
        <f t="shared" si="4"/>
        <v>0.58389354158998796</v>
      </c>
      <c r="K12" s="116">
        <f t="shared" si="2"/>
        <v>864.45169938709705</v>
      </c>
      <c r="L12" s="116">
        <f t="shared" si="2"/>
        <v>58.373870967741944</v>
      </c>
      <c r="M12" s="116">
        <f t="shared" si="2"/>
        <v>922.82557035483876</v>
      </c>
    </row>
    <row r="13" spans="1:20">
      <c r="A13" s="163">
        <v>40878</v>
      </c>
      <c r="B13" s="116">
        <f>'[7]US EIA'!$R161</f>
        <v>2089.9381509999998</v>
      </c>
      <c r="C13" s="116">
        <f>'[4]Renewable Diesel'!$AX24</f>
        <v>120</v>
      </c>
      <c r="D13" s="116">
        <f t="shared" si="0"/>
        <v>2209.9381509999998</v>
      </c>
      <c r="E13" s="116">
        <f>monthly_data!F470</f>
        <v>109.357</v>
      </c>
      <c r="F13" s="116">
        <f>monthly_data!AD470</f>
        <v>6.4809999999999999</v>
      </c>
      <c r="G13" s="116">
        <f t="shared" si="1"/>
        <v>115.83799999999999</v>
      </c>
      <c r="H13" s="164">
        <f t="shared" si="3"/>
        <v>0.6366265748247335</v>
      </c>
      <c r="I13" s="164">
        <f t="shared" si="5"/>
        <v>0.6571013888888888</v>
      </c>
      <c r="J13" s="164">
        <f t="shared" si="4"/>
        <v>0.63773836054895694</v>
      </c>
      <c r="K13" s="116">
        <f t="shared" si="2"/>
        <v>759.42798433333326</v>
      </c>
      <c r="L13" s="116">
        <f t="shared" si="2"/>
        <v>41.147833333333345</v>
      </c>
      <c r="M13" s="116">
        <f t="shared" si="2"/>
        <v>800.57581766666669</v>
      </c>
      <c r="N13" s="116" t="e">
        <f>B13-B1</f>
        <v>#VALUE!</v>
      </c>
      <c r="O13" s="116" t="e">
        <f>C13-C1</f>
        <v>#VALUE!</v>
      </c>
      <c r="P13" s="116" t="e">
        <f t="shared" ref="P13" si="6">D13-D1</f>
        <v>#VALUE!</v>
      </c>
      <c r="Q13" s="116">
        <f>SUM(E2:E13)</f>
        <v>967.4799999999999</v>
      </c>
      <c r="R13" s="116">
        <f t="shared" ref="R13:S13" si="7">SUM(F2:F13)</f>
        <v>62.041000000000004</v>
      </c>
      <c r="S13" s="116">
        <f t="shared" si="7"/>
        <v>1029.521</v>
      </c>
      <c r="T13" s="116">
        <f>S13-S1</f>
        <v>1029.521</v>
      </c>
    </row>
    <row r="14" spans="1:20">
      <c r="A14" s="163">
        <v>40909</v>
      </c>
      <c r="B14" s="116">
        <f>'[7]US EIA'!$R162</f>
        <v>2248</v>
      </c>
      <c r="C14" s="116">
        <f>'[4]Renewable Diesel'!$AX25</f>
        <v>160</v>
      </c>
      <c r="D14" s="116">
        <f t="shared" si="0"/>
        <v>2408</v>
      </c>
      <c r="E14" s="116">
        <f>monthly_data!F471</f>
        <v>73.546000000000006</v>
      </c>
      <c r="F14" s="116">
        <f>monthly_data!AD471</f>
        <v>4.2169999999999996</v>
      </c>
      <c r="G14" s="116">
        <f t="shared" si="1"/>
        <v>77.763000000000005</v>
      </c>
      <c r="H14" s="164">
        <f t="shared" si="3"/>
        <v>0.38520677878544374</v>
      </c>
      <c r="I14" s="164">
        <f t="shared" si="5"/>
        <v>0.31032358870967736</v>
      </c>
      <c r="J14" s="164">
        <f t="shared" si="4"/>
        <v>0.3802311515378845</v>
      </c>
      <c r="K14" s="116">
        <f t="shared" si="2"/>
        <v>1382.0551612903225</v>
      </c>
      <c r="L14" s="116">
        <f t="shared" si="2"/>
        <v>110.34822580645162</v>
      </c>
      <c r="M14" s="116">
        <f t="shared" si="2"/>
        <v>1492.4033870967742</v>
      </c>
      <c r="Q14" s="116">
        <f t="shared" ref="Q14:R14" si="8">Q13-Q1</f>
        <v>967.4799999999999</v>
      </c>
      <c r="R14" s="116">
        <f t="shared" si="8"/>
        <v>62.041000000000004</v>
      </c>
      <c r="S14" s="116">
        <f>S13-S1</f>
        <v>1029.521</v>
      </c>
    </row>
    <row r="15" spans="1:20">
      <c r="A15" s="163">
        <v>40940</v>
      </c>
      <c r="B15" s="116">
        <f>'[7]US EIA'!$R163</f>
        <v>2248</v>
      </c>
      <c r="C15" s="116">
        <f>'[4]Renewable Diesel'!$AX26</f>
        <v>160</v>
      </c>
      <c r="D15" s="116">
        <f t="shared" si="0"/>
        <v>2408</v>
      </c>
      <c r="E15" s="116">
        <f>monthly_data!F472</f>
        <v>79.236000000000004</v>
      </c>
      <c r="F15" s="116">
        <f>monthly_data!AD472</f>
        <v>3.1890000000000001</v>
      </c>
      <c r="G15" s="116">
        <f t="shared" si="1"/>
        <v>82.425000000000011</v>
      </c>
      <c r="H15" s="164">
        <f t="shared" si="3"/>
        <v>0.41500889679715303</v>
      </c>
      <c r="I15" s="164">
        <f t="shared" si="5"/>
        <v>0.23467439516129032</v>
      </c>
      <c r="J15" s="164">
        <f t="shared" si="4"/>
        <v>0.40302653788447118</v>
      </c>
      <c r="K15" s="116">
        <f t="shared" si="2"/>
        <v>1315.06</v>
      </c>
      <c r="L15" s="116">
        <f t="shared" si="2"/>
        <v>122.45209677419355</v>
      </c>
      <c r="M15" s="116">
        <f t="shared" si="2"/>
        <v>1437.5120967741934</v>
      </c>
    </row>
    <row r="16" spans="1:20">
      <c r="A16" s="163">
        <v>40969</v>
      </c>
      <c r="B16" s="116">
        <f>'[7]US EIA'!$R164</f>
        <v>2233</v>
      </c>
      <c r="C16" s="116">
        <f>'[4]Renewable Diesel'!$AX27</f>
        <v>160</v>
      </c>
      <c r="D16" s="116">
        <f t="shared" si="0"/>
        <v>2393</v>
      </c>
      <c r="E16" s="116">
        <f>monthly_data!F473</f>
        <v>94.524000000000001</v>
      </c>
      <c r="F16" s="116">
        <f>monthly_data!AD473</f>
        <v>5.3540000000000001</v>
      </c>
      <c r="G16" s="116">
        <f t="shared" si="1"/>
        <v>99.878</v>
      </c>
      <c r="H16" s="164">
        <f t="shared" si="3"/>
        <v>0.5327803943975169</v>
      </c>
      <c r="I16" s="164">
        <f t="shared" si="5"/>
        <v>0.42116594827586207</v>
      </c>
      <c r="J16" s="164">
        <f t="shared" si="4"/>
        <v>0.52531766502874766</v>
      </c>
      <c r="K16" s="116">
        <f t="shared" si="2"/>
        <v>1043.3013793103448</v>
      </c>
      <c r="L16" s="116">
        <f t="shared" si="2"/>
        <v>92.613448275862069</v>
      </c>
      <c r="M16" s="116">
        <f t="shared" si="2"/>
        <v>1135.9148275862069</v>
      </c>
    </row>
    <row r="17" spans="1:20">
      <c r="A17" s="163">
        <v>41000</v>
      </c>
      <c r="B17" s="116">
        <f>'[7]US EIA'!$R165</f>
        <v>2203</v>
      </c>
      <c r="C17" s="116">
        <f>'[4]Renewable Diesel'!$AX28</f>
        <v>160</v>
      </c>
      <c r="D17" s="116">
        <f t="shared" si="0"/>
        <v>2363</v>
      </c>
      <c r="E17" s="116">
        <f>monthly_data!F474</f>
        <v>93.942999999999998</v>
      </c>
      <c r="F17" s="116">
        <f>monthly_data!AD474</f>
        <v>3.552</v>
      </c>
      <c r="G17" s="116">
        <f t="shared" si="1"/>
        <v>97.495000000000005</v>
      </c>
      <c r="H17" s="164">
        <f t="shared" si="3"/>
        <v>0.5020894527989691</v>
      </c>
      <c r="I17" s="164">
        <f t="shared" si="5"/>
        <v>0.26138709677419353</v>
      </c>
      <c r="J17" s="164">
        <f t="shared" si="4"/>
        <v>0.48579136690647479</v>
      </c>
      <c r="K17" s="116">
        <f t="shared" si="2"/>
        <v>1096.8969354838712</v>
      </c>
      <c r="L17" s="116">
        <f t="shared" si="2"/>
        <v>118.17806451612903</v>
      </c>
      <c r="M17" s="116">
        <f t="shared" si="2"/>
        <v>1215.075</v>
      </c>
    </row>
    <row r="18" spans="1:20">
      <c r="A18" s="163">
        <v>41030</v>
      </c>
      <c r="B18" s="116">
        <f>'[7]US EIA'!$R166</f>
        <v>2199</v>
      </c>
      <c r="C18" s="116">
        <f>'[4]Renewable Diesel'!$AX29</f>
        <v>160</v>
      </c>
      <c r="D18" s="116">
        <f t="shared" si="0"/>
        <v>2359</v>
      </c>
      <c r="E18" s="116">
        <f>monthly_data!F475</f>
        <v>101.97</v>
      </c>
      <c r="F18" s="116">
        <f>monthly_data!AD475</f>
        <v>3.766</v>
      </c>
      <c r="G18" s="116">
        <f t="shared" si="1"/>
        <v>105.736</v>
      </c>
      <c r="H18" s="164">
        <f t="shared" si="3"/>
        <v>0.56418144611186904</v>
      </c>
      <c r="I18" s="164">
        <f t="shared" si="5"/>
        <v>0.28637291666666664</v>
      </c>
      <c r="J18" s="164">
        <f t="shared" si="4"/>
        <v>0.54533898544581039</v>
      </c>
      <c r="K18" s="116">
        <f t="shared" si="2"/>
        <v>958.36500000000001</v>
      </c>
      <c r="L18" s="116">
        <f t="shared" si="2"/>
        <v>114.18033333333334</v>
      </c>
      <c r="M18" s="116">
        <f t="shared" si="2"/>
        <v>1072.5453333333332</v>
      </c>
    </row>
    <row r="19" spans="1:20">
      <c r="A19" s="163">
        <v>41061</v>
      </c>
      <c r="B19" s="116">
        <f>'[7]US EIA'!$R167</f>
        <v>2183</v>
      </c>
      <c r="C19" s="116">
        <f>'[4]Renewable Diesel'!$AX30</f>
        <v>160</v>
      </c>
      <c r="D19" s="116">
        <f t="shared" si="0"/>
        <v>2343</v>
      </c>
      <c r="E19" s="116">
        <f>monthly_data!F476</f>
        <v>93.373999999999995</v>
      </c>
      <c r="F19" s="116">
        <f>monthly_data!AD476</f>
        <v>3.593</v>
      </c>
      <c r="G19" s="116">
        <f t="shared" si="1"/>
        <v>96.966999999999999</v>
      </c>
      <c r="H19" s="164">
        <f t="shared" si="3"/>
        <v>0.50362049857402502</v>
      </c>
      <c r="I19" s="164">
        <f t="shared" si="5"/>
        <v>0.26440423387096773</v>
      </c>
      <c r="J19" s="164">
        <f t="shared" si="4"/>
        <v>0.48728477413847698</v>
      </c>
      <c r="K19" s="116">
        <f t="shared" ref="K19:M82" si="9">((1-H19)*B19)</f>
        <v>1083.5964516129034</v>
      </c>
      <c r="L19" s="116">
        <f t="shared" si="9"/>
        <v>117.69532258064515</v>
      </c>
      <c r="M19" s="116">
        <f t="shared" si="9"/>
        <v>1201.2917741935485</v>
      </c>
    </row>
    <row r="20" spans="1:20">
      <c r="A20" s="163">
        <v>41091</v>
      </c>
      <c r="B20" s="116">
        <f>'[7]US EIA'!$R168</f>
        <v>2180</v>
      </c>
      <c r="C20" s="116">
        <f>'[4]Renewable Diesel'!$AX31</f>
        <v>160</v>
      </c>
      <c r="D20" s="116">
        <f t="shared" si="0"/>
        <v>2340</v>
      </c>
      <c r="E20" s="116">
        <f>monthly_data!F477</f>
        <v>89.316999999999993</v>
      </c>
      <c r="F20" s="116">
        <f>monthly_data!AD477</f>
        <v>6.2789999999999999</v>
      </c>
      <c r="G20" s="116">
        <f t="shared" si="1"/>
        <v>95.595999999999989</v>
      </c>
      <c r="H20" s="164">
        <f t="shared" si="3"/>
        <v>0.49848172782874611</v>
      </c>
      <c r="I20" s="164">
        <f t="shared" si="5"/>
        <v>0.47746562499999995</v>
      </c>
      <c r="J20" s="164">
        <f t="shared" si="4"/>
        <v>0.49704472934472921</v>
      </c>
      <c r="K20" s="116">
        <f t="shared" si="9"/>
        <v>1093.3098333333335</v>
      </c>
      <c r="L20" s="116">
        <f t="shared" si="9"/>
        <v>83.605500000000006</v>
      </c>
      <c r="M20" s="116">
        <f t="shared" si="9"/>
        <v>1176.9153333333336</v>
      </c>
    </row>
    <row r="21" spans="1:20">
      <c r="A21" s="163">
        <v>41122</v>
      </c>
      <c r="B21" s="116">
        <f>'[7]US EIA'!$R169</f>
        <v>2180</v>
      </c>
      <c r="C21" s="116">
        <f>'[4]Renewable Diesel'!$AX32</f>
        <v>160</v>
      </c>
      <c r="D21" s="116">
        <f t="shared" si="0"/>
        <v>2340</v>
      </c>
      <c r="E21" s="116">
        <f>monthly_data!F478</f>
        <v>91.405000000000001</v>
      </c>
      <c r="F21" s="116">
        <f>monthly_data!AD478</f>
        <v>5.4809999999999999</v>
      </c>
      <c r="G21" s="116">
        <f t="shared" si="1"/>
        <v>96.885999999999996</v>
      </c>
      <c r="H21" s="164">
        <f t="shared" si="3"/>
        <v>0.49367897306895536</v>
      </c>
      <c r="I21" s="164">
        <f t="shared" si="5"/>
        <v>0.40333971774193544</v>
      </c>
      <c r="J21" s="164">
        <f t="shared" si="4"/>
        <v>0.4875019299696719</v>
      </c>
      <c r="K21" s="116">
        <f t="shared" si="9"/>
        <v>1103.7798387096773</v>
      </c>
      <c r="L21" s="116">
        <f t="shared" si="9"/>
        <v>95.465645161290325</v>
      </c>
      <c r="M21" s="116">
        <f t="shared" si="9"/>
        <v>1199.2454838709677</v>
      </c>
    </row>
    <row r="22" spans="1:20">
      <c r="A22" s="163">
        <v>41153</v>
      </c>
      <c r="B22" s="116">
        <f>'[7]US EIA'!$R170</f>
        <v>2210</v>
      </c>
      <c r="C22" s="116">
        <f>'[4]Renewable Diesel'!$AX33</f>
        <v>160</v>
      </c>
      <c r="D22" s="116">
        <f t="shared" si="0"/>
        <v>2370</v>
      </c>
      <c r="E22" s="116">
        <f>monthly_data!F479</f>
        <v>81.852999999999994</v>
      </c>
      <c r="F22" s="116">
        <f>monthly_data!AD479</f>
        <v>3.7389999999999999</v>
      </c>
      <c r="G22" s="116">
        <f t="shared" si="1"/>
        <v>85.591999999999999</v>
      </c>
      <c r="H22" s="164">
        <f t="shared" si="3"/>
        <v>0.43608735950956062</v>
      </c>
      <c r="I22" s="164">
        <f t="shared" si="5"/>
        <v>0.27514818548387099</v>
      </c>
      <c r="J22" s="164">
        <f t="shared" si="4"/>
        <v>0.42522226759221449</v>
      </c>
      <c r="K22" s="116">
        <f t="shared" si="9"/>
        <v>1246.2469354838709</v>
      </c>
      <c r="L22" s="116">
        <f t="shared" si="9"/>
        <v>115.97629032258064</v>
      </c>
      <c r="M22" s="116">
        <f t="shared" si="9"/>
        <v>1362.2232258064516</v>
      </c>
    </row>
    <row r="23" spans="1:20">
      <c r="A23" s="163">
        <v>41183</v>
      </c>
      <c r="B23" s="116">
        <f>'[7]US EIA'!$R171</f>
        <v>2210</v>
      </c>
      <c r="C23" s="116">
        <f>'[4]Renewable Diesel'!$AX34</f>
        <v>160</v>
      </c>
      <c r="D23" s="116">
        <f t="shared" si="0"/>
        <v>2370</v>
      </c>
      <c r="E23" s="116">
        <f>monthly_data!F480</f>
        <v>75.283000000000001</v>
      </c>
      <c r="F23" s="116">
        <f>monthly_data!AD480</f>
        <v>3.8540000000000001</v>
      </c>
      <c r="G23" s="116">
        <f t="shared" si="1"/>
        <v>79.137</v>
      </c>
      <c r="H23" s="164">
        <f t="shared" si="3"/>
        <v>0.41445392156862748</v>
      </c>
      <c r="I23" s="164">
        <f t="shared" si="5"/>
        <v>0.29306458333333335</v>
      </c>
      <c r="J23" s="164">
        <f t="shared" si="4"/>
        <v>0.40625886075949369</v>
      </c>
      <c r="K23" s="116">
        <f t="shared" si="9"/>
        <v>1294.0568333333333</v>
      </c>
      <c r="L23" s="116">
        <f t="shared" si="9"/>
        <v>113.10966666666666</v>
      </c>
      <c r="M23" s="116">
        <f t="shared" si="9"/>
        <v>1407.1665</v>
      </c>
    </row>
    <row r="24" spans="1:20">
      <c r="A24" s="163">
        <v>41214</v>
      </c>
      <c r="B24" s="116">
        <f>'[7]US EIA'!$R172</f>
        <v>2172</v>
      </c>
      <c r="C24" s="116">
        <f>'[4]Renewable Diesel'!$AX35</f>
        <v>160</v>
      </c>
      <c r="D24" s="116">
        <f t="shared" si="0"/>
        <v>2332</v>
      </c>
      <c r="E24" s="116">
        <f>monthly_data!F481</f>
        <v>57.228999999999999</v>
      </c>
      <c r="F24" s="116">
        <f>monthly_data!AD481</f>
        <v>5.5810000000000004</v>
      </c>
      <c r="G24" s="116">
        <f t="shared" si="1"/>
        <v>62.81</v>
      </c>
      <c r="H24" s="164">
        <f t="shared" si="3"/>
        <v>0.31023265312184395</v>
      </c>
      <c r="I24" s="164">
        <f t="shared" si="5"/>
        <v>0.41069858870967746</v>
      </c>
      <c r="J24" s="164">
        <f t="shared" si="4"/>
        <v>0.31712568472306757</v>
      </c>
      <c r="K24" s="116">
        <f t="shared" si="9"/>
        <v>1498.1746774193548</v>
      </c>
      <c r="L24" s="116">
        <f t="shared" si="9"/>
        <v>94.288225806451607</v>
      </c>
      <c r="M24" s="116">
        <f t="shared" si="9"/>
        <v>1592.4629032258065</v>
      </c>
    </row>
    <row r="25" spans="1:20">
      <c r="A25" s="163">
        <v>41244</v>
      </c>
      <c r="B25" s="116">
        <f>'[7]US EIA'!$R173</f>
        <v>2104</v>
      </c>
      <c r="C25" s="116">
        <f>'[4]Renewable Diesel'!$AX36</f>
        <v>160</v>
      </c>
      <c r="D25" s="116">
        <f t="shared" si="0"/>
        <v>2264</v>
      </c>
      <c r="E25" s="116">
        <f>monthly_data!F482</f>
        <v>59.031999999999996</v>
      </c>
      <c r="F25" s="116">
        <f>monthly_data!AD482</f>
        <v>3.7949999999999999</v>
      </c>
      <c r="G25" s="116">
        <f t="shared" si="1"/>
        <v>62.826999999999998</v>
      </c>
      <c r="H25" s="164">
        <f t="shared" si="3"/>
        <v>0.34136058301647648</v>
      </c>
      <c r="I25" s="164">
        <f t="shared" si="5"/>
        <v>0.28857812500000002</v>
      </c>
      <c r="J25" s="164">
        <f t="shared" si="4"/>
        <v>0.33763037396937573</v>
      </c>
      <c r="K25" s="116">
        <f t="shared" si="9"/>
        <v>1385.7773333333334</v>
      </c>
      <c r="L25" s="116">
        <f t="shared" si="9"/>
        <v>113.8275</v>
      </c>
      <c r="M25" s="116">
        <f t="shared" si="9"/>
        <v>1499.6048333333333</v>
      </c>
      <c r="N25" s="116">
        <f>B25-B13</f>
        <v>14.061849000000166</v>
      </c>
      <c r="O25" s="116">
        <f>C25-C13</f>
        <v>40</v>
      </c>
      <c r="P25" s="116">
        <f t="shared" ref="P25" si="10">D25-D13</f>
        <v>54.061849000000166</v>
      </c>
      <c r="Q25" s="116">
        <f>SUM(E14:E25)</f>
        <v>990.7120000000001</v>
      </c>
      <c r="R25" s="116">
        <f t="shared" ref="R25:S25" si="11">SUM(F14:F25)</f>
        <v>52.400000000000006</v>
      </c>
      <c r="S25" s="116">
        <f t="shared" si="11"/>
        <v>1043.1119999999999</v>
      </c>
      <c r="T25" s="116">
        <f>S25-S13</f>
        <v>13.590999999999894</v>
      </c>
    </row>
    <row r="26" spans="1:20">
      <c r="A26" s="163">
        <v>41275</v>
      </c>
      <c r="B26" s="116">
        <f>'[7]US EIA'!$R174</f>
        <v>2112</v>
      </c>
      <c r="C26" s="116">
        <f>'[4]Renewable Diesel'!$AX37</f>
        <v>160</v>
      </c>
      <c r="D26" s="116">
        <f t="shared" si="0"/>
        <v>2272</v>
      </c>
      <c r="E26" s="116">
        <f>monthly_data!F483</f>
        <v>68.864000000000004</v>
      </c>
      <c r="F26" s="116">
        <f>monthly_data!AD483</f>
        <v>1.2789999999999999</v>
      </c>
      <c r="G26" s="116">
        <f t="shared" si="1"/>
        <v>70.143000000000001</v>
      </c>
      <c r="H26" s="164">
        <f t="shared" si="3"/>
        <v>0.38391006842619751</v>
      </c>
      <c r="I26" s="164">
        <f t="shared" si="5"/>
        <v>9.4119959677419346E-2</v>
      </c>
      <c r="J26" s="164">
        <f t="shared" si="4"/>
        <v>0.36350231428895963</v>
      </c>
      <c r="K26" s="116">
        <f t="shared" si="9"/>
        <v>1301.1819354838708</v>
      </c>
      <c r="L26" s="116">
        <f t="shared" si="9"/>
        <v>144.9408064516129</v>
      </c>
      <c r="M26" s="116">
        <f t="shared" si="9"/>
        <v>1446.1227419354836</v>
      </c>
      <c r="Q26" s="116">
        <f t="shared" ref="Q26:R26" si="12">Q25-Q13</f>
        <v>23.232000000000198</v>
      </c>
      <c r="R26" s="116">
        <f t="shared" si="12"/>
        <v>-9.6409999999999982</v>
      </c>
      <c r="S26" s="116">
        <f>S25-S13</f>
        <v>13.590999999999894</v>
      </c>
    </row>
    <row r="27" spans="1:20">
      <c r="A27" s="163">
        <v>41306</v>
      </c>
      <c r="B27" s="116">
        <f>'[7]US EIA'!$R175</f>
        <v>2121</v>
      </c>
      <c r="C27" s="116">
        <f>'[4]Renewable Diesel'!$AX38</f>
        <v>160</v>
      </c>
      <c r="D27" s="116">
        <f t="shared" si="0"/>
        <v>2281</v>
      </c>
      <c r="E27" s="116">
        <f>monthly_data!F484</f>
        <v>70.233999999999995</v>
      </c>
      <c r="F27" s="116">
        <f>monthly_data!AD484</f>
        <v>1.2929999999999999</v>
      </c>
      <c r="G27" s="116">
        <f t="shared" si="1"/>
        <v>71.527000000000001</v>
      </c>
      <c r="H27" s="164">
        <f t="shared" si="3"/>
        <v>0.38988623747167334</v>
      </c>
      <c r="I27" s="164">
        <f t="shared" si="5"/>
        <v>9.5150201612903218E-2</v>
      </c>
      <c r="J27" s="164">
        <f t="shared" si="4"/>
        <v>0.36921207450043136</v>
      </c>
      <c r="K27" s="116">
        <f t="shared" si="9"/>
        <v>1294.0512903225808</v>
      </c>
      <c r="L27" s="116">
        <f t="shared" si="9"/>
        <v>144.77596774193549</v>
      </c>
      <c r="M27" s="116">
        <f t="shared" si="9"/>
        <v>1438.8272580645159</v>
      </c>
    </row>
    <row r="28" spans="1:20">
      <c r="A28" s="163">
        <v>41334</v>
      </c>
      <c r="B28" s="116">
        <f>'[7]US EIA'!$R176</f>
        <v>2140</v>
      </c>
      <c r="C28" s="116">
        <f>'[4]Renewable Diesel'!$AX39</f>
        <v>160</v>
      </c>
      <c r="D28" s="116">
        <f t="shared" si="0"/>
        <v>2300</v>
      </c>
      <c r="E28" s="116">
        <f>monthly_data!F485</f>
        <v>101.28400000000001</v>
      </c>
      <c r="F28" s="116">
        <f>monthly_data!AD485</f>
        <v>1.8740000000000001</v>
      </c>
      <c r="G28" s="116">
        <f t="shared" si="1"/>
        <v>103.158</v>
      </c>
      <c r="H28" s="164">
        <f t="shared" si="3"/>
        <v>0.61696695594125506</v>
      </c>
      <c r="I28" s="164">
        <f t="shared" si="5"/>
        <v>0.1526808035714286</v>
      </c>
      <c r="J28" s="164">
        <f t="shared" si="4"/>
        <v>0.58466878881987583</v>
      </c>
      <c r="K28" s="116">
        <f t="shared" si="9"/>
        <v>819.69071428571419</v>
      </c>
      <c r="L28" s="116">
        <f t="shared" si="9"/>
        <v>135.57107142857143</v>
      </c>
      <c r="M28" s="116">
        <f t="shared" si="9"/>
        <v>955.26178571428557</v>
      </c>
    </row>
    <row r="29" spans="1:20">
      <c r="A29" s="163">
        <v>41365</v>
      </c>
      <c r="B29" s="116">
        <f>'[7]US EIA'!$R177</f>
        <v>2141</v>
      </c>
      <c r="C29" s="116">
        <f>'[4]Renewable Diesel'!$AX40</f>
        <v>160</v>
      </c>
      <c r="D29" s="116">
        <f t="shared" si="0"/>
        <v>2301</v>
      </c>
      <c r="E29" s="116">
        <f>monthly_data!F486</f>
        <v>107.01900000000001</v>
      </c>
      <c r="F29" s="116">
        <f>monthly_data!AD486</f>
        <v>1.6739999999999999</v>
      </c>
      <c r="G29" s="116">
        <f t="shared" si="1"/>
        <v>108.69300000000001</v>
      </c>
      <c r="H29" s="164">
        <f t="shared" si="3"/>
        <v>0.58853919633574903</v>
      </c>
      <c r="I29" s="164">
        <f t="shared" si="5"/>
        <v>0.12318750000000001</v>
      </c>
      <c r="J29" s="164">
        <f t="shared" si="4"/>
        <v>0.55618097320940407</v>
      </c>
      <c r="K29" s="116">
        <f t="shared" si="9"/>
        <v>880.93758064516135</v>
      </c>
      <c r="L29" s="116">
        <f t="shared" si="9"/>
        <v>140.29</v>
      </c>
      <c r="M29" s="116">
        <f t="shared" si="9"/>
        <v>1021.2275806451612</v>
      </c>
    </row>
    <row r="30" spans="1:20">
      <c r="A30" s="163">
        <v>41395</v>
      </c>
      <c r="B30" s="116">
        <f>'[7]US EIA'!$R178</f>
        <v>2153</v>
      </c>
      <c r="C30" s="116">
        <f>'[4]Renewable Diesel'!$AX41</f>
        <v>160</v>
      </c>
      <c r="D30" s="116">
        <f t="shared" si="0"/>
        <v>2313</v>
      </c>
      <c r="E30" s="116">
        <f>monthly_data!F487</f>
        <v>111.101</v>
      </c>
      <c r="F30" s="116">
        <f>monthly_data!AD487</f>
        <v>2.7919999999999998</v>
      </c>
      <c r="G30" s="116">
        <f t="shared" si="1"/>
        <v>113.893</v>
      </c>
      <c r="H30" s="164">
        <f t="shared" si="3"/>
        <v>0.62783503638334104</v>
      </c>
      <c r="I30" s="164">
        <f t="shared" si="5"/>
        <v>0.21230833333333332</v>
      </c>
      <c r="J30" s="164">
        <f t="shared" si="4"/>
        <v>0.59909129557573138</v>
      </c>
      <c r="K30" s="116">
        <f t="shared" si="9"/>
        <v>801.27116666666677</v>
      </c>
      <c r="L30" s="116">
        <f t="shared" si="9"/>
        <v>126.03066666666666</v>
      </c>
      <c r="M30" s="116">
        <f t="shared" si="9"/>
        <v>927.30183333333332</v>
      </c>
    </row>
    <row r="31" spans="1:20">
      <c r="A31" s="163">
        <v>41426</v>
      </c>
      <c r="B31" s="116">
        <f>'[7]US EIA'!$R179</f>
        <v>2162</v>
      </c>
      <c r="C31" s="116">
        <f>'[4]Renewable Diesel'!$AX42</f>
        <v>160</v>
      </c>
      <c r="D31" s="116">
        <f t="shared" si="0"/>
        <v>2322</v>
      </c>
      <c r="E31" s="116">
        <f>monthly_data!F488</f>
        <v>113.369</v>
      </c>
      <c r="F31" s="116">
        <f>monthly_data!AD488</f>
        <v>7.2560000000000002</v>
      </c>
      <c r="G31" s="116">
        <f t="shared" si="1"/>
        <v>120.625</v>
      </c>
      <c r="H31" s="164">
        <f t="shared" si="3"/>
        <v>0.61740450896720467</v>
      </c>
      <c r="I31" s="164">
        <f t="shared" si="5"/>
        <v>0.53395967741935491</v>
      </c>
      <c r="J31" s="164">
        <f t="shared" si="4"/>
        <v>0.61165464977355455</v>
      </c>
      <c r="K31" s="116">
        <f t="shared" si="9"/>
        <v>827.17145161290352</v>
      </c>
      <c r="L31" s="116">
        <f t="shared" si="9"/>
        <v>74.566451612903222</v>
      </c>
      <c r="M31" s="116">
        <f t="shared" si="9"/>
        <v>901.73790322580635</v>
      </c>
    </row>
    <row r="32" spans="1:20">
      <c r="A32" s="163">
        <v>41456</v>
      </c>
      <c r="B32" s="116">
        <f>'[7]US EIA'!$R180</f>
        <v>2156</v>
      </c>
      <c r="C32" s="116">
        <f>'[4]Renewable Diesel'!$AX43</f>
        <v>160</v>
      </c>
      <c r="D32" s="116">
        <f t="shared" si="0"/>
        <v>2316</v>
      </c>
      <c r="E32" s="116">
        <f>monthly_data!F489</f>
        <v>129.02600000000001</v>
      </c>
      <c r="F32" s="116">
        <f>monthly_data!AD489</f>
        <v>15.712</v>
      </c>
      <c r="G32" s="116">
        <f t="shared" si="1"/>
        <v>144.738</v>
      </c>
      <c r="H32" s="164">
        <f t="shared" si="3"/>
        <v>0.72811518243661111</v>
      </c>
      <c r="I32" s="164">
        <f t="shared" si="5"/>
        <v>1.1947666666666665</v>
      </c>
      <c r="J32" s="164">
        <f t="shared" si="4"/>
        <v>0.76035362694300523</v>
      </c>
      <c r="K32" s="116">
        <f t="shared" si="9"/>
        <v>586.18366666666645</v>
      </c>
      <c r="L32" s="116">
        <f t="shared" si="9"/>
        <v>-31.162666666666645</v>
      </c>
      <c r="M32" s="116">
        <f t="shared" si="9"/>
        <v>555.02099999999984</v>
      </c>
    </row>
    <row r="33" spans="1:20">
      <c r="A33" s="163">
        <v>41487</v>
      </c>
      <c r="B33" s="116">
        <f>'[7]US EIA'!$R181</f>
        <v>2153</v>
      </c>
      <c r="C33" s="116">
        <f>'[4]Renewable Diesel'!$AX44</f>
        <v>160</v>
      </c>
      <c r="D33" s="116">
        <f t="shared" si="0"/>
        <v>2313</v>
      </c>
      <c r="E33" s="116">
        <f>monthly_data!F490</f>
        <v>129.619</v>
      </c>
      <c r="F33" s="116">
        <f>monthly_data!AD490</f>
        <v>15.256</v>
      </c>
      <c r="G33" s="116">
        <f t="shared" si="1"/>
        <v>144.875</v>
      </c>
      <c r="H33" s="164">
        <f t="shared" si="3"/>
        <v>0.70885238901457825</v>
      </c>
      <c r="I33" s="164">
        <f t="shared" si="5"/>
        <v>1.1226693548387097</v>
      </c>
      <c r="J33" s="164">
        <f t="shared" si="4"/>
        <v>0.73747786006164318</v>
      </c>
      <c r="K33" s="116">
        <f t="shared" si="9"/>
        <v>626.84080645161305</v>
      </c>
      <c r="L33" s="116">
        <f t="shared" si="9"/>
        <v>-19.627096774193546</v>
      </c>
      <c r="M33" s="116">
        <f t="shared" si="9"/>
        <v>607.21370967741939</v>
      </c>
    </row>
    <row r="34" spans="1:20">
      <c r="A34" s="163">
        <v>41518</v>
      </c>
      <c r="B34" s="116">
        <f>'[7]US EIA'!$R182</f>
        <v>2153</v>
      </c>
      <c r="C34" s="116">
        <f>'[4]Renewable Diesel'!$AX45</f>
        <v>160</v>
      </c>
      <c r="D34" s="116">
        <f t="shared" si="0"/>
        <v>2313</v>
      </c>
      <c r="E34" s="116">
        <f>monthly_data!F491</f>
        <v>127.065</v>
      </c>
      <c r="F34" s="116">
        <f>monthly_data!AD491</f>
        <v>17.640999999999998</v>
      </c>
      <c r="G34" s="116">
        <f t="shared" si="1"/>
        <v>144.70599999999999</v>
      </c>
      <c r="H34" s="164">
        <f t="shared" si="3"/>
        <v>0.69488523141003555</v>
      </c>
      <c r="I34" s="164">
        <f t="shared" si="5"/>
        <v>1.2981784274193546</v>
      </c>
      <c r="J34" s="164">
        <f t="shared" si="4"/>
        <v>0.7366175752757903</v>
      </c>
      <c r="K34" s="116">
        <f t="shared" si="9"/>
        <v>656.9120967741934</v>
      </c>
      <c r="L34" s="116">
        <f t="shared" si="9"/>
        <v>-47.708548387096741</v>
      </c>
      <c r="M34" s="116">
        <f t="shared" si="9"/>
        <v>609.20354838709704</v>
      </c>
    </row>
    <row r="35" spans="1:20">
      <c r="A35" s="163">
        <v>41548</v>
      </c>
      <c r="B35" s="116">
        <f>'[7]US EIA'!$R183</f>
        <v>2137</v>
      </c>
      <c r="C35" s="116">
        <f>'[4]Renewable Diesel'!$AX46</f>
        <v>160</v>
      </c>
      <c r="D35" s="116">
        <f t="shared" si="0"/>
        <v>2297</v>
      </c>
      <c r="E35" s="116">
        <f>monthly_data!F492</f>
        <v>137.434</v>
      </c>
      <c r="F35" s="116">
        <f>monthly_data!AD492</f>
        <v>18.931999999999999</v>
      </c>
      <c r="G35" s="116">
        <f t="shared" si="1"/>
        <v>156.36599999999999</v>
      </c>
      <c r="H35" s="164">
        <f t="shared" si="3"/>
        <v>0.78245843082202449</v>
      </c>
      <c r="I35" s="164">
        <f t="shared" si="5"/>
        <v>1.4396208333333333</v>
      </c>
      <c r="J35" s="164">
        <f t="shared" si="4"/>
        <v>0.82823378319547225</v>
      </c>
      <c r="K35" s="116">
        <f t="shared" si="9"/>
        <v>464.88633333333365</v>
      </c>
      <c r="L35" s="116">
        <f t="shared" si="9"/>
        <v>-70.339333333333343</v>
      </c>
      <c r="M35" s="116">
        <f t="shared" si="9"/>
        <v>394.54700000000025</v>
      </c>
    </row>
    <row r="36" spans="1:20">
      <c r="A36" s="163">
        <v>41579</v>
      </c>
      <c r="B36" s="116">
        <f>'[7]US EIA'!$R184</f>
        <v>2136</v>
      </c>
      <c r="C36" s="116">
        <f>'[4]Renewable Diesel'!$AX47</f>
        <v>160</v>
      </c>
      <c r="D36" s="116">
        <f t="shared" si="0"/>
        <v>2296</v>
      </c>
      <c r="E36" s="116">
        <f>monthly_data!F493</f>
        <v>129.34100000000001</v>
      </c>
      <c r="F36" s="116">
        <f>monthly_data!AD493</f>
        <v>15.679</v>
      </c>
      <c r="G36" s="116">
        <f t="shared" si="1"/>
        <v>145.02000000000001</v>
      </c>
      <c r="H36" s="164">
        <f t="shared" si="3"/>
        <v>0.71296159538480131</v>
      </c>
      <c r="I36" s="164">
        <f t="shared" si="5"/>
        <v>1.1537973790322582</v>
      </c>
      <c r="J36" s="164">
        <f t="shared" si="4"/>
        <v>0.74368185905361373</v>
      </c>
      <c r="K36" s="116">
        <f t="shared" si="9"/>
        <v>613.11403225806441</v>
      </c>
      <c r="L36" s="116">
        <f t="shared" si="9"/>
        <v>-24.607580645161313</v>
      </c>
      <c r="M36" s="116">
        <f t="shared" si="9"/>
        <v>588.50645161290288</v>
      </c>
    </row>
    <row r="37" spans="1:20">
      <c r="A37" s="163">
        <v>41609</v>
      </c>
      <c r="B37" s="116">
        <f>'[7]US EIA'!$R185</f>
        <v>2116</v>
      </c>
      <c r="C37" s="116">
        <f>'[4]Renewable Diesel'!$AX48</f>
        <v>160</v>
      </c>
      <c r="D37" s="116">
        <f t="shared" si="0"/>
        <v>2276</v>
      </c>
      <c r="E37" s="116">
        <f>monthly_data!F494</f>
        <v>135.1</v>
      </c>
      <c r="F37" s="116">
        <f>monthly_data!AD494</f>
        <v>13.897</v>
      </c>
      <c r="G37" s="116">
        <f t="shared" si="1"/>
        <v>148.99699999999999</v>
      </c>
      <c r="H37" s="164">
        <f t="shared" si="3"/>
        <v>0.77680371770636414</v>
      </c>
      <c r="I37" s="164">
        <f t="shared" si="5"/>
        <v>1.0567510416666666</v>
      </c>
      <c r="J37" s="164">
        <f t="shared" si="4"/>
        <v>0.79648367018160504</v>
      </c>
      <c r="K37" s="116">
        <f t="shared" si="9"/>
        <v>472.28333333333347</v>
      </c>
      <c r="L37" s="116">
        <f t="shared" si="9"/>
        <v>-9.0801666666666492</v>
      </c>
      <c r="M37" s="116">
        <f t="shared" si="9"/>
        <v>463.2031666666669</v>
      </c>
      <c r="N37" s="116">
        <f>B37-B25</f>
        <v>12</v>
      </c>
      <c r="O37" s="116">
        <f>C37-C25</f>
        <v>0</v>
      </c>
      <c r="P37" s="116">
        <f t="shared" ref="P37" si="13">D37-D25</f>
        <v>12</v>
      </c>
      <c r="Q37" s="116">
        <f>SUM(E26:E37)</f>
        <v>1359.4559999999997</v>
      </c>
      <c r="R37" s="116">
        <f t="shared" ref="R37:S37" si="14">SUM(F26:F37)</f>
        <v>113.285</v>
      </c>
      <c r="S37" s="116">
        <f t="shared" si="14"/>
        <v>1472.7410000000002</v>
      </c>
      <c r="T37" s="116">
        <f>S37-S25</f>
        <v>429.62900000000036</v>
      </c>
    </row>
    <row r="38" spans="1:20">
      <c r="A38" s="163">
        <v>41640</v>
      </c>
      <c r="B38" s="116">
        <f>'[7]US EIA'!$R186</f>
        <v>1959</v>
      </c>
      <c r="C38" s="116">
        <f>'[4]Renewable Diesel'!$AX49</f>
        <v>160</v>
      </c>
      <c r="D38" s="116">
        <f t="shared" si="0"/>
        <v>2119</v>
      </c>
      <c r="E38" s="116">
        <f>monthly_data!F495</f>
        <v>72.540000000000006</v>
      </c>
      <c r="F38" s="116">
        <f>monthly_data!AD495</f>
        <v>10.329000000000001</v>
      </c>
      <c r="G38" s="116">
        <f t="shared" si="1"/>
        <v>82.869</v>
      </c>
      <c r="H38" s="164">
        <f t="shared" si="3"/>
        <v>0.43598774885145491</v>
      </c>
      <c r="I38" s="164">
        <f t="shared" si="5"/>
        <v>0.76009778225806457</v>
      </c>
      <c r="J38" s="164">
        <f t="shared" si="4"/>
        <v>0.46046042716436536</v>
      </c>
      <c r="K38" s="116">
        <f t="shared" si="9"/>
        <v>1104.8999999999996</v>
      </c>
      <c r="L38" s="116">
        <f t="shared" si="9"/>
        <v>38.384354838709669</v>
      </c>
      <c r="M38" s="116">
        <f t="shared" si="9"/>
        <v>1143.28435483871</v>
      </c>
      <c r="Q38" s="116">
        <f t="shared" ref="Q38:R38" si="15">Q37-Q25</f>
        <v>368.74399999999957</v>
      </c>
      <c r="R38" s="116">
        <f t="shared" si="15"/>
        <v>60.884999999999991</v>
      </c>
      <c r="S38" s="116">
        <f>S37-S25</f>
        <v>429.62900000000036</v>
      </c>
    </row>
    <row r="39" spans="1:20">
      <c r="A39" s="163">
        <v>41671</v>
      </c>
      <c r="B39" s="116">
        <f>'[7]US EIA'!$R187</f>
        <v>2102</v>
      </c>
      <c r="C39" s="116">
        <f>'[4]Renewable Diesel'!$AX50</f>
        <v>160</v>
      </c>
      <c r="D39" s="116">
        <f t="shared" si="0"/>
        <v>2262</v>
      </c>
      <c r="E39" s="116">
        <f>monthly_data!F496</f>
        <v>75.643000000000001</v>
      </c>
      <c r="F39" s="116">
        <f>monthly_data!AD496</f>
        <v>12.292999999999999</v>
      </c>
      <c r="G39" s="116">
        <f t="shared" si="1"/>
        <v>87.936000000000007</v>
      </c>
      <c r="H39" s="164">
        <f t="shared" si="3"/>
        <v>0.42370852644179124</v>
      </c>
      <c r="I39" s="164">
        <f t="shared" si="5"/>
        <v>0.90462600806451599</v>
      </c>
      <c r="J39" s="164">
        <f t="shared" si="4"/>
        <v>0.45772567810387615</v>
      </c>
      <c r="K39" s="116">
        <f t="shared" si="9"/>
        <v>1211.3646774193548</v>
      </c>
      <c r="L39" s="116">
        <f t="shared" si="9"/>
        <v>15.259838709677442</v>
      </c>
      <c r="M39" s="116">
        <f t="shared" si="9"/>
        <v>1226.6245161290324</v>
      </c>
    </row>
    <row r="40" spans="1:20">
      <c r="A40" s="163">
        <v>41699</v>
      </c>
      <c r="B40" s="116">
        <f>'[7]US EIA'!$R188</f>
        <v>2073</v>
      </c>
      <c r="C40" s="116">
        <f>'[4]Renewable Diesel'!$AX51</f>
        <v>160</v>
      </c>
      <c r="D40" s="116">
        <f t="shared" si="0"/>
        <v>2233</v>
      </c>
      <c r="E40" s="116">
        <f>monthly_data!F497</f>
        <v>99.177999999999997</v>
      </c>
      <c r="F40" s="116">
        <f>monthly_data!AD497</f>
        <v>14.952999999999999</v>
      </c>
      <c r="G40" s="116">
        <f t="shared" si="1"/>
        <v>114.131</v>
      </c>
      <c r="H40" s="164">
        <f t="shared" si="3"/>
        <v>0.62366428915994754</v>
      </c>
      <c r="I40" s="164">
        <f t="shared" si="5"/>
        <v>1.2182689732142857</v>
      </c>
      <c r="J40" s="164">
        <f t="shared" si="4"/>
        <v>0.66626919263002993</v>
      </c>
      <c r="K40" s="116">
        <f t="shared" si="9"/>
        <v>780.14392857142877</v>
      </c>
      <c r="L40" s="116">
        <f t="shared" si="9"/>
        <v>-34.923035714285717</v>
      </c>
      <c r="M40" s="116">
        <f t="shared" si="9"/>
        <v>745.22089285714321</v>
      </c>
    </row>
    <row r="41" spans="1:20">
      <c r="A41" s="163">
        <v>41730</v>
      </c>
      <c r="B41" s="116">
        <f>'[7]US EIA'!$R189</f>
        <v>2079</v>
      </c>
      <c r="C41" s="116">
        <f>'[4]Renewable Diesel'!$AX52</f>
        <v>160</v>
      </c>
      <c r="D41" s="116">
        <f t="shared" si="0"/>
        <v>2239</v>
      </c>
      <c r="E41" s="116">
        <f>monthly_data!F498</f>
        <v>93.352000000000004</v>
      </c>
      <c r="F41" s="116">
        <f>monthly_data!AD498</f>
        <v>13.676</v>
      </c>
      <c r="G41" s="116">
        <f t="shared" si="1"/>
        <v>107.02800000000001</v>
      </c>
      <c r="H41" s="164">
        <f t="shared" si="3"/>
        <v>0.52868904094710556</v>
      </c>
      <c r="I41" s="164">
        <f t="shared" si="5"/>
        <v>1.0063991935483871</v>
      </c>
      <c r="J41" s="164">
        <f t="shared" si="4"/>
        <v>0.56282643461222615</v>
      </c>
      <c r="K41" s="116">
        <f t="shared" si="9"/>
        <v>979.85548387096753</v>
      </c>
      <c r="L41" s="116">
        <f t="shared" si="9"/>
        <v>-1.0238709677419422</v>
      </c>
      <c r="M41" s="116">
        <f t="shared" si="9"/>
        <v>978.83161290322562</v>
      </c>
    </row>
    <row r="42" spans="1:20">
      <c r="A42" s="163">
        <v>41760</v>
      </c>
      <c r="B42" s="116">
        <f>'[7]US EIA'!$R190</f>
        <v>2120</v>
      </c>
      <c r="C42" s="116">
        <f>'[4]Renewable Diesel'!$AX53</f>
        <v>160</v>
      </c>
      <c r="D42" s="116">
        <f t="shared" si="0"/>
        <v>2280</v>
      </c>
      <c r="E42" s="116">
        <f>monthly_data!F499</f>
        <v>106.31399999999999</v>
      </c>
      <c r="F42" s="116">
        <f>monthly_data!AD499</f>
        <v>16.219000000000001</v>
      </c>
      <c r="G42" s="116">
        <f t="shared" si="1"/>
        <v>122.53299999999999</v>
      </c>
      <c r="H42" s="164">
        <f t="shared" si="3"/>
        <v>0.61013537735849055</v>
      </c>
      <c r="I42" s="164">
        <f t="shared" si="5"/>
        <v>1.2333197916666667</v>
      </c>
      <c r="J42" s="164">
        <f t="shared" si="4"/>
        <v>0.65386761695906437</v>
      </c>
      <c r="K42" s="116">
        <f t="shared" si="9"/>
        <v>826.51300000000003</v>
      </c>
      <c r="L42" s="116">
        <f t="shared" si="9"/>
        <v>-37.331166666666675</v>
      </c>
      <c r="M42" s="116">
        <f t="shared" si="9"/>
        <v>789.1818333333332</v>
      </c>
    </row>
    <row r="43" spans="1:20">
      <c r="A43" s="163">
        <v>41791</v>
      </c>
      <c r="B43" s="116">
        <f>'[7]US EIA'!$R191</f>
        <v>2002</v>
      </c>
      <c r="C43" s="116">
        <f>'[4]Renewable Diesel'!$AX54</f>
        <v>160</v>
      </c>
      <c r="D43" s="116">
        <f t="shared" si="0"/>
        <v>2162</v>
      </c>
      <c r="E43" s="116">
        <f>monthly_data!F500</f>
        <v>111.07</v>
      </c>
      <c r="F43" s="116">
        <f>monthly_data!AD500</f>
        <v>15.664999999999999</v>
      </c>
      <c r="G43" s="116">
        <f t="shared" si="1"/>
        <v>126.73499999999999</v>
      </c>
      <c r="H43" s="164">
        <f t="shared" si="3"/>
        <v>0.65322661209757971</v>
      </c>
      <c r="I43" s="164">
        <f t="shared" si="5"/>
        <v>1.152767137096774</v>
      </c>
      <c r="J43" s="164">
        <f t="shared" si="4"/>
        <v>0.69019538360538324</v>
      </c>
      <c r="K43" s="116">
        <f t="shared" si="9"/>
        <v>694.2403225806454</v>
      </c>
      <c r="L43" s="116">
        <f t="shared" si="9"/>
        <v>-24.442741935483845</v>
      </c>
      <c r="M43" s="116">
        <f t="shared" si="9"/>
        <v>669.79758064516147</v>
      </c>
    </row>
    <row r="44" spans="1:20">
      <c r="A44" s="163">
        <v>41821</v>
      </c>
      <c r="B44" s="116">
        <f>'[7]US EIA'!$R192</f>
        <v>2106</v>
      </c>
      <c r="C44" s="116">
        <f>'[4]Renewable Diesel'!$AX55</f>
        <v>160</v>
      </c>
      <c r="D44" s="116">
        <f t="shared" si="0"/>
        <v>2266</v>
      </c>
      <c r="E44" s="116">
        <f>monthly_data!F501</f>
        <v>122.887</v>
      </c>
      <c r="F44" s="116">
        <f>monthly_data!AD501</f>
        <v>13.997999999999999</v>
      </c>
      <c r="G44" s="116">
        <f t="shared" si="1"/>
        <v>136.88499999999999</v>
      </c>
      <c r="H44" s="164">
        <f t="shared" si="3"/>
        <v>0.70993597657486551</v>
      </c>
      <c r="I44" s="164">
        <f t="shared" si="5"/>
        <v>1.0644312499999999</v>
      </c>
      <c r="J44" s="164">
        <f t="shared" si="4"/>
        <v>0.73496653427478664</v>
      </c>
      <c r="K44" s="116">
        <f t="shared" si="9"/>
        <v>610.87483333333319</v>
      </c>
      <c r="L44" s="116">
        <f t="shared" si="9"/>
        <v>-10.30899999999999</v>
      </c>
      <c r="M44" s="116">
        <f t="shared" si="9"/>
        <v>600.56583333333344</v>
      </c>
    </row>
    <row r="45" spans="1:20">
      <c r="A45" s="163">
        <v>41852</v>
      </c>
      <c r="B45" s="116">
        <f>'[7]US EIA'!$R193</f>
        <v>2118</v>
      </c>
      <c r="C45" s="116">
        <f>'[4]Renewable Diesel'!$AX56</f>
        <v>160</v>
      </c>
      <c r="D45" s="116">
        <f t="shared" si="0"/>
        <v>2278</v>
      </c>
      <c r="E45" s="116">
        <f>monthly_data!F502</f>
        <v>125.437</v>
      </c>
      <c r="F45" s="116">
        <f>monthly_data!AD502</f>
        <v>2.0430000000000001</v>
      </c>
      <c r="G45" s="116">
        <f t="shared" si="1"/>
        <v>127.48</v>
      </c>
      <c r="H45" s="164">
        <f t="shared" si="3"/>
        <v>0.69731799628377356</v>
      </c>
      <c r="I45" s="164">
        <f t="shared" si="5"/>
        <v>0.15034173387096778</v>
      </c>
      <c r="J45" s="164">
        <f t="shared" si="4"/>
        <v>0.65889999716786085</v>
      </c>
      <c r="K45" s="116">
        <f t="shared" si="9"/>
        <v>641.08048387096756</v>
      </c>
      <c r="L45" s="116">
        <f t="shared" si="9"/>
        <v>135.94532258064515</v>
      </c>
      <c r="M45" s="116">
        <f t="shared" si="9"/>
        <v>777.02580645161299</v>
      </c>
    </row>
    <row r="46" spans="1:20">
      <c r="A46" s="163">
        <v>41883</v>
      </c>
      <c r="B46" s="116">
        <f>'[7]US EIA'!$R194</f>
        <v>2131</v>
      </c>
      <c r="C46" s="116">
        <f>'[4]Renewable Diesel'!$AX57</f>
        <v>160</v>
      </c>
      <c r="D46" s="116">
        <f t="shared" si="0"/>
        <v>2291</v>
      </c>
      <c r="E46" s="116">
        <f>monthly_data!F503</f>
        <v>115.67700000000001</v>
      </c>
      <c r="F46" s="116">
        <f>monthly_data!AD503</f>
        <v>5.9489999999999998</v>
      </c>
      <c r="G46" s="116">
        <f t="shared" si="1"/>
        <v>121.626</v>
      </c>
      <c r="H46" s="164">
        <f t="shared" si="3"/>
        <v>0.6391381450477589</v>
      </c>
      <c r="I46" s="164">
        <f t="shared" si="5"/>
        <v>0.43777923387096773</v>
      </c>
      <c r="J46" s="164">
        <f t="shared" si="4"/>
        <v>0.62507554103715812</v>
      </c>
      <c r="K46" s="116">
        <f t="shared" si="9"/>
        <v>768.99661290322581</v>
      </c>
      <c r="L46" s="116">
        <f t="shared" si="9"/>
        <v>89.955322580645159</v>
      </c>
      <c r="M46" s="116">
        <f t="shared" si="9"/>
        <v>858.95193548387078</v>
      </c>
    </row>
    <row r="47" spans="1:20">
      <c r="A47" s="163">
        <v>41913</v>
      </c>
      <c r="B47" s="116">
        <f>'[7]US EIA'!$R195</f>
        <v>2146</v>
      </c>
      <c r="C47" s="116">
        <f>'[4]Renewable Diesel'!$AX58</f>
        <v>160</v>
      </c>
      <c r="D47" s="116">
        <f t="shared" si="0"/>
        <v>2306</v>
      </c>
      <c r="E47" s="116">
        <f>monthly_data!F504</f>
        <v>122.988</v>
      </c>
      <c r="F47" s="116">
        <f>monthly_data!AD504</f>
        <v>14.722</v>
      </c>
      <c r="G47" s="116">
        <f t="shared" si="1"/>
        <v>137.71</v>
      </c>
      <c r="H47" s="164">
        <f t="shared" si="3"/>
        <v>0.69727586206896541</v>
      </c>
      <c r="I47" s="164">
        <f t="shared" si="5"/>
        <v>1.1194854166666666</v>
      </c>
      <c r="J47" s="164">
        <f t="shared" si="4"/>
        <v>0.72657054061867599</v>
      </c>
      <c r="K47" s="116">
        <f t="shared" si="9"/>
        <v>649.64600000000019</v>
      </c>
      <c r="L47" s="116">
        <f t="shared" si="9"/>
        <v>-19.117666666666651</v>
      </c>
      <c r="M47" s="116">
        <f t="shared" si="9"/>
        <v>630.52833333333319</v>
      </c>
    </row>
    <row r="48" spans="1:20">
      <c r="A48" s="163">
        <v>41944</v>
      </c>
      <c r="B48" s="116">
        <f>'[7]US EIA'!$R196</f>
        <v>2131</v>
      </c>
      <c r="C48" s="116">
        <f>'[4]Renewable Diesel'!$AX59</f>
        <v>185</v>
      </c>
      <c r="D48" s="116">
        <f t="shared" si="0"/>
        <v>2316</v>
      </c>
      <c r="E48" s="116">
        <f>monthly_data!F505</f>
        <v>109.639</v>
      </c>
      <c r="F48" s="116">
        <f>monthly_data!AD505</f>
        <v>16.463000000000001</v>
      </c>
      <c r="G48" s="116">
        <f t="shared" si="1"/>
        <v>126.102</v>
      </c>
      <c r="H48" s="164">
        <f t="shared" si="3"/>
        <v>0.6057770091279272</v>
      </c>
      <c r="I48" s="164">
        <f t="shared" si="5"/>
        <v>1.0477759372275501</v>
      </c>
      <c r="J48" s="164">
        <f t="shared" si="4"/>
        <v>0.64108348654521152</v>
      </c>
      <c r="K48" s="116">
        <f t="shared" si="9"/>
        <v>840.08919354838713</v>
      </c>
      <c r="L48" s="116">
        <f t="shared" si="9"/>
        <v>-8.8385483870967754</v>
      </c>
      <c r="M48" s="116">
        <f t="shared" si="9"/>
        <v>831.25064516129009</v>
      </c>
    </row>
    <row r="49" spans="1:20">
      <c r="A49" s="163">
        <v>41974</v>
      </c>
      <c r="B49" s="116">
        <f>'[7]US EIA'!$R197</f>
        <v>2145</v>
      </c>
      <c r="C49" s="116">
        <f>'[4]Renewable Diesel'!$AX60</f>
        <v>210</v>
      </c>
      <c r="D49" s="116">
        <f t="shared" si="0"/>
        <v>2355</v>
      </c>
      <c r="E49" s="116">
        <f>monthly_data!F506</f>
        <v>124.254</v>
      </c>
      <c r="F49" s="116">
        <f>monthly_data!AD506</f>
        <v>22.831</v>
      </c>
      <c r="G49" s="116">
        <f t="shared" si="1"/>
        <v>147.08500000000001</v>
      </c>
      <c r="H49" s="164">
        <f t="shared" si="3"/>
        <v>0.70478181818181818</v>
      </c>
      <c r="I49" s="164">
        <f t="shared" si="5"/>
        <v>1.3227484126984128</v>
      </c>
      <c r="J49" s="164">
        <f t="shared" si="4"/>
        <v>0.75988711960368016</v>
      </c>
      <c r="K49" s="116">
        <f t="shared" si="9"/>
        <v>633.24300000000005</v>
      </c>
      <c r="L49" s="116">
        <f t="shared" si="9"/>
        <v>-67.777166666666687</v>
      </c>
      <c r="M49" s="116">
        <f t="shared" si="9"/>
        <v>565.46583333333319</v>
      </c>
      <c r="N49" s="116">
        <f>B49-B37</f>
        <v>29</v>
      </c>
      <c r="O49" s="116">
        <f>C49-C37</f>
        <v>50</v>
      </c>
      <c r="P49" s="116">
        <f t="shared" ref="P49" si="16">D49-D37</f>
        <v>79</v>
      </c>
      <c r="Q49" s="116">
        <f>SUM(E38:E49)</f>
        <v>1278.9789999999998</v>
      </c>
      <c r="R49" s="116">
        <f t="shared" ref="R49:S49" si="17">SUM(F38:F49)</f>
        <v>159.14099999999999</v>
      </c>
      <c r="S49" s="116">
        <f t="shared" si="17"/>
        <v>1438.1200000000003</v>
      </c>
      <c r="T49" s="116">
        <f>S49-S37</f>
        <v>-34.620999999999867</v>
      </c>
    </row>
    <row r="50" spans="1:20">
      <c r="A50" s="163">
        <v>42005</v>
      </c>
      <c r="B50" s="116">
        <f>'[7]US EIA'!$R198</f>
        <v>2106</v>
      </c>
      <c r="C50" s="116">
        <f>'[4]Renewable Diesel'!$AX61</f>
        <v>255</v>
      </c>
      <c r="D50" s="116">
        <f t="shared" si="0"/>
        <v>2361</v>
      </c>
      <c r="E50" s="116">
        <f>monthly_data!F507</f>
        <v>72.546000000000006</v>
      </c>
      <c r="F50" s="116">
        <f>monthly_data!AD507</f>
        <v>17.504999999999999</v>
      </c>
      <c r="G50" s="116">
        <f t="shared" si="1"/>
        <v>90.051000000000002</v>
      </c>
      <c r="H50" s="164">
        <f t="shared" si="3"/>
        <v>0.40558910026651962</v>
      </c>
      <c r="I50" s="164">
        <f t="shared" si="5"/>
        <v>0.8082637571157496</v>
      </c>
      <c r="J50" s="164">
        <f t="shared" si="4"/>
        <v>0.44908000983727508</v>
      </c>
      <c r="K50" s="116">
        <f t="shared" si="9"/>
        <v>1251.8293548387096</v>
      </c>
      <c r="L50" s="116">
        <f t="shared" si="9"/>
        <v>48.892741935483848</v>
      </c>
      <c r="M50" s="116">
        <f t="shared" si="9"/>
        <v>1300.7220967741935</v>
      </c>
      <c r="Q50" s="116">
        <f t="shared" ref="Q50:R50" si="18">Q49-Q37</f>
        <v>-80.476999999999862</v>
      </c>
      <c r="R50" s="116">
        <f t="shared" si="18"/>
        <v>45.855999999999995</v>
      </c>
      <c r="S50" s="116">
        <f>S49-S37</f>
        <v>-34.620999999999867</v>
      </c>
    </row>
    <row r="51" spans="1:20">
      <c r="A51" s="163">
        <v>42036</v>
      </c>
      <c r="B51" s="116">
        <f>'[7]US EIA'!$R199</f>
        <v>2155</v>
      </c>
      <c r="C51" s="116">
        <f>'[4]Renewable Diesel'!$AX62</f>
        <v>255</v>
      </c>
      <c r="D51" s="116">
        <f t="shared" si="0"/>
        <v>2410</v>
      </c>
      <c r="E51" s="116">
        <f>monthly_data!F508</f>
        <v>77.736000000000004</v>
      </c>
      <c r="F51" s="116">
        <f>monthly_data!AD508</f>
        <v>13.481</v>
      </c>
      <c r="G51" s="116">
        <f t="shared" si="1"/>
        <v>91.216999999999999</v>
      </c>
      <c r="H51" s="164">
        <f t="shared" si="3"/>
        <v>0.42472329915425494</v>
      </c>
      <c r="I51" s="164">
        <f t="shared" si="5"/>
        <v>0.62246236559139778</v>
      </c>
      <c r="J51" s="164">
        <f t="shared" si="4"/>
        <v>0.44564589747021821</v>
      </c>
      <c r="K51" s="116">
        <f t="shared" si="9"/>
        <v>1239.7212903225807</v>
      </c>
      <c r="L51" s="116">
        <f t="shared" si="9"/>
        <v>96.272096774193571</v>
      </c>
      <c r="M51" s="116">
        <f t="shared" si="9"/>
        <v>1335.9933870967741</v>
      </c>
    </row>
    <row r="52" spans="1:20">
      <c r="A52" s="163">
        <v>42064</v>
      </c>
      <c r="B52" s="116">
        <f>'[7]US EIA'!$R200</f>
        <v>2160</v>
      </c>
      <c r="C52" s="116">
        <f>'[4]Renewable Diesel'!$AX63</f>
        <v>255</v>
      </c>
      <c r="D52" s="116">
        <f t="shared" si="0"/>
        <v>2415</v>
      </c>
      <c r="E52" s="116">
        <f>monthly_data!F509</f>
        <v>97.673000000000002</v>
      </c>
      <c r="F52" s="116">
        <f>monthly_data!AD509</f>
        <v>16.11</v>
      </c>
      <c r="G52" s="116">
        <f t="shared" si="1"/>
        <v>113.783</v>
      </c>
      <c r="H52" s="164">
        <f t="shared" si="3"/>
        <v>0.58946172288359788</v>
      </c>
      <c r="I52" s="164">
        <f t="shared" si="5"/>
        <v>0.82355042016806712</v>
      </c>
      <c r="J52" s="164">
        <f t="shared" si="4"/>
        <v>0.61417916296953567</v>
      </c>
      <c r="K52" s="116">
        <f t="shared" si="9"/>
        <v>886.76267857142852</v>
      </c>
      <c r="L52" s="116">
        <f t="shared" si="9"/>
        <v>44.994642857142885</v>
      </c>
      <c r="M52" s="116">
        <f t="shared" si="9"/>
        <v>931.75732142857134</v>
      </c>
    </row>
    <row r="53" spans="1:20">
      <c r="A53" s="163">
        <v>42095</v>
      </c>
      <c r="B53" s="116">
        <f>'[7]US EIA'!$R201</f>
        <v>2209</v>
      </c>
      <c r="C53" s="116">
        <f>'[4]Renewable Diesel'!$AX64</f>
        <v>255</v>
      </c>
      <c r="D53" s="116">
        <f t="shared" si="0"/>
        <v>2464</v>
      </c>
      <c r="E53" s="116">
        <f>monthly_data!F510</f>
        <v>107.85</v>
      </c>
      <c r="F53" s="116">
        <f>monthly_data!AD510</f>
        <v>15.733000000000001</v>
      </c>
      <c r="G53" s="116">
        <f t="shared" si="1"/>
        <v>123.583</v>
      </c>
      <c r="H53" s="164">
        <f t="shared" si="3"/>
        <v>0.57485141430219477</v>
      </c>
      <c r="I53" s="164">
        <f t="shared" si="5"/>
        <v>0.7264446552814674</v>
      </c>
      <c r="J53" s="164">
        <f t="shared" si="4"/>
        <v>0.59053983818600753</v>
      </c>
      <c r="K53" s="116">
        <f t="shared" si="9"/>
        <v>939.1532258064517</v>
      </c>
      <c r="L53" s="116">
        <f t="shared" si="9"/>
        <v>69.756612903225815</v>
      </c>
      <c r="M53" s="116">
        <f t="shared" si="9"/>
        <v>1008.9098387096775</v>
      </c>
    </row>
    <row r="54" spans="1:20">
      <c r="A54" s="163">
        <v>42125</v>
      </c>
      <c r="B54" s="116">
        <f>'[7]US EIA'!$R202</f>
        <v>2168</v>
      </c>
      <c r="C54" s="116">
        <f>'[4]Renewable Diesel'!$AX65</f>
        <v>255</v>
      </c>
      <c r="D54" s="116">
        <f t="shared" si="0"/>
        <v>2423</v>
      </c>
      <c r="E54" s="116">
        <f>monthly_data!F511</f>
        <v>116.94</v>
      </c>
      <c r="F54" s="116">
        <f>monthly_data!AD511</f>
        <v>15.741</v>
      </c>
      <c r="G54" s="116">
        <f t="shared" si="1"/>
        <v>132.68099999999998</v>
      </c>
      <c r="H54" s="164">
        <f t="shared" si="3"/>
        <v>0.65625922509225088</v>
      </c>
      <c r="I54" s="164">
        <f t="shared" si="5"/>
        <v>0.7510411764705881</v>
      </c>
      <c r="J54" s="164">
        <f t="shared" si="4"/>
        <v>0.6662342137845646</v>
      </c>
      <c r="K54" s="116">
        <f t="shared" si="9"/>
        <v>745.23000000000013</v>
      </c>
      <c r="L54" s="116">
        <f t="shared" si="9"/>
        <v>63.484500000000033</v>
      </c>
      <c r="M54" s="116">
        <f t="shared" si="9"/>
        <v>808.71449999999993</v>
      </c>
    </row>
    <row r="55" spans="1:20">
      <c r="A55" s="163">
        <v>42156</v>
      </c>
      <c r="B55" s="116">
        <f>'[7]US EIA'!$R203</f>
        <v>2151</v>
      </c>
      <c r="C55" s="116">
        <f>'[4]Renewable Diesel'!$AX66</f>
        <v>255</v>
      </c>
      <c r="D55" s="116">
        <f t="shared" si="0"/>
        <v>2406</v>
      </c>
      <c r="E55" s="116">
        <f>monthly_data!F512</f>
        <v>121.824</v>
      </c>
      <c r="F55" s="116">
        <f>monthly_data!AD512</f>
        <v>14.42</v>
      </c>
      <c r="G55" s="116">
        <f t="shared" si="1"/>
        <v>136.244</v>
      </c>
      <c r="H55" s="164">
        <f t="shared" si="3"/>
        <v>0.66684302874881896</v>
      </c>
      <c r="I55" s="164">
        <f t="shared" si="5"/>
        <v>0.66581910183428206</v>
      </c>
      <c r="J55" s="164">
        <f t="shared" si="4"/>
        <v>0.66673450781648036</v>
      </c>
      <c r="K55" s="116">
        <f t="shared" si="9"/>
        <v>716.62064516129044</v>
      </c>
      <c r="L55" s="116">
        <f t="shared" si="9"/>
        <v>85.216129032258081</v>
      </c>
      <c r="M55" s="116">
        <f t="shared" si="9"/>
        <v>801.83677419354831</v>
      </c>
    </row>
    <row r="56" spans="1:20">
      <c r="A56" s="163">
        <v>42186</v>
      </c>
      <c r="B56" s="116">
        <f>'[7]US EIA'!$R204</f>
        <v>2131</v>
      </c>
      <c r="C56" s="116">
        <f>'[4]Renewable Diesel'!$AX67</f>
        <v>255</v>
      </c>
      <c r="D56" s="116">
        <f t="shared" si="0"/>
        <v>2386</v>
      </c>
      <c r="E56" s="116">
        <f>monthly_data!F513</f>
        <v>121.07599999999999</v>
      </c>
      <c r="F56" s="116">
        <f>monthly_data!AD513</f>
        <v>15.521000000000001</v>
      </c>
      <c r="G56" s="116">
        <f t="shared" si="1"/>
        <v>136.59699999999998</v>
      </c>
      <c r="H56" s="164">
        <f t="shared" si="3"/>
        <v>0.69126763647739708</v>
      </c>
      <c r="I56" s="164">
        <f t="shared" si="5"/>
        <v>0.74054444444444445</v>
      </c>
      <c r="J56" s="164">
        <f t="shared" si="4"/>
        <v>0.69653401788208991</v>
      </c>
      <c r="K56" s="116">
        <f t="shared" si="9"/>
        <v>657.90866666666682</v>
      </c>
      <c r="L56" s="116">
        <f t="shared" si="9"/>
        <v>66.161166666666659</v>
      </c>
      <c r="M56" s="116">
        <f t="shared" si="9"/>
        <v>724.06983333333346</v>
      </c>
    </row>
    <row r="57" spans="1:20">
      <c r="A57" s="163">
        <v>42217</v>
      </c>
      <c r="B57" s="116">
        <f>'[7]US EIA'!$R205</f>
        <v>2134</v>
      </c>
      <c r="C57" s="116">
        <f>'[4]Renewable Diesel'!$AX68</f>
        <v>255</v>
      </c>
      <c r="D57" s="116">
        <f t="shared" si="0"/>
        <v>2389</v>
      </c>
      <c r="E57" s="116">
        <f>monthly_data!F514</f>
        <v>123.176</v>
      </c>
      <c r="F57" s="116">
        <f>monthly_data!AD514</f>
        <v>15.1</v>
      </c>
      <c r="G57" s="116">
        <f t="shared" si="1"/>
        <v>138.27600000000001</v>
      </c>
      <c r="H57" s="164">
        <f t="shared" si="3"/>
        <v>0.67961483810502765</v>
      </c>
      <c r="I57" s="164">
        <f t="shared" si="5"/>
        <v>0.69721695129664762</v>
      </c>
      <c r="J57" s="164">
        <f t="shared" si="4"/>
        <v>0.68149367396265159</v>
      </c>
      <c r="K57" s="116">
        <f t="shared" si="9"/>
        <v>683.70193548387101</v>
      </c>
      <c r="L57" s="116">
        <f t="shared" si="9"/>
        <v>77.209677419354861</v>
      </c>
      <c r="M57" s="116">
        <f t="shared" si="9"/>
        <v>760.91161290322532</v>
      </c>
    </row>
    <row r="58" spans="1:20">
      <c r="A58" s="163">
        <v>42248</v>
      </c>
      <c r="B58" s="116">
        <f>'[7]US EIA'!$R206</f>
        <v>2154</v>
      </c>
      <c r="C58" s="116">
        <f>'[4]Renewable Diesel'!$AX69</f>
        <v>255</v>
      </c>
      <c r="D58" s="116">
        <f t="shared" si="0"/>
        <v>2409</v>
      </c>
      <c r="E58" s="116">
        <f>monthly_data!F515</f>
        <v>104.119</v>
      </c>
      <c r="F58" s="116">
        <f>monthly_data!AD515</f>
        <v>13.846</v>
      </c>
      <c r="G58" s="116">
        <f t="shared" si="1"/>
        <v>117.965</v>
      </c>
      <c r="H58" s="164">
        <f t="shared" si="3"/>
        <v>0.56913521730014671</v>
      </c>
      <c r="I58" s="164">
        <f t="shared" si="5"/>
        <v>0.63931562302340295</v>
      </c>
      <c r="J58" s="164">
        <f t="shared" si="4"/>
        <v>0.57656402737047907</v>
      </c>
      <c r="K58" s="116">
        <f t="shared" si="9"/>
        <v>928.08274193548402</v>
      </c>
      <c r="L58" s="116">
        <f t="shared" si="9"/>
        <v>91.974516129032253</v>
      </c>
      <c r="M58" s="116">
        <f t="shared" si="9"/>
        <v>1020.057258064516</v>
      </c>
    </row>
    <row r="59" spans="1:20">
      <c r="A59" s="163">
        <v>42278</v>
      </c>
      <c r="B59" s="116">
        <f>'[7]US EIA'!$R207</f>
        <v>2166</v>
      </c>
      <c r="C59" s="116">
        <f>'[4]Renewable Diesel'!$AX70</f>
        <v>255</v>
      </c>
      <c r="D59" s="116">
        <f t="shared" si="0"/>
        <v>2421</v>
      </c>
      <c r="E59" s="116">
        <f>monthly_data!F516</f>
        <v>106.467</v>
      </c>
      <c r="F59" s="116">
        <f>monthly_data!AD516</f>
        <v>13.414</v>
      </c>
      <c r="G59" s="116">
        <f t="shared" si="1"/>
        <v>119.881</v>
      </c>
      <c r="H59" s="164">
        <f t="shared" si="3"/>
        <v>0.59803716528162509</v>
      </c>
      <c r="I59" s="164">
        <f t="shared" si="5"/>
        <v>0.64001437908496728</v>
      </c>
      <c r="J59" s="164">
        <f t="shared" si="4"/>
        <v>0.60245855707008134</v>
      </c>
      <c r="K59" s="116">
        <f t="shared" si="9"/>
        <v>870.65150000000006</v>
      </c>
      <c r="L59" s="116">
        <f t="shared" si="9"/>
        <v>91.796333333333351</v>
      </c>
      <c r="M59" s="116">
        <f t="shared" si="9"/>
        <v>962.44783333333305</v>
      </c>
    </row>
    <row r="60" spans="1:20">
      <c r="A60" s="163">
        <v>42309</v>
      </c>
      <c r="B60" s="116">
        <f>'[7]US EIA'!$R208</f>
        <v>2122</v>
      </c>
      <c r="C60" s="116">
        <f>'[4]Renewable Diesel'!$AX71</f>
        <v>255</v>
      </c>
      <c r="D60" s="116">
        <f t="shared" si="0"/>
        <v>2377</v>
      </c>
      <c r="E60" s="116">
        <f>monthly_data!F517</f>
        <v>105.883</v>
      </c>
      <c r="F60" s="116">
        <f>monthly_data!AD517</f>
        <v>12.656000000000001</v>
      </c>
      <c r="G60" s="116">
        <f t="shared" si="1"/>
        <v>118.539</v>
      </c>
      <c r="H60" s="164">
        <f t="shared" si="3"/>
        <v>0.58750562463895895</v>
      </c>
      <c r="I60" s="164">
        <f t="shared" si="5"/>
        <v>0.58436938646426317</v>
      </c>
      <c r="J60" s="164">
        <f t="shared" si="4"/>
        <v>0.58716917502408839</v>
      </c>
      <c r="K60" s="116">
        <f t="shared" si="9"/>
        <v>875.31306451612909</v>
      </c>
      <c r="L60" s="116">
        <f t="shared" si="9"/>
        <v>105.98580645161289</v>
      </c>
      <c r="M60" s="116">
        <f t="shared" si="9"/>
        <v>981.29887096774189</v>
      </c>
    </row>
    <row r="61" spans="1:20">
      <c r="A61" s="163">
        <v>42339</v>
      </c>
      <c r="B61" s="116">
        <f>'[7]US EIA'!$R209</f>
        <v>2029</v>
      </c>
      <c r="C61" s="116">
        <f>'[4]Renewable Diesel'!$AX72</f>
        <v>255</v>
      </c>
      <c r="D61" s="116">
        <f t="shared" si="0"/>
        <v>2284</v>
      </c>
      <c r="E61" s="116">
        <f>monthly_data!F518</f>
        <v>108.057</v>
      </c>
      <c r="F61" s="116">
        <f>monthly_data!AD518</f>
        <v>13.321</v>
      </c>
      <c r="G61" s="116">
        <f t="shared" si="1"/>
        <v>121.378</v>
      </c>
      <c r="H61" s="164">
        <f t="shared" si="3"/>
        <v>0.64795145391818632</v>
      </c>
      <c r="I61" s="164">
        <f t="shared" si="5"/>
        <v>0.6355771241830066</v>
      </c>
      <c r="J61" s="164">
        <f t="shared" si="4"/>
        <v>0.64656990659661417</v>
      </c>
      <c r="K61" s="116">
        <f t="shared" si="9"/>
        <v>714.30649999999991</v>
      </c>
      <c r="L61" s="116">
        <f t="shared" si="9"/>
        <v>92.927833333333311</v>
      </c>
      <c r="M61" s="116">
        <f t="shared" si="9"/>
        <v>807.23433333333321</v>
      </c>
      <c r="N61" s="116">
        <f>B61-B49</f>
        <v>-116</v>
      </c>
      <c r="O61" s="116">
        <f>C61-C49</f>
        <v>45</v>
      </c>
      <c r="P61" s="116">
        <f t="shared" ref="P61" si="19">D61-D49</f>
        <v>-71</v>
      </c>
      <c r="Q61" s="116">
        <f>SUM(E50:E61)</f>
        <v>1263.3470000000002</v>
      </c>
      <c r="R61" s="116">
        <f t="shared" ref="R61:S61" si="20">SUM(F50:F61)</f>
        <v>176.84799999999998</v>
      </c>
      <c r="S61" s="116">
        <f t="shared" si="20"/>
        <v>1440.1949999999999</v>
      </c>
      <c r="T61" s="116">
        <f>S61-S49</f>
        <v>2.0749999999995907</v>
      </c>
    </row>
    <row r="62" spans="1:20">
      <c r="A62" s="163">
        <v>42370</v>
      </c>
      <c r="B62" s="116">
        <f>'[7]US EIA'!$R210</f>
        <v>2270</v>
      </c>
      <c r="C62" s="116">
        <f>'[4]Renewable Diesel'!$AX73</f>
        <v>266</v>
      </c>
      <c r="D62" s="116">
        <f t="shared" si="0"/>
        <v>2536</v>
      </c>
      <c r="E62" s="116">
        <f>monthly_data!F519</f>
        <v>104.57599999999999</v>
      </c>
      <c r="F62" s="116">
        <f>monthly_data!AD519</f>
        <v>11.757999999999999</v>
      </c>
      <c r="G62" s="116">
        <f t="shared" si="1"/>
        <v>116.33399999999999</v>
      </c>
      <c r="H62" s="164">
        <f t="shared" si="3"/>
        <v>0.54242205485292028</v>
      </c>
      <c r="I62" s="164">
        <f t="shared" si="5"/>
        <v>0.52045476594712592</v>
      </c>
      <c r="J62" s="164">
        <f t="shared" si="4"/>
        <v>0.54011791492825889</v>
      </c>
      <c r="K62" s="116">
        <f t="shared" si="9"/>
        <v>1038.701935483871</v>
      </c>
      <c r="L62" s="116">
        <f t="shared" si="9"/>
        <v>127.55903225806451</v>
      </c>
      <c r="M62" s="116">
        <f t="shared" si="9"/>
        <v>1166.2609677419355</v>
      </c>
      <c r="Q62" s="116">
        <f t="shared" ref="Q62:R62" si="21">Q61-Q49</f>
        <v>-15.631999999999607</v>
      </c>
      <c r="R62" s="116">
        <f t="shared" si="21"/>
        <v>17.706999999999994</v>
      </c>
      <c r="S62" s="116">
        <f>S61-S49</f>
        <v>2.0749999999995907</v>
      </c>
    </row>
    <row r="63" spans="1:20">
      <c r="A63" s="163">
        <v>42401</v>
      </c>
      <c r="B63" s="116">
        <f>'[7]US EIA'!$R211</f>
        <v>2270</v>
      </c>
      <c r="C63" s="116">
        <f>'[4]Renewable Diesel'!$AX74</f>
        <v>277</v>
      </c>
      <c r="D63" s="116">
        <f t="shared" si="0"/>
        <v>2547</v>
      </c>
      <c r="E63" s="116">
        <f>monthly_data!F520</f>
        <v>105.154</v>
      </c>
      <c r="F63" s="116">
        <f>monthly_data!AD520</f>
        <v>7.3550000000000004</v>
      </c>
      <c r="G63" s="116">
        <f t="shared" si="1"/>
        <v>112.509</v>
      </c>
      <c r="H63" s="164">
        <f t="shared" si="3"/>
        <v>0.54542006536876508</v>
      </c>
      <c r="I63" s="164">
        <f t="shared" si="5"/>
        <v>0.31263246768370795</v>
      </c>
      <c r="J63" s="164">
        <f t="shared" si="4"/>
        <v>0.5201031574147954</v>
      </c>
      <c r="K63" s="116">
        <f t="shared" si="9"/>
        <v>1031.8964516129033</v>
      </c>
      <c r="L63" s="116">
        <f t="shared" si="9"/>
        <v>190.40080645161288</v>
      </c>
      <c r="M63" s="116">
        <f t="shared" si="9"/>
        <v>1222.2972580645162</v>
      </c>
    </row>
    <row r="64" spans="1:20">
      <c r="A64" s="163">
        <v>42430</v>
      </c>
      <c r="B64" s="116">
        <f>'[7]US EIA'!$R212</f>
        <v>2299</v>
      </c>
      <c r="C64" s="116">
        <f>'[4]Renewable Diesel'!$AX75</f>
        <v>308</v>
      </c>
      <c r="D64" s="116">
        <f t="shared" si="0"/>
        <v>2607</v>
      </c>
      <c r="E64" s="116">
        <f>monthly_data!F521</f>
        <v>120.15900000000001</v>
      </c>
      <c r="F64" s="116">
        <f>monthly_data!AD521</f>
        <v>17.925000000000001</v>
      </c>
      <c r="G64" s="116">
        <f t="shared" si="1"/>
        <v>138.084</v>
      </c>
      <c r="H64" s="164">
        <f t="shared" si="3"/>
        <v>0.65782776619519734</v>
      </c>
      <c r="I64" s="164">
        <f t="shared" si="5"/>
        <v>0.73249272279444688</v>
      </c>
      <c r="J64" s="164">
        <f t="shared" si="4"/>
        <v>0.66664894250228168</v>
      </c>
      <c r="K64" s="116">
        <f t="shared" si="9"/>
        <v>786.65396551724132</v>
      </c>
      <c r="L64" s="116">
        <f t="shared" si="9"/>
        <v>82.392241379310363</v>
      </c>
      <c r="M64" s="116">
        <f t="shared" si="9"/>
        <v>869.04620689655167</v>
      </c>
    </row>
    <row r="65" spans="1:20">
      <c r="A65" s="163">
        <v>42461</v>
      </c>
      <c r="B65" s="116">
        <f>'[7]US EIA'!$R213</f>
        <v>2290</v>
      </c>
      <c r="C65" s="116">
        <f>'[4]Renewable Diesel'!$AX76</f>
        <v>333</v>
      </c>
      <c r="D65" s="116">
        <f t="shared" si="0"/>
        <v>2623</v>
      </c>
      <c r="E65" s="116">
        <f>monthly_data!F522</f>
        <v>119.95099999999999</v>
      </c>
      <c r="F65" s="116">
        <f>monthly_data!AD522</f>
        <v>21.253</v>
      </c>
      <c r="G65" s="116">
        <f t="shared" si="1"/>
        <v>141.20400000000001</v>
      </c>
      <c r="H65" s="164">
        <f t="shared" si="3"/>
        <v>0.61673637131990411</v>
      </c>
      <c r="I65" s="164">
        <f t="shared" si="5"/>
        <v>0.75146226872033328</v>
      </c>
      <c r="J65" s="164">
        <f t="shared" si="4"/>
        <v>0.63384034533223477</v>
      </c>
      <c r="K65" s="116">
        <f t="shared" si="9"/>
        <v>877.67370967741954</v>
      </c>
      <c r="L65" s="116">
        <f t="shared" si="9"/>
        <v>82.76306451612902</v>
      </c>
      <c r="M65" s="116">
        <f t="shared" si="9"/>
        <v>960.43677419354822</v>
      </c>
    </row>
    <row r="66" spans="1:20">
      <c r="A66" s="163">
        <v>42491</v>
      </c>
      <c r="B66" s="116">
        <f>'[7]US EIA'!$R214</f>
        <v>2275</v>
      </c>
      <c r="C66" s="116">
        <f>'[4]Renewable Diesel'!$AX77</f>
        <v>358</v>
      </c>
      <c r="D66" s="116">
        <f t="shared" si="0"/>
        <v>2633</v>
      </c>
      <c r="E66" s="116">
        <f>monthly_data!F523</f>
        <v>135.34399999999999</v>
      </c>
      <c r="F66" s="116">
        <f>monthly_data!AD523</f>
        <v>21.933</v>
      </c>
      <c r="G66" s="116">
        <f t="shared" si="1"/>
        <v>157.27699999999999</v>
      </c>
      <c r="H66" s="164">
        <f t="shared" si="3"/>
        <v>0.72381772893772889</v>
      </c>
      <c r="I66" s="164">
        <f t="shared" si="5"/>
        <v>0.74539525139664797</v>
      </c>
      <c r="J66" s="164">
        <f t="shared" si="4"/>
        <v>0.72675155082921883</v>
      </c>
      <c r="K66" s="116">
        <f t="shared" si="9"/>
        <v>628.31466666666677</v>
      </c>
      <c r="L66" s="116">
        <f t="shared" si="9"/>
        <v>91.148500000000027</v>
      </c>
      <c r="M66" s="116">
        <f t="shared" si="9"/>
        <v>719.46316666666678</v>
      </c>
    </row>
    <row r="67" spans="1:20">
      <c r="A67" s="163">
        <v>42522</v>
      </c>
      <c r="B67" s="116">
        <f>'[7]US EIA'!$R215</f>
        <v>2275</v>
      </c>
      <c r="C67" s="116">
        <f>'[4]Renewable Diesel'!$AX78</f>
        <v>408</v>
      </c>
      <c r="D67" s="116">
        <f t="shared" ref="D67:D130" si="22">C67+B67</f>
        <v>2683</v>
      </c>
      <c r="E67" s="116">
        <f>monthly_data!F524</f>
        <v>134.62</v>
      </c>
      <c r="F67" s="116">
        <f>monthly_data!AD524</f>
        <v>22.568999999999999</v>
      </c>
      <c r="G67" s="116">
        <f t="shared" ref="G67:G130" si="23">SUM(E67:F67)</f>
        <v>157.18899999999999</v>
      </c>
      <c r="H67" s="164">
        <f t="shared" si="3"/>
        <v>0.69672172988302017</v>
      </c>
      <c r="I67" s="164">
        <f t="shared" si="5"/>
        <v>0.65130336812144218</v>
      </c>
      <c r="J67" s="164">
        <f t="shared" si="4"/>
        <v>0.68981502410638063</v>
      </c>
      <c r="K67" s="116">
        <f t="shared" si="9"/>
        <v>689.95806451612907</v>
      </c>
      <c r="L67" s="116">
        <f t="shared" si="9"/>
        <v>142.2682258064516</v>
      </c>
      <c r="M67" s="116">
        <f t="shared" si="9"/>
        <v>832.22629032258078</v>
      </c>
    </row>
    <row r="68" spans="1:20">
      <c r="A68" s="163">
        <v>42552</v>
      </c>
      <c r="B68" s="116">
        <f>'[7]US EIA'!$R216</f>
        <v>2275</v>
      </c>
      <c r="C68" s="116">
        <f>'[4]Renewable Diesel'!$AX79</f>
        <v>408</v>
      </c>
      <c r="D68" s="116">
        <f t="shared" si="22"/>
        <v>2683</v>
      </c>
      <c r="E68" s="116">
        <f>monthly_data!F525</f>
        <v>139.887</v>
      </c>
      <c r="F68" s="116">
        <f>monthly_data!AD525</f>
        <v>19.52</v>
      </c>
      <c r="G68" s="116">
        <f t="shared" si="23"/>
        <v>159.40700000000001</v>
      </c>
      <c r="H68" s="164">
        <f t="shared" ref="H68:H131" si="24">(E68/(A68-A67)*365)/B68</f>
        <v>0.74811362637362633</v>
      </c>
      <c r="I68" s="164">
        <f t="shared" si="5"/>
        <v>0.58209150326797376</v>
      </c>
      <c r="J68" s="164">
        <f t="shared" ref="J68:J131" si="25">(G68/(A68-A67)*365)/D68</f>
        <v>0.72286687787302772</v>
      </c>
      <c r="K68" s="116">
        <f t="shared" si="9"/>
        <v>573.04150000000016</v>
      </c>
      <c r="L68" s="116">
        <f t="shared" si="9"/>
        <v>170.50666666666672</v>
      </c>
      <c r="M68" s="116">
        <f t="shared" si="9"/>
        <v>743.54816666666659</v>
      </c>
    </row>
    <row r="69" spans="1:20">
      <c r="A69" s="163">
        <v>42583</v>
      </c>
      <c r="B69" s="116">
        <f>'[7]US EIA'!$R217</f>
        <v>2275</v>
      </c>
      <c r="C69" s="116">
        <f>'[4]Renewable Diesel'!$AX80</f>
        <v>408</v>
      </c>
      <c r="D69" s="116">
        <f t="shared" si="22"/>
        <v>2683</v>
      </c>
      <c r="E69" s="116">
        <f>monthly_data!F526</f>
        <v>142.17699999999999</v>
      </c>
      <c r="F69" s="116">
        <f>monthly_data!AD526</f>
        <v>24.8</v>
      </c>
      <c r="G69" s="116">
        <f t="shared" si="23"/>
        <v>166.977</v>
      </c>
      <c r="H69" s="164">
        <f t="shared" si="24"/>
        <v>0.73583275434243167</v>
      </c>
      <c r="I69" s="164">
        <f t="shared" si="5"/>
        <v>0.71568627450980393</v>
      </c>
      <c r="J69" s="164">
        <f t="shared" si="25"/>
        <v>0.7327691077633367</v>
      </c>
      <c r="K69" s="116">
        <f t="shared" si="9"/>
        <v>600.98048387096799</v>
      </c>
      <c r="L69" s="116">
        <f t="shared" si="9"/>
        <v>116</v>
      </c>
      <c r="M69" s="116">
        <f t="shared" si="9"/>
        <v>716.98048387096765</v>
      </c>
    </row>
    <row r="70" spans="1:20">
      <c r="A70" s="163">
        <v>42614</v>
      </c>
      <c r="B70" s="116">
        <f>'[7]US EIA'!$R218</f>
        <v>2279</v>
      </c>
      <c r="C70" s="116">
        <f>'[4]Renewable Diesel'!$AX81</f>
        <v>408</v>
      </c>
      <c r="D70" s="116">
        <f t="shared" si="22"/>
        <v>2687</v>
      </c>
      <c r="E70" s="116">
        <f>monthly_data!F527</f>
        <v>134.667</v>
      </c>
      <c r="F70" s="116">
        <f>monthly_data!AD527</f>
        <v>19.215</v>
      </c>
      <c r="G70" s="116">
        <f t="shared" si="23"/>
        <v>153.88200000000001</v>
      </c>
      <c r="H70" s="164">
        <f t="shared" si="24"/>
        <v>0.69574169485767678</v>
      </c>
      <c r="I70" s="164">
        <f t="shared" si="5"/>
        <v>0.5545125711574953</v>
      </c>
      <c r="J70" s="164">
        <f t="shared" si="25"/>
        <v>0.6742971535589517</v>
      </c>
      <c r="K70" s="116">
        <f t="shared" si="9"/>
        <v>693.40467741935458</v>
      </c>
      <c r="L70" s="116">
        <f t="shared" si="9"/>
        <v>181.75887096774193</v>
      </c>
      <c r="M70" s="116">
        <f t="shared" si="9"/>
        <v>875.16354838709674</v>
      </c>
    </row>
    <row r="71" spans="1:20">
      <c r="A71" s="163">
        <v>42644</v>
      </c>
      <c r="B71" s="116">
        <f>'[7]US EIA'!$R219</f>
        <v>2312</v>
      </c>
      <c r="C71" s="116">
        <f>'[4]Renewable Diesel'!$AX82</f>
        <v>408</v>
      </c>
      <c r="D71" s="116">
        <f t="shared" si="22"/>
        <v>2720</v>
      </c>
      <c r="E71" s="116">
        <f>monthly_data!F528</f>
        <v>144.19200000000001</v>
      </c>
      <c r="F71" s="116">
        <f>monthly_data!AD528</f>
        <v>20.64</v>
      </c>
      <c r="G71" s="116">
        <f t="shared" si="23"/>
        <v>164.83199999999999</v>
      </c>
      <c r="H71" s="164">
        <f t="shared" si="24"/>
        <v>0.75879584775086506</v>
      </c>
      <c r="I71" s="164">
        <f t="shared" si="5"/>
        <v>0.61549019607843147</v>
      </c>
      <c r="J71" s="164">
        <f t="shared" si="25"/>
        <v>0.73729999999999996</v>
      </c>
      <c r="K71" s="116">
        <f t="shared" si="9"/>
        <v>557.66399999999999</v>
      </c>
      <c r="L71" s="116">
        <f t="shared" si="9"/>
        <v>156.87999999999997</v>
      </c>
      <c r="M71" s="116">
        <f t="shared" si="9"/>
        <v>714.5440000000001</v>
      </c>
    </row>
    <row r="72" spans="1:20">
      <c r="A72" s="163">
        <v>42675</v>
      </c>
      <c r="B72" s="116">
        <f>'[7]US EIA'!$R220</f>
        <v>2312</v>
      </c>
      <c r="C72" s="116">
        <f>'[4]Renewable Diesel'!$AX83</f>
        <v>408</v>
      </c>
      <c r="D72" s="116">
        <f t="shared" si="22"/>
        <v>2720</v>
      </c>
      <c r="E72" s="116">
        <f>monthly_data!F529</f>
        <v>143.15199999999999</v>
      </c>
      <c r="F72" s="116">
        <f>monthly_data!AD529</f>
        <v>27.361000000000001</v>
      </c>
      <c r="G72" s="116">
        <f t="shared" si="23"/>
        <v>170.51299999999998</v>
      </c>
      <c r="H72" s="164">
        <f t="shared" si="24"/>
        <v>0.72902221230047992</v>
      </c>
      <c r="I72" s="164">
        <f t="shared" si="5"/>
        <v>0.78959242567994936</v>
      </c>
      <c r="J72" s="164">
        <f t="shared" si="25"/>
        <v>0.73810774430740023</v>
      </c>
      <c r="K72" s="116">
        <f t="shared" si="9"/>
        <v>626.50064516129044</v>
      </c>
      <c r="L72" s="116">
        <f t="shared" si="9"/>
        <v>85.846290322580657</v>
      </c>
      <c r="M72" s="116">
        <f t="shared" si="9"/>
        <v>712.34693548387133</v>
      </c>
    </row>
    <row r="73" spans="1:20">
      <c r="A73" s="163">
        <v>42705</v>
      </c>
      <c r="B73" s="116">
        <f>'[7]US EIA'!$R221</f>
        <v>2316</v>
      </c>
      <c r="C73" s="116">
        <f>'[4]Renewable Diesel'!$AX84</f>
        <v>408</v>
      </c>
      <c r="D73" s="116">
        <f t="shared" si="22"/>
        <v>2724</v>
      </c>
      <c r="E73" s="116">
        <f>monthly_data!F530</f>
        <v>143.851</v>
      </c>
      <c r="F73" s="116">
        <f>monthly_data!AD530</f>
        <v>27.157</v>
      </c>
      <c r="G73" s="116">
        <f t="shared" si="23"/>
        <v>171.00800000000001</v>
      </c>
      <c r="H73" s="164">
        <f t="shared" si="24"/>
        <v>0.75569394070236051</v>
      </c>
      <c r="I73" s="164">
        <f t="shared" si="5"/>
        <v>0.809828839869281</v>
      </c>
      <c r="J73" s="164">
        <f t="shared" si="25"/>
        <v>0.76380225159079795</v>
      </c>
      <c r="K73" s="116">
        <f t="shared" si="9"/>
        <v>565.81283333333306</v>
      </c>
      <c r="L73" s="116">
        <f t="shared" si="9"/>
        <v>77.589833333333345</v>
      </c>
      <c r="M73" s="116">
        <f t="shared" si="9"/>
        <v>643.40266666666639</v>
      </c>
      <c r="N73" s="116">
        <f>B73-B61</f>
        <v>287</v>
      </c>
      <c r="O73" s="116">
        <f>C73-C61</f>
        <v>153</v>
      </c>
      <c r="P73" s="116">
        <f t="shared" ref="P73" si="26">D73-D61</f>
        <v>440</v>
      </c>
      <c r="Q73" s="116">
        <f>SUM(E62:E73)</f>
        <v>1567.73</v>
      </c>
      <c r="R73" s="116">
        <f t="shared" ref="R73:S73" si="27">SUM(F62:F73)</f>
        <v>241.48600000000002</v>
      </c>
      <c r="S73" s="116">
        <f t="shared" si="27"/>
        <v>1809.2160000000001</v>
      </c>
      <c r="T73" s="116">
        <f>S73-S61</f>
        <v>369.02100000000019</v>
      </c>
    </row>
    <row r="74" spans="1:20">
      <c r="A74" s="163">
        <v>42736</v>
      </c>
      <c r="B74" s="116">
        <f>'[7]US EIA'!$R222</f>
        <v>2316</v>
      </c>
      <c r="C74" s="116">
        <f>'[4]Renewable Diesel'!$AX85</f>
        <v>408</v>
      </c>
      <c r="D74" s="116">
        <f t="shared" si="22"/>
        <v>2724</v>
      </c>
      <c r="E74" s="116">
        <f>monthly_data!F531</f>
        <v>92.757000000000005</v>
      </c>
      <c r="F74" s="116">
        <f>monthly_data!AD531</f>
        <v>18.561</v>
      </c>
      <c r="G74" s="116">
        <f t="shared" si="23"/>
        <v>111.31800000000001</v>
      </c>
      <c r="H74" s="164">
        <f t="shared" si="24"/>
        <v>0.47156255223132215</v>
      </c>
      <c r="I74" s="164">
        <f t="shared" ref="I74:I137" si="28">(F74/(A74-A73)*365)/C74</f>
        <v>0.53563923149905124</v>
      </c>
      <c r="J74" s="164">
        <f t="shared" si="25"/>
        <v>0.48115994031547543</v>
      </c>
      <c r="K74" s="116">
        <f t="shared" si="9"/>
        <v>1223.8611290322578</v>
      </c>
      <c r="L74" s="116">
        <f t="shared" si="9"/>
        <v>189.45919354838711</v>
      </c>
      <c r="M74" s="116">
        <f t="shared" si="9"/>
        <v>1413.3203225806451</v>
      </c>
      <c r="Q74" s="116">
        <f t="shared" ref="Q74:R74" si="29">Q73-Q61</f>
        <v>304.38299999999981</v>
      </c>
      <c r="R74" s="116">
        <f t="shared" si="29"/>
        <v>64.638000000000034</v>
      </c>
      <c r="S74" s="116">
        <f>S73-S61</f>
        <v>369.02100000000019</v>
      </c>
    </row>
    <row r="75" spans="1:20">
      <c r="A75" s="163">
        <v>42767</v>
      </c>
      <c r="B75" s="116">
        <f>'[7]US EIA'!$R223</f>
        <v>2316</v>
      </c>
      <c r="C75" s="116">
        <f>'[4]Renewable Diesel'!$AX86</f>
        <v>408</v>
      </c>
      <c r="D75" s="116">
        <f t="shared" si="22"/>
        <v>2724</v>
      </c>
      <c r="E75" s="116">
        <f>monthly_data!F532</f>
        <v>93.983000000000004</v>
      </c>
      <c r="F75" s="116">
        <f>monthly_data!AD532</f>
        <v>21.042999999999999</v>
      </c>
      <c r="G75" s="116">
        <f t="shared" si="23"/>
        <v>115.02600000000001</v>
      </c>
      <c r="H75" s="164">
        <f t="shared" si="24"/>
        <v>0.47779535071591733</v>
      </c>
      <c r="I75" s="164">
        <f t="shared" si="28"/>
        <v>0.60726557558507266</v>
      </c>
      <c r="J75" s="164">
        <f t="shared" si="25"/>
        <v>0.49718736677561465</v>
      </c>
      <c r="K75" s="116">
        <f t="shared" si="9"/>
        <v>1209.4259677419354</v>
      </c>
      <c r="L75" s="116">
        <f t="shared" si="9"/>
        <v>160.23564516129036</v>
      </c>
      <c r="M75" s="116">
        <f t="shared" si="9"/>
        <v>1369.6616129032259</v>
      </c>
    </row>
    <row r="76" spans="1:20">
      <c r="A76" s="163">
        <v>42795</v>
      </c>
      <c r="B76" s="116">
        <f>'[7]US EIA'!$R224</f>
        <v>2362</v>
      </c>
      <c r="C76" s="116">
        <f>'[4]Renewable Diesel'!$AX87</f>
        <v>408</v>
      </c>
      <c r="D76" s="116">
        <f t="shared" si="22"/>
        <v>2770</v>
      </c>
      <c r="E76" s="116">
        <f>monthly_data!F533</f>
        <v>115.973</v>
      </c>
      <c r="F76" s="116">
        <f>monthly_data!AD533</f>
        <v>15.856999999999999</v>
      </c>
      <c r="G76" s="116">
        <f t="shared" si="23"/>
        <v>131.82999999999998</v>
      </c>
      <c r="H76" s="164">
        <f t="shared" si="24"/>
        <v>0.64004694871174561</v>
      </c>
      <c r="I76" s="164">
        <f t="shared" si="28"/>
        <v>0.5066355917366947</v>
      </c>
      <c r="J76" s="164">
        <f t="shared" si="25"/>
        <v>0.62039646725116027</v>
      </c>
      <c r="K76" s="116">
        <f t="shared" si="9"/>
        <v>850.20910714285685</v>
      </c>
      <c r="L76" s="116">
        <f t="shared" si="9"/>
        <v>201.29267857142855</v>
      </c>
      <c r="M76" s="116">
        <f t="shared" si="9"/>
        <v>1051.5017857142861</v>
      </c>
    </row>
    <row r="77" spans="1:20">
      <c r="A77" s="163">
        <v>42826</v>
      </c>
      <c r="B77" s="116">
        <f>'[7]US EIA'!$R225</f>
        <v>2328</v>
      </c>
      <c r="C77" s="116">
        <f>'[4]Renewable Diesel'!$AX88</f>
        <v>408</v>
      </c>
      <c r="D77" s="116">
        <f t="shared" si="22"/>
        <v>2736</v>
      </c>
      <c r="E77" s="116">
        <f>monthly_data!F534</f>
        <v>126.821</v>
      </c>
      <c r="F77" s="116">
        <f>monthly_data!AD534</f>
        <v>20.402999999999999</v>
      </c>
      <c r="G77" s="116">
        <f t="shared" si="23"/>
        <v>147.22399999999999</v>
      </c>
      <c r="H77" s="164">
        <f t="shared" si="24"/>
        <v>0.64141537800687287</v>
      </c>
      <c r="I77" s="164">
        <f t="shared" si="28"/>
        <v>0.58879625237191646</v>
      </c>
      <c r="J77" s="164">
        <f t="shared" si="25"/>
        <v>0.63356866628937925</v>
      </c>
      <c r="K77" s="116">
        <f t="shared" si="9"/>
        <v>834.78499999999997</v>
      </c>
      <c r="L77" s="116">
        <f t="shared" si="9"/>
        <v>167.77112903225807</v>
      </c>
      <c r="M77" s="116">
        <f t="shared" si="9"/>
        <v>1002.5561290322584</v>
      </c>
    </row>
    <row r="78" spans="1:20">
      <c r="A78" s="163">
        <v>42856</v>
      </c>
      <c r="B78" s="116">
        <f>'[7]US EIA'!$R226</f>
        <v>2329</v>
      </c>
      <c r="C78" s="116">
        <f>'[4]Renewable Diesel'!$AX89</f>
        <v>408</v>
      </c>
      <c r="D78" s="116">
        <f t="shared" si="22"/>
        <v>2737</v>
      </c>
      <c r="E78" s="116">
        <f>monthly_data!F535</f>
        <v>136.18100000000001</v>
      </c>
      <c r="F78" s="116">
        <f>monthly_data!AD535</f>
        <v>24.393000000000001</v>
      </c>
      <c r="G78" s="116">
        <f t="shared" si="23"/>
        <v>160.57400000000001</v>
      </c>
      <c r="H78" s="164">
        <f t="shared" si="24"/>
        <v>0.71140782882496068</v>
      </c>
      <c r="I78" s="164">
        <f t="shared" si="28"/>
        <v>0.72740563725490193</v>
      </c>
      <c r="J78" s="164">
        <f t="shared" si="25"/>
        <v>0.7137925952989892</v>
      </c>
      <c r="K78" s="116">
        <f t="shared" si="9"/>
        <v>672.13116666666656</v>
      </c>
      <c r="L78" s="116">
        <f t="shared" si="9"/>
        <v>111.21850000000002</v>
      </c>
      <c r="M78" s="116">
        <f t="shared" si="9"/>
        <v>783.34966666666662</v>
      </c>
    </row>
    <row r="79" spans="1:20">
      <c r="A79" s="163">
        <v>42887</v>
      </c>
      <c r="B79" s="116">
        <f>'[7]US EIA'!$R227</f>
        <v>2329</v>
      </c>
      <c r="C79" s="116">
        <f>'[4]Renewable Diesel'!$AX90</f>
        <v>408</v>
      </c>
      <c r="D79" s="116">
        <f t="shared" si="22"/>
        <v>2737</v>
      </c>
      <c r="E79" s="116">
        <f>monthly_data!F536</f>
        <v>140.459</v>
      </c>
      <c r="F79" s="116">
        <f>monthly_data!AD536</f>
        <v>17.747</v>
      </c>
      <c r="G79" s="116">
        <f t="shared" si="23"/>
        <v>158.20600000000002</v>
      </c>
      <c r="H79" s="164">
        <f t="shared" si="24"/>
        <v>0.71008649704289539</v>
      </c>
      <c r="I79" s="164">
        <f t="shared" si="28"/>
        <v>0.5121485610373181</v>
      </c>
      <c r="J79" s="164">
        <f t="shared" si="25"/>
        <v>0.68058022086815095</v>
      </c>
      <c r="K79" s="116">
        <f t="shared" si="9"/>
        <v>675.20854838709658</v>
      </c>
      <c r="L79" s="116">
        <f t="shared" si="9"/>
        <v>199.04338709677421</v>
      </c>
      <c r="M79" s="116">
        <f t="shared" si="9"/>
        <v>874.25193548387085</v>
      </c>
    </row>
    <row r="80" spans="1:20">
      <c r="A80" s="163">
        <v>42917</v>
      </c>
      <c r="B80" s="116">
        <f>'[7]US EIA'!$R228</f>
        <v>2330</v>
      </c>
      <c r="C80" s="116">
        <f>'[4]Renewable Diesel'!$AX91</f>
        <v>408</v>
      </c>
      <c r="D80" s="116">
        <f t="shared" si="22"/>
        <v>2738</v>
      </c>
      <c r="E80" s="116">
        <f>monthly_data!F537</f>
        <v>149.51300000000001</v>
      </c>
      <c r="F80" s="116">
        <f>monthly_data!AD537</f>
        <v>19.652000000000001</v>
      </c>
      <c r="G80" s="116">
        <f t="shared" si="23"/>
        <v>169.16500000000002</v>
      </c>
      <c r="H80" s="164">
        <f t="shared" si="24"/>
        <v>0.78071881258941345</v>
      </c>
      <c r="I80" s="164">
        <f t="shared" si="28"/>
        <v>0.58602777777777781</v>
      </c>
      <c r="J80" s="164">
        <f t="shared" si="25"/>
        <v>0.75170714633552493</v>
      </c>
      <c r="K80" s="116">
        <f t="shared" si="9"/>
        <v>510.92516666666666</v>
      </c>
      <c r="L80" s="116">
        <f t="shared" si="9"/>
        <v>168.90066666666667</v>
      </c>
      <c r="M80" s="116">
        <f t="shared" si="9"/>
        <v>679.82583333333275</v>
      </c>
    </row>
    <row r="81" spans="1:20">
      <c r="A81" s="163">
        <v>42948</v>
      </c>
      <c r="B81" s="116">
        <f>'[7]US EIA'!$R229</f>
        <v>2321</v>
      </c>
      <c r="C81" s="116">
        <f>'[4]Renewable Diesel'!$AX92</f>
        <v>408</v>
      </c>
      <c r="D81" s="116">
        <f t="shared" si="22"/>
        <v>2729</v>
      </c>
      <c r="E81" s="116">
        <f>monthly_data!F538</f>
        <v>149.48599999999999</v>
      </c>
      <c r="F81" s="116">
        <f>monthly_data!AD538</f>
        <v>24.672000000000001</v>
      </c>
      <c r="G81" s="116">
        <f t="shared" si="23"/>
        <v>174.15799999999999</v>
      </c>
      <c r="H81" s="164">
        <f t="shared" si="24"/>
        <v>0.75832705591305194</v>
      </c>
      <c r="I81" s="164">
        <f t="shared" si="28"/>
        <v>0.71199240986717272</v>
      </c>
      <c r="J81" s="164">
        <f t="shared" si="25"/>
        <v>0.75139978013924502</v>
      </c>
      <c r="K81" s="116">
        <f t="shared" si="9"/>
        <v>560.92290322580641</v>
      </c>
      <c r="L81" s="116">
        <f t="shared" si="9"/>
        <v>117.50709677419353</v>
      </c>
      <c r="M81" s="116">
        <f t="shared" si="9"/>
        <v>678.43000000000029</v>
      </c>
    </row>
    <row r="82" spans="1:20">
      <c r="A82" s="163">
        <v>42979</v>
      </c>
      <c r="B82" s="116">
        <f>'[7]US EIA'!$R230</f>
        <v>2350</v>
      </c>
      <c r="C82" s="116">
        <f>'[4]Renewable Diesel'!$AX93</f>
        <v>408</v>
      </c>
      <c r="D82" s="116">
        <f t="shared" si="22"/>
        <v>2758</v>
      </c>
      <c r="E82" s="116">
        <f>monthly_data!F539</f>
        <v>147.29300000000001</v>
      </c>
      <c r="F82" s="116">
        <f>monthly_data!AD539</f>
        <v>21.966999999999999</v>
      </c>
      <c r="G82" s="116">
        <f t="shared" si="23"/>
        <v>169.26</v>
      </c>
      <c r="H82" s="164">
        <f t="shared" si="24"/>
        <v>0.73798140013726832</v>
      </c>
      <c r="I82" s="164">
        <f t="shared" si="28"/>
        <v>0.63393066097406703</v>
      </c>
      <c r="J82" s="164">
        <f t="shared" si="25"/>
        <v>0.72258883248730965</v>
      </c>
      <c r="K82" s="116">
        <f t="shared" si="9"/>
        <v>615.74370967741947</v>
      </c>
      <c r="L82" s="116">
        <f t="shared" si="9"/>
        <v>149.35629032258066</v>
      </c>
      <c r="M82" s="116">
        <f t="shared" si="9"/>
        <v>765.1</v>
      </c>
    </row>
    <row r="83" spans="1:20">
      <c r="A83" s="163">
        <v>43009</v>
      </c>
      <c r="B83" s="116">
        <f>'[7]US EIA'!$R231</f>
        <v>2357</v>
      </c>
      <c r="C83" s="116">
        <f>'[4]Renewable Diesel'!$AX94</f>
        <v>408</v>
      </c>
      <c r="D83" s="116">
        <f t="shared" si="22"/>
        <v>2765</v>
      </c>
      <c r="E83" s="116">
        <f>monthly_data!F540</f>
        <v>147.624</v>
      </c>
      <c r="F83" s="116">
        <f>monthly_data!AD540</f>
        <v>25.347000000000001</v>
      </c>
      <c r="G83" s="116">
        <f t="shared" si="23"/>
        <v>172.971</v>
      </c>
      <c r="H83" s="164">
        <f t="shared" si="24"/>
        <v>0.76202460755197277</v>
      </c>
      <c r="I83" s="164">
        <f t="shared" si="28"/>
        <v>0.75585416666666672</v>
      </c>
      <c r="J83" s="164">
        <f t="shared" si="25"/>
        <v>0.76111410488245934</v>
      </c>
      <c r="K83" s="116">
        <f t="shared" ref="K83:M146" si="30">((1-H83)*B83)</f>
        <v>560.90800000000024</v>
      </c>
      <c r="L83" s="116">
        <f t="shared" si="30"/>
        <v>99.611499999999978</v>
      </c>
      <c r="M83" s="116">
        <f t="shared" si="30"/>
        <v>660.51949999999988</v>
      </c>
    </row>
    <row r="84" spans="1:20">
      <c r="A84" s="163">
        <v>43040</v>
      </c>
      <c r="B84" s="116">
        <f>'[7]US EIA'!$R232</f>
        <v>2417</v>
      </c>
      <c r="C84" s="116">
        <f>'[4]Renewable Diesel'!$AX95</f>
        <v>408</v>
      </c>
      <c r="D84" s="116">
        <f t="shared" si="22"/>
        <v>2825</v>
      </c>
      <c r="E84" s="116">
        <f>monthly_data!F541</f>
        <v>147.97999999999999</v>
      </c>
      <c r="F84" s="116">
        <f>monthly_data!AD541</f>
        <v>23.177</v>
      </c>
      <c r="G84" s="116">
        <f t="shared" si="23"/>
        <v>171.15699999999998</v>
      </c>
      <c r="H84" s="164">
        <f t="shared" si="24"/>
        <v>0.7208709810882592</v>
      </c>
      <c r="I84" s="164">
        <f t="shared" si="28"/>
        <v>0.66884922517394052</v>
      </c>
      <c r="J84" s="164">
        <f t="shared" si="25"/>
        <v>0.71335775049957173</v>
      </c>
      <c r="K84" s="116">
        <f t="shared" si="30"/>
        <v>674.65483870967751</v>
      </c>
      <c r="L84" s="116">
        <f t="shared" si="30"/>
        <v>135.10951612903227</v>
      </c>
      <c r="M84" s="116">
        <f t="shared" si="30"/>
        <v>809.76435483870989</v>
      </c>
    </row>
    <row r="85" spans="1:20">
      <c r="A85" s="163">
        <v>43070</v>
      </c>
      <c r="B85" s="116">
        <f>'[7]US EIA'!$R233</f>
        <v>2401</v>
      </c>
      <c r="C85" s="116">
        <f>'[4]Renewable Diesel'!$AX96</f>
        <v>408</v>
      </c>
      <c r="D85" s="116">
        <f t="shared" si="22"/>
        <v>2809</v>
      </c>
      <c r="E85" s="116">
        <f>monthly_data!F542</f>
        <v>147.63900000000001</v>
      </c>
      <c r="F85" s="116">
        <f>monthly_data!AD542</f>
        <v>25.524000000000001</v>
      </c>
      <c r="G85" s="116">
        <f t="shared" si="23"/>
        <v>173.16300000000001</v>
      </c>
      <c r="H85" s="164">
        <f t="shared" si="24"/>
        <v>0.74813598500624745</v>
      </c>
      <c r="I85" s="164">
        <f t="shared" si="28"/>
        <v>0.76113235294117643</v>
      </c>
      <c r="J85" s="164">
        <f t="shared" si="25"/>
        <v>0.75002367390530433</v>
      </c>
      <c r="K85" s="116">
        <f t="shared" si="30"/>
        <v>604.7254999999999</v>
      </c>
      <c r="L85" s="116">
        <f t="shared" si="30"/>
        <v>97.458000000000013</v>
      </c>
      <c r="M85" s="116">
        <f t="shared" si="30"/>
        <v>702.18350000000009</v>
      </c>
      <c r="N85" s="116">
        <f>B85-B73</f>
        <v>85</v>
      </c>
      <c r="O85" s="116">
        <f>C85-C73</f>
        <v>0</v>
      </c>
      <c r="P85" s="116">
        <f t="shared" ref="P85" si="31">D85-D73</f>
        <v>85</v>
      </c>
      <c r="Q85" s="116">
        <f>SUM(E74:E85)</f>
        <v>1595.7089999999998</v>
      </c>
      <c r="R85" s="116">
        <f t="shared" ref="R85:S85" si="32">SUM(F74:F85)</f>
        <v>258.34300000000002</v>
      </c>
      <c r="S85" s="116">
        <f t="shared" si="32"/>
        <v>1854.0519999999999</v>
      </c>
      <c r="T85" s="116">
        <f>S85-S73</f>
        <v>44.835999999999785</v>
      </c>
    </row>
    <row r="86" spans="1:20">
      <c r="A86" s="163">
        <v>43101</v>
      </c>
      <c r="B86" s="116">
        <f>'[7]US EIA'!$R234</f>
        <v>2549</v>
      </c>
      <c r="C86" s="116">
        <f>'[4]Renewable Diesel'!$AX97</f>
        <v>408</v>
      </c>
      <c r="D86" s="116">
        <f t="shared" si="22"/>
        <v>2957</v>
      </c>
      <c r="E86" s="116">
        <f>monthly_data!F543</f>
        <v>125.52500000000001</v>
      </c>
      <c r="F86" s="116">
        <f>monthly_data!AD543</f>
        <v>13.680999999999999</v>
      </c>
      <c r="G86" s="116">
        <f t="shared" si="23"/>
        <v>139.20600000000002</v>
      </c>
      <c r="H86" s="164">
        <f t="shared" si="24"/>
        <v>0.57981782862349562</v>
      </c>
      <c r="I86" s="164">
        <f t="shared" si="28"/>
        <v>0.39481064199873495</v>
      </c>
      <c r="J86" s="164">
        <f t="shared" si="25"/>
        <v>0.55429096621466845</v>
      </c>
      <c r="K86" s="116">
        <f t="shared" si="30"/>
        <v>1071.0443548387098</v>
      </c>
      <c r="L86" s="116">
        <f t="shared" si="30"/>
        <v>246.91725806451615</v>
      </c>
      <c r="M86" s="116">
        <f t="shared" si="30"/>
        <v>1317.9616129032254</v>
      </c>
      <c r="Q86" s="116">
        <f t="shared" ref="Q86:R86" si="33">Q85-Q73</f>
        <v>27.978999999999814</v>
      </c>
      <c r="R86" s="116">
        <f t="shared" si="33"/>
        <v>16.856999999999999</v>
      </c>
      <c r="S86" s="116">
        <f>S85-S73</f>
        <v>44.835999999999785</v>
      </c>
    </row>
    <row r="87" spans="1:20">
      <c r="A87" s="163">
        <v>43132</v>
      </c>
      <c r="B87" s="116">
        <f>'[7]US EIA'!$R235</f>
        <v>2550</v>
      </c>
      <c r="C87" s="116">
        <f>'[4]Renewable Diesel'!$AX98</f>
        <v>408</v>
      </c>
      <c r="D87" s="116">
        <f t="shared" si="22"/>
        <v>2958</v>
      </c>
      <c r="E87" s="116">
        <f>monthly_data!F544</f>
        <v>127.94499999999999</v>
      </c>
      <c r="F87" s="116">
        <f>monthly_data!AD544</f>
        <v>21.605</v>
      </c>
      <c r="G87" s="116">
        <f t="shared" si="23"/>
        <v>149.54999999999998</v>
      </c>
      <c r="H87" s="164">
        <f t="shared" si="24"/>
        <v>0.59076438962681843</v>
      </c>
      <c r="I87" s="164">
        <f t="shared" si="28"/>
        <v>0.62348395003162549</v>
      </c>
      <c r="J87" s="164">
        <f t="shared" si="25"/>
        <v>0.59527743244127451</v>
      </c>
      <c r="K87" s="116">
        <f t="shared" si="30"/>
        <v>1043.550806451613</v>
      </c>
      <c r="L87" s="116">
        <f t="shared" si="30"/>
        <v>153.61854838709681</v>
      </c>
      <c r="M87" s="116">
        <f t="shared" si="30"/>
        <v>1197.16935483871</v>
      </c>
    </row>
    <row r="88" spans="1:20">
      <c r="A88" s="163">
        <v>43160</v>
      </c>
      <c r="B88" s="116">
        <f>'[7]US EIA'!$R236</f>
        <v>2548</v>
      </c>
      <c r="C88" s="116">
        <f>'[4]Renewable Diesel'!$AX99</f>
        <v>408</v>
      </c>
      <c r="D88" s="116">
        <f t="shared" si="22"/>
        <v>2956</v>
      </c>
      <c r="E88" s="116">
        <f>monthly_data!F545</f>
        <v>149.12700000000001</v>
      </c>
      <c r="F88" s="116">
        <f>monthly_data!AD545</f>
        <v>25.068000000000001</v>
      </c>
      <c r="G88" s="116">
        <f t="shared" si="23"/>
        <v>174.19500000000002</v>
      </c>
      <c r="H88" s="164">
        <f t="shared" si="24"/>
        <v>0.76294229367571209</v>
      </c>
      <c r="I88" s="164">
        <f t="shared" si="28"/>
        <v>0.8009296218487395</v>
      </c>
      <c r="J88" s="164">
        <f t="shared" si="25"/>
        <v>0.76818547023004069</v>
      </c>
      <c r="K88" s="116">
        <f t="shared" si="30"/>
        <v>604.02303571428558</v>
      </c>
      <c r="L88" s="116">
        <f t="shared" si="30"/>
        <v>81.22071428571428</v>
      </c>
      <c r="M88" s="116">
        <f t="shared" si="30"/>
        <v>685.24374999999975</v>
      </c>
    </row>
    <row r="89" spans="1:20">
      <c r="A89" s="163">
        <v>43191</v>
      </c>
      <c r="B89" s="116">
        <f>'[7]US EIA'!$R237</f>
        <v>2567</v>
      </c>
      <c r="C89" s="116">
        <f>'[4]Renewable Diesel'!$AX100</f>
        <v>408</v>
      </c>
      <c r="D89" s="116">
        <f t="shared" si="22"/>
        <v>2975</v>
      </c>
      <c r="E89" s="116">
        <f>monthly_data!F546</f>
        <v>142.52500000000001</v>
      </c>
      <c r="F89" s="116">
        <f>monthly_data!AD546</f>
        <v>25.751000000000001</v>
      </c>
      <c r="G89" s="116">
        <f t="shared" si="23"/>
        <v>168.27600000000001</v>
      </c>
      <c r="H89" s="164">
        <f t="shared" si="24"/>
        <v>0.65372689344911217</v>
      </c>
      <c r="I89" s="164">
        <f t="shared" si="28"/>
        <v>0.74313053447185329</v>
      </c>
      <c r="J89" s="164">
        <f t="shared" si="25"/>
        <v>0.66598796421794526</v>
      </c>
      <c r="K89" s="116">
        <f t="shared" si="30"/>
        <v>888.88306451612902</v>
      </c>
      <c r="L89" s="116">
        <f t="shared" si="30"/>
        <v>104.80274193548385</v>
      </c>
      <c r="M89" s="116">
        <f t="shared" si="30"/>
        <v>993.68580645161285</v>
      </c>
    </row>
    <row r="90" spans="1:20">
      <c r="A90" s="163">
        <v>43221</v>
      </c>
      <c r="B90" s="116">
        <f>'[7]US EIA'!$R238</f>
        <v>2511</v>
      </c>
      <c r="C90" s="116">
        <f>'[4]Renewable Diesel'!$AX101</f>
        <v>418</v>
      </c>
      <c r="D90" s="116">
        <f t="shared" si="22"/>
        <v>2929</v>
      </c>
      <c r="E90" s="116">
        <f>monthly_data!F547</f>
        <v>151.31200000000001</v>
      </c>
      <c r="F90" s="116">
        <f>monthly_data!AD547</f>
        <v>21.507999999999999</v>
      </c>
      <c r="G90" s="116">
        <f t="shared" si="23"/>
        <v>172.82000000000002</v>
      </c>
      <c r="H90" s="164">
        <f t="shared" si="24"/>
        <v>0.73315916633479361</v>
      </c>
      <c r="I90" s="164">
        <f t="shared" si="28"/>
        <v>0.62603030303030294</v>
      </c>
      <c r="J90" s="164">
        <f t="shared" si="25"/>
        <v>0.71787071810629344</v>
      </c>
      <c r="K90" s="116">
        <f t="shared" si="30"/>
        <v>670.03733333333321</v>
      </c>
      <c r="L90" s="116">
        <f t="shared" si="30"/>
        <v>156.31933333333336</v>
      </c>
      <c r="M90" s="116">
        <f t="shared" si="30"/>
        <v>826.35666666666657</v>
      </c>
    </row>
    <row r="91" spans="1:20">
      <c r="A91" s="163">
        <v>43252</v>
      </c>
      <c r="B91" s="116">
        <f>'[7]US EIA'!$R239</f>
        <v>2512</v>
      </c>
      <c r="C91" s="116">
        <f>'[4]Renewable Diesel'!$AX102</f>
        <v>428</v>
      </c>
      <c r="D91" s="116">
        <f t="shared" si="22"/>
        <v>2940</v>
      </c>
      <c r="E91" s="116">
        <f>monthly_data!F548</f>
        <v>158.86699999999999</v>
      </c>
      <c r="F91" s="116">
        <f>monthly_data!AD548</f>
        <v>12.384</v>
      </c>
      <c r="G91" s="116">
        <f t="shared" si="23"/>
        <v>171.25099999999998</v>
      </c>
      <c r="H91" s="164">
        <f t="shared" si="24"/>
        <v>0.74463805989315801</v>
      </c>
      <c r="I91" s="164">
        <f t="shared" si="28"/>
        <v>0.34068133855893878</v>
      </c>
      <c r="J91" s="164">
        <f t="shared" si="25"/>
        <v>0.68583075488259815</v>
      </c>
      <c r="K91" s="116">
        <f t="shared" si="30"/>
        <v>641.46919354838712</v>
      </c>
      <c r="L91" s="116">
        <f t="shared" si="30"/>
        <v>282.18838709677419</v>
      </c>
      <c r="M91" s="116">
        <f t="shared" si="30"/>
        <v>923.65758064516149</v>
      </c>
    </row>
    <row r="92" spans="1:20">
      <c r="A92" s="163">
        <v>43282</v>
      </c>
      <c r="B92" s="116">
        <f>'[7]US EIA'!$R240</f>
        <v>2512</v>
      </c>
      <c r="C92" s="116">
        <f>'[4]Renewable Diesel'!$AX103</f>
        <v>268</v>
      </c>
      <c r="D92" s="116">
        <f t="shared" si="22"/>
        <v>2780</v>
      </c>
      <c r="E92" s="116">
        <f>monthly_data!F549</f>
        <v>166.33099999999999</v>
      </c>
      <c r="F92" s="116">
        <f>monthly_data!AD549</f>
        <v>10.554</v>
      </c>
      <c r="G92" s="116">
        <f t="shared" si="23"/>
        <v>176.88499999999999</v>
      </c>
      <c r="H92" s="164">
        <f t="shared" si="24"/>
        <v>0.80561060244161342</v>
      </c>
      <c r="I92" s="164">
        <f t="shared" si="28"/>
        <v>0.47913059701492539</v>
      </c>
      <c r="J92" s="164">
        <f t="shared" si="25"/>
        <v>0.77413699040767392</v>
      </c>
      <c r="K92" s="116">
        <f t="shared" si="30"/>
        <v>488.30616666666708</v>
      </c>
      <c r="L92" s="116">
        <f t="shared" si="30"/>
        <v>139.59300000000002</v>
      </c>
      <c r="M92" s="116">
        <f t="shared" si="30"/>
        <v>627.89916666666647</v>
      </c>
    </row>
    <row r="93" spans="1:20">
      <c r="A93" s="163">
        <v>43313</v>
      </c>
      <c r="B93" s="116">
        <f>'[7]US EIA'!$R241</f>
        <v>2512</v>
      </c>
      <c r="C93" s="116">
        <f>'[4]Renewable Diesel'!$AX104</f>
        <v>456.75</v>
      </c>
      <c r="D93" s="116">
        <f t="shared" si="22"/>
        <v>2968.75</v>
      </c>
      <c r="E93" s="116">
        <f>monthly_data!F550</f>
        <v>172.28</v>
      </c>
      <c r="F93" s="116">
        <f>monthly_data!AD550</f>
        <v>16.024999999999999</v>
      </c>
      <c r="G93" s="116">
        <f t="shared" si="23"/>
        <v>188.30500000000001</v>
      </c>
      <c r="H93" s="164">
        <f t="shared" si="24"/>
        <v>0.80750719128826798</v>
      </c>
      <c r="I93" s="164">
        <f t="shared" si="28"/>
        <v>0.41309567950279846</v>
      </c>
      <c r="J93" s="164">
        <f t="shared" si="25"/>
        <v>0.7468259422750424</v>
      </c>
      <c r="K93" s="116">
        <f t="shared" si="30"/>
        <v>483.54193548387082</v>
      </c>
      <c r="L93" s="116">
        <f t="shared" si="30"/>
        <v>268.06854838709683</v>
      </c>
      <c r="M93" s="116">
        <f t="shared" si="30"/>
        <v>751.61048387096787</v>
      </c>
    </row>
    <row r="94" spans="1:20">
      <c r="A94" s="163">
        <v>43344</v>
      </c>
      <c r="B94" s="116">
        <f>'[7]US EIA'!$R242</f>
        <v>2512</v>
      </c>
      <c r="C94" s="116">
        <f>'[4]Renewable Diesel'!$AX105</f>
        <v>485.5</v>
      </c>
      <c r="D94" s="116">
        <f t="shared" si="22"/>
        <v>2997.5</v>
      </c>
      <c r="E94" s="116">
        <f>monthly_data!F551</f>
        <v>164.39599999999999</v>
      </c>
      <c r="F94" s="116">
        <f>monthly_data!AD551</f>
        <v>32.247999999999998</v>
      </c>
      <c r="G94" s="116">
        <f t="shared" si="23"/>
        <v>196.64399999999998</v>
      </c>
      <c r="H94" s="164">
        <f t="shared" si="24"/>
        <v>0.77055347236490634</v>
      </c>
      <c r="I94" s="164">
        <f t="shared" si="28"/>
        <v>0.78206836982160055</v>
      </c>
      <c r="J94" s="164">
        <f t="shared" si="25"/>
        <v>0.77241852081035256</v>
      </c>
      <c r="K94" s="116">
        <f t="shared" si="30"/>
        <v>576.3696774193553</v>
      </c>
      <c r="L94" s="116">
        <f t="shared" si="30"/>
        <v>105.80580645161294</v>
      </c>
      <c r="M94" s="116">
        <f t="shared" si="30"/>
        <v>682.17548387096815</v>
      </c>
    </row>
    <row r="95" spans="1:20">
      <c r="A95" s="163">
        <v>43374</v>
      </c>
      <c r="B95" s="116">
        <f>'[7]US EIA'!$R243</f>
        <v>2517</v>
      </c>
      <c r="C95" s="116">
        <f>'[4]Renewable Diesel'!$AX106</f>
        <v>514.29999999999995</v>
      </c>
      <c r="D95" s="116">
        <f t="shared" si="22"/>
        <v>3031.3</v>
      </c>
      <c r="E95" s="116">
        <f>monthly_data!F552</f>
        <v>170.952</v>
      </c>
      <c r="F95" s="116">
        <f>monthly_data!AD552</f>
        <v>39.005000000000003</v>
      </c>
      <c r="G95" s="116">
        <f t="shared" si="23"/>
        <v>209.95699999999999</v>
      </c>
      <c r="H95" s="164">
        <f t="shared" si="24"/>
        <v>0.8263472387763211</v>
      </c>
      <c r="I95" s="164">
        <f t="shared" si="28"/>
        <v>0.92273154449413453</v>
      </c>
      <c r="J95" s="164">
        <f t="shared" si="25"/>
        <v>0.84270010666490713</v>
      </c>
      <c r="K95" s="116">
        <f t="shared" si="30"/>
        <v>437.08399999999978</v>
      </c>
      <c r="L95" s="116">
        <f t="shared" si="30"/>
        <v>39.739166666666613</v>
      </c>
      <c r="M95" s="116">
        <f t="shared" si="30"/>
        <v>476.82316666666702</v>
      </c>
    </row>
    <row r="96" spans="1:20">
      <c r="A96" s="163">
        <v>43405</v>
      </c>
      <c r="B96" s="116">
        <f>'[7]US EIA'!$R244</f>
        <v>2502</v>
      </c>
      <c r="C96" s="116">
        <f>'[4]Renewable Diesel'!$AX107</f>
        <v>558</v>
      </c>
      <c r="D96" s="116">
        <f t="shared" si="22"/>
        <v>3060</v>
      </c>
      <c r="E96" s="116">
        <f>monthly_data!F553</f>
        <v>160.273</v>
      </c>
      <c r="F96" s="116">
        <f>monthly_data!AD553</f>
        <v>40.325000000000003</v>
      </c>
      <c r="G96" s="116">
        <f t="shared" si="23"/>
        <v>200.59800000000001</v>
      </c>
      <c r="H96" s="164">
        <f t="shared" si="24"/>
        <v>0.75423074443670868</v>
      </c>
      <c r="I96" s="164">
        <f t="shared" si="28"/>
        <v>0.8508859405711644</v>
      </c>
      <c r="J96" s="164">
        <f t="shared" si="25"/>
        <v>0.77185610373181524</v>
      </c>
      <c r="K96" s="116">
        <f t="shared" si="30"/>
        <v>614.91467741935492</v>
      </c>
      <c r="L96" s="116">
        <f t="shared" si="30"/>
        <v>83.205645161290263</v>
      </c>
      <c r="M96" s="116">
        <f t="shared" si="30"/>
        <v>698.12032258064539</v>
      </c>
    </row>
    <row r="97" spans="1:20">
      <c r="A97" s="163">
        <v>43435</v>
      </c>
      <c r="B97" s="116">
        <f>'[7]US EIA'!$R245</f>
        <v>2507</v>
      </c>
      <c r="C97" s="116">
        <f>'[4]Renewable Diesel'!$AX108</f>
        <v>558</v>
      </c>
      <c r="D97" s="116">
        <f t="shared" si="22"/>
        <v>3065</v>
      </c>
      <c r="E97" s="116">
        <f>monthly_data!F554</f>
        <v>167.785</v>
      </c>
      <c r="F97" s="116">
        <f>monthly_data!AD554</f>
        <v>47.33</v>
      </c>
      <c r="G97" s="116">
        <f t="shared" si="23"/>
        <v>215.11500000000001</v>
      </c>
      <c r="H97" s="164">
        <f t="shared" si="24"/>
        <v>0.81427370030581037</v>
      </c>
      <c r="I97" s="164">
        <f t="shared" si="28"/>
        <v>1.0319862604540022</v>
      </c>
      <c r="J97" s="164">
        <f t="shared" si="25"/>
        <v>0.85390946166394777</v>
      </c>
      <c r="K97" s="116">
        <f t="shared" si="30"/>
        <v>465.6158333333334</v>
      </c>
      <c r="L97" s="116">
        <f t="shared" si="30"/>
        <v>-17.848333333333237</v>
      </c>
      <c r="M97" s="116">
        <f t="shared" si="30"/>
        <v>447.7675000000001</v>
      </c>
      <c r="N97" s="116">
        <f>B97-B85</f>
        <v>106</v>
      </c>
      <c r="O97" s="116">
        <f>C97-C85</f>
        <v>150</v>
      </c>
      <c r="P97" s="116">
        <f t="shared" ref="P97" si="34">D97-D85</f>
        <v>256</v>
      </c>
      <c r="Q97" s="116">
        <f>SUM(E86:E97)</f>
        <v>1857.318</v>
      </c>
      <c r="R97" s="116">
        <f t="shared" ref="R97:S97" si="35">SUM(F86:F97)</f>
        <v>305.48399999999998</v>
      </c>
      <c r="S97" s="116">
        <f t="shared" si="35"/>
        <v>2162.8019999999997</v>
      </c>
      <c r="T97" s="116">
        <f>S97-S85</f>
        <v>308.74999999999977</v>
      </c>
    </row>
    <row r="98" spans="1:20">
      <c r="A98" s="163">
        <v>43466</v>
      </c>
      <c r="B98" s="116">
        <f>'[7]US EIA'!$R246</f>
        <v>2564</v>
      </c>
      <c r="C98" s="116">
        <f>'[4]Renewable Diesel'!$AX109</f>
        <v>558</v>
      </c>
      <c r="D98" s="116">
        <f t="shared" si="22"/>
        <v>3122</v>
      </c>
      <c r="E98" s="116">
        <f>monthly_data!F555</f>
        <v>143.917</v>
      </c>
      <c r="F98" s="116">
        <f>monthly_data!AD555</f>
        <v>36.487000000000002</v>
      </c>
      <c r="G98" s="116">
        <f t="shared" si="23"/>
        <v>180.404</v>
      </c>
      <c r="H98" s="164">
        <f t="shared" si="24"/>
        <v>0.66088401439283373</v>
      </c>
      <c r="I98" s="164">
        <f t="shared" si="28"/>
        <v>0.76990143369175634</v>
      </c>
      <c r="J98" s="164">
        <f t="shared" si="25"/>
        <v>0.68036887024446691</v>
      </c>
      <c r="K98" s="116">
        <f t="shared" si="30"/>
        <v>869.49338709677431</v>
      </c>
      <c r="L98" s="116">
        <f t="shared" si="30"/>
        <v>128.39499999999995</v>
      </c>
      <c r="M98" s="116">
        <f t="shared" si="30"/>
        <v>997.8883870967743</v>
      </c>
      <c r="Q98" s="116">
        <f t="shared" ref="Q98:R98" si="36">Q97-Q85</f>
        <v>261.60900000000015</v>
      </c>
      <c r="R98" s="116">
        <f t="shared" si="36"/>
        <v>47.140999999999963</v>
      </c>
      <c r="S98" s="116">
        <f>S97-S85</f>
        <v>308.74999999999977</v>
      </c>
    </row>
    <row r="99" spans="1:20">
      <c r="A99" s="163">
        <v>43497</v>
      </c>
      <c r="B99" s="116">
        <f>'[7]US EIA'!$R247</f>
        <v>2563</v>
      </c>
      <c r="C99" s="116">
        <f>'[4]Renewable Diesel'!$AX110</f>
        <v>558</v>
      </c>
      <c r="D99" s="116">
        <f t="shared" si="22"/>
        <v>3121</v>
      </c>
      <c r="E99" s="116">
        <f>monthly_data!F556</f>
        <v>130.529</v>
      </c>
      <c r="F99" s="116">
        <f>monthly_data!AD556</f>
        <v>40.173999999999999</v>
      </c>
      <c r="G99" s="116">
        <f t="shared" si="23"/>
        <v>170.703</v>
      </c>
      <c r="H99" s="164">
        <f t="shared" si="24"/>
        <v>0.59963859136848197</v>
      </c>
      <c r="I99" s="164">
        <f t="shared" si="28"/>
        <v>0.84769973407330335</v>
      </c>
      <c r="J99" s="164">
        <f t="shared" si="25"/>
        <v>0.64398915773480381</v>
      </c>
      <c r="K99" s="116">
        <f t="shared" si="30"/>
        <v>1026.1262903225806</v>
      </c>
      <c r="L99" s="116">
        <f t="shared" si="30"/>
        <v>84.983548387096732</v>
      </c>
      <c r="M99" s="116">
        <f t="shared" si="30"/>
        <v>1111.1098387096772</v>
      </c>
    </row>
    <row r="100" spans="1:20">
      <c r="A100" s="163">
        <v>43525</v>
      </c>
      <c r="B100" s="116">
        <f>'[7]US EIA'!$R248</f>
        <v>2563</v>
      </c>
      <c r="C100" s="116">
        <f>'[4]Renewable Diesel'!$AX111</f>
        <v>558</v>
      </c>
      <c r="D100" s="116">
        <f t="shared" si="22"/>
        <v>3121</v>
      </c>
      <c r="E100" s="116">
        <f>monthly_data!F557</f>
        <v>140.82499999999999</v>
      </c>
      <c r="F100" s="116">
        <f>monthly_data!AD557</f>
        <v>35.74</v>
      </c>
      <c r="G100" s="116">
        <f t="shared" si="23"/>
        <v>176.565</v>
      </c>
      <c r="H100" s="164">
        <f t="shared" si="24"/>
        <v>0.71625222953012646</v>
      </c>
      <c r="I100" s="164">
        <f t="shared" si="28"/>
        <v>0.83493983614951361</v>
      </c>
      <c r="J100" s="164">
        <f t="shared" si="25"/>
        <v>0.73747225019453477</v>
      </c>
      <c r="K100" s="116">
        <f t="shared" si="30"/>
        <v>727.24553571428589</v>
      </c>
      <c r="L100" s="116">
        <f t="shared" si="30"/>
        <v>92.103571428571399</v>
      </c>
      <c r="M100" s="116">
        <f t="shared" si="30"/>
        <v>819.34910714285695</v>
      </c>
    </row>
    <row r="101" spans="1:20">
      <c r="A101" s="163">
        <v>43556</v>
      </c>
      <c r="B101" s="116">
        <f>'[7]US EIA'!$R249</f>
        <v>2563</v>
      </c>
      <c r="C101" s="116">
        <f>'[4]Renewable Diesel'!$AX112</f>
        <v>558</v>
      </c>
      <c r="D101" s="116">
        <f t="shared" si="22"/>
        <v>3121</v>
      </c>
      <c r="E101" s="116">
        <f>monthly_data!F558</f>
        <v>152.149</v>
      </c>
      <c r="F101" s="116">
        <f>monthly_data!AD558</f>
        <v>38.557000000000002</v>
      </c>
      <c r="G101" s="116">
        <f t="shared" si="23"/>
        <v>190.70600000000002</v>
      </c>
      <c r="H101" s="164">
        <f t="shared" si="24"/>
        <v>0.69895894428152494</v>
      </c>
      <c r="I101" s="164">
        <f t="shared" si="28"/>
        <v>0.81357989362932148</v>
      </c>
      <c r="J101" s="164">
        <f t="shared" si="25"/>
        <v>0.71945189197010895</v>
      </c>
      <c r="K101" s="116">
        <f t="shared" si="30"/>
        <v>771.56822580645155</v>
      </c>
      <c r="L101" s="116">
        <f t="shared" si="30"/>
        <v>104.02241935483862</v>
      </c>
      <c r="M101" s="116">
        <f t="shared" si="30"/>
        <v>875.59064516129001</v>
      </c>
    </row>
    <row r="102" spans="1:20">
      <c r="A102" s="163">
        <v>43586</v>
      </c>
      <c r="B102" s="116">
        <f>'[7]US EIA'!$R250</f>
        <v>2553</v>
      </c>
      <c r="C102" s="116">
        <f>'[4]Renewable Diesel'!$AX113</f>
        <v>558</v>
      </c>
      <c r="D102" s="116">
        <f t="shared" si="22"/>
        <v>3111</v>
      </c>
      <c r="E102" s="116">
        <f>monthly_data!F559</f>
        <v>154.59</v>
      </c>
      <c r="F102" s="116">
        <f>monthly_data!AD559</f>
        <v>40.383000000000003</v>
      </c>
      <c r="G102" s="116">
        <f t="shared" si="23"/>
        <v>194.97300000000001</v>
      </c>
      <c r="H102" s="164">
        <f t="shared" si="24"/>
        <v>0.73671954563258923</v>
      </c>
      <c r="I102" s="164">
        <f t="shared" si="28"/>
        <v>0.8805134408602151</v>
      </c>
      <c r="J102" s="164">
        <f t="shared" si="25"/>
        <v>0.76251092896174866</v>
      </c>
      <c r="K102" s="116">
        <f t="shared" si="30"/>
        <v>672.15499999999963</v>
      </c>
      <c r="L102" s="116">
        <f t="shared" si="30"/>
        <v>66.673499999999976</v>
      </c>
      <c r="M102" s="116">
        <f t="shared" si="30"/>
        <v>738.82849999999996</v>
      </c>
    </row>
    <row r="103" spans="1:20">
      <c r="A103" s="163">
        <v>43617</v>
      </c>
      <c r="B103" s="116">
        <f>'[7]US EIA'!$R251</f>
        <v>2504</v>
      </c>
      <c r="C103" s="116">
        <f>'[4]Renewable Diesel'!$AX114</f>
        <v>558</v>
      </c>
      <c r="D103" s="116">
        <f t="shared" si="22"/>
        <v>3062</v>
      </c>
      <c r="E103" s="116">
        <f>monthly_data!F560</f>
        <v>141.553</v>
      </c>
      <c r="F103" s="116">
        <f>monthly_data!AD560</f>
        <v>39.761000000000003</v>
      </c>
      <c r="G103" s="116">
        <f t="shared" si="23"/>
        <v>181.31399999999999</v>
      </c>
      <c r="H103" s="164">
        <f t="shared" si="24"/>
        <v>0.66560400133979192</v>
      </c>
      <c r="I103" s="164">
        <f t="shared" si="28"/>
        <v>0.83898514279107406</v>
      </c>
      <c r="J103" s="164">
        <f t="shared" si="25"/>
        <v>0.69719991150628935</v>
      </c>
      <c r="K103" s="116">
        <f t="shared" si="30"/>
        <v>837.32758064516099</v>
      </c>
      <c r="L103" s="116">
        <f t="shared" si="30"/>
        <v>89.846290322580671</v>
      </c>
      <c r="M103" s="116">
        <f t="shared" si="30"/>
        <v>927.173870967742</v>
      </c>
    </row>
    <row r="104" spans="1:20">
      <c r="A104" s="163">
        <v>43647</v>
      </c>
      <c r="B104" s="116">
        <f>'[7]US EIA'!$R252</f>
        <v>2561</v>
      </c>
      <c r="C104" s="116">
        <f>'[4]Renewable Diesel'!$AX115</f>
        <v>558</v>
      </c>
      <c r="D104" s="116">
        <f t="shared" si="22"/>
        <v>3119</v>
      </c>
      <c r="E104" s="116">
        <f>monthly_data!F561</f>
        <v>158.61000000000001</v>
      </c>
      <c r="F104" s="116">
        <f>monthly_data!AD561</f>
        <v>46.281999999999996</v>
      </c>
      <c r="G104" s="116">
        <f t="shared" si="23"/>
        <v>204.892</v>
      </c>
      <c r="H104" s="164">
        <f t="shared" si="24"/>
        <v>0.75351620460757529</v>
      </c>
      <c r="I104" s="164">
        <f t="shared" si="28"/>
        <v>1.0091356033452807</v>
      </c>
      <c r="J104" s="164">
        <f t="shared" si="25"/>
        <v>0.79924740835737951</v>
      </c>
      <c r="K104" s="116">
        <f t="shared" si="30"/>
        <v>631.24499999999966</v>
      </c>
      <c r="L104" s="116">
        <f t="shared" si="30"/>
        <v>-5.0976666666666528</v>
      </c>
      <c r="M104" s="116">
        <f t="shared" si="30"/>
        <v>626.14733333333334</v>
      </c>
    </row>
    <row r="105" spans="1:20">
      <c r="A105" s="163">
        <v>43678</v>
      </c>
      <c r="B105" s="116">
        <f>'[7]US EIA'!$R253</f>
        <v>2561</v>
      </c>
      <c r="C105" s="116">
        <f>'[4]Renewable Diesel'!$AX116</f>
        <v>558</v>
      </c>
      <c r="D105" s="116">
        <f t="shared" si="22"/>
        <v>3119</v>
      </c>
      <c r="E105" s="116">
        <f>monthly_data!F562</f>
        <v>155.898</v>
      </c>
      <c r="F105" s="116">
        <f>monthly_data!AD562</f>
        <v>30.18</v>
      </c>
      <c r="G105" s="116">
        <f t="shared" si="23"/>
        <v>186.078</v>
      </c>
      <c r="H105" s="164">
        <f t="shared" si="24"/>
        <v>0.7167408144500006</v>
      </c>
      <c r="I105" s="164">
        <f t="shared" si="28"/>
        <v>0.63681928546652788</v>
      </c>
      <c r="J105" s="164">
        <f t="shared" si="25"/>
        <v>0.70244257361230333</v>
      </c>
      <c r="K105" s="116">
        <f t="shared" si="30"/>
        <v>725.42677419354845</v>
      </c>
      <c r="L105" s="116">
        <f t="shared" si="30"/>
        <v>202.65483870967745</v>
      </c>
      <c r="M105" s="116">
        <f t="shared" si="30"/>
        <v>928.08161290322585</v>
      </c>
    </row>
    <row r="106" spans="1:20">
      <c r="A106" s="163">
        <v>43709</v>
      </c>
      <c r="B106" s="116">
        <f>'[7]US EIA'!$R254</f>
        <v>2547</v>
      </c>
      <c r="C106" s="116">
        <f>'[4]Renewable Diesel'!$AX117</f>
        <v>558</v>
      </c>
      <c r="D106" s="116">
        <f t="shared" si="22"/>
        <v>3105</v>
      </c>
      <c r="E106" s="116">
        <f>monthly_data!F563</f>
        <v>141.846</v>
      </c>
      <c r="F106" s="116">
        <f>monthly_data!AD563</f>
        <v>40.692</v>
      </c>
      <c r="G106" s="116">
        <f t="shared" si="23"/>
        <v>182.53800000000001</v>
      </c>
      <c r="H106" s="164">
        <f t="shared" si="24"/>
        <v>0.65572134199627641</v>
      </c>
      <c r="I106" s="164">
        <f t="shared" si="28"/>
        <v>0.85862989941033641</v>
      </c>
      <c r="J106" s="164">
        <f t="shared" si="25"/>
        <v>0.69218606825619444</v>
      </c>
      <c r="K106" s="116">
        <f t="shared" si="30"/>
        <v>876.87774193548398</v>
      </c>
      <c r="L106" s="116">
        <f t="shared" si="30"/>
        <v>78.884516129032292</v>
      </c>
      <c r="M106" s="116">
        <f t="shared" si="30"/>
        <v>955.76225806451623</v>
      </c>
    </row>
    <row r="107" spans="1:20">
      <c r="A107" s="163">
        <v>43739</v>
      </c>
      <c r="B107" s="116">
        <f>'[7]US EIA'!$R255</f>
        <v>2515</v>
      </c>
      <c r="C107" s="116">
        <f>'[4]Renewable Diesel'!$AX118</f>
        <v>558</v>
      </c>
      <c r="D107" s="116">
        <f t="shared" si="22"/>
        <v>3073</v>
      </c>
      <c r="E107" s="116">
        <f>monthly_data!F564</f>
        <v>144.31399999999999</v>
      </c>
      <c r="F107" s="116">
        <f>monthly_data!AD564</f>
        <v>48.569000000000003</v>
      </c>
      <c r="G107" s="116">
        <f t="shared" si="23"/>
        <v>192.88299999999998</v>
      </c>
      <c r="H107" s="164">
        <f t="shared" si="24"/>
        <v>0.69813929754804505</v>
      </c>
      <c r="I107" s="164">
        <f t="shared" si="28"/>
        <v>1.0590014934289127</v>
      </c>
      <c r="J107" s="164">
        <f t="shared" si="25"/>
        <v>0.76366520229959867</v>
      </c>
      <c r="K107" s="116">
        <f t="shared" si="30"/>
        <v>759.17966666666666</v>
      </c>
      <c r="L107" s="116">
        <f t="shared" si="30"/>
        <v>-32.922833333333287</v>
      </c>
      <c r="M107" s="116">
        <f t="shared" si="30"/>
        <v>726.25683333333325</v>
      </c>
    </row>
    <row r="108" spans="1:20">
      <c r="A108" s="163">
        <v>43770</v>
      </c>
      <c r="B108" s="116">
        <f>'[7]US EIA'!$R256</f>
        <v>2510</v>
      </c>
      <c r="C108" s="116">
        <f>'[4]Renewable Diesel'!$AX119</f>
        <v>558</v>
      </c>
      <c r="D108" s="116">
        <f t="shared" si="22"/>
        <v>3068</v>
      </c>
      <c r="E108" s="116">
        <f>monthly_data!F565</f>
        <v>127.42400000000001</v>
      </c>
      <c r="F108" s="116">
        <f>monthly_data!AD565</f>
        <v>42.389000000000003</v>
      </c>
      <c r="G108" s="116">
        <f t="shared" si="23"/>
        <v>169.81300000000002</v>
      </c>
      <c r="H108" s="164">
        <f t="shared" si="24"/>
        <v>0.5977349955018636</v>
      </c>
      <c r="I108" s="164">
        <f t="shared" si="28"/>
        <v>0.89443779627702624</v>
      </c>
      <c r="J108" s="164">
        <f t="shared" si="25"/>
        <v>0.65169854270934102</v>
      </c>
      <c r="K108" s="116">
        <f t="shared" si="30"/>
        <v>1009.6851612903224</v>
      </c>
      <c r="L108" s="116">
        <f t="shared" si="30"/>
        <v>58.903709677419357</v>
      </c>
      <c r="M108" s="116">
        <f t="shared" si="30"/>
        <v>1068.5888709677417</v>
      </c>
    </row>
    <row r="109" spans="1:20">
      <c r="A109" s="163">
        <v>43800</v>
      </c>
      <c r="B109" s="116">
        <f>'[7]US EIA'!$R257</f>
        <v>2513</v>
      </c>
      <c r="C109" s="116">
        <f>'[4]Renewable Diesel'!$AX120</f>
        <v>558</v>
      </c>
      <c r="D109" s="116">
        <f t="shared" si="22"/>
        <v>3071</v>
      </c>
      <c r="E109" s="116">
        <f>monthly_data!F566</f>
        <v>132.85</v>
      </c>
      <c r="F109" s="116">
        <f>monthly_data!AD566</f>
        <v>52.795999999999999</v>
      </c>
      <c r="G109" s="116">
        <f t="shared" si="23"/>
        <v>185.64599999999999</v>
      </c>
      <c r="H109" s="164">
        <f t="shared" si="24"/>
        <v>0.64319206791351635</v>
      </c>
      <c r="I109" s="164">
        <f t="shared" si="28"/>
        <v>1.1511672640382318</v>
      </c>
      <c r="J109" s="164">
        <f t="shared" si="25"/>
        <v>0.73549104526212949</v>
      </c>
      <c r="K109" s="116">
        <f t="shared" si="30"/>
        <v>896.65833333333342</v>
      </c>
      <c r="L109" s="116">
        <f t="shared" si="30"/>
        <v>-84.351333333333329</v>
      </c>
      <c r="M109" s="116">
        <f t="shared" si="30"/>
        <v>812.30700000000036</v>
      </c>
      <c r="N109" s="116">
        <f>B109-B97</f>
        <v>6</v>
      </c>
      <c r="O109" s="116">
        <f>C109-C97</f>
        <v>0</v>
      </c>
      <c r="P109" s="116">
        <f t="shared" ref="P109" si="37">D109-D97</f>
        <v>6</v>
      </c>
      <c r="Q109" s="116">
        <f>SUM(E98:E109)</f>
        <v>1724.5050000000001</v>
      </c>
      <c r="R109" s="116">
        <f t="shared" ref="R109:S109" si="38">SUM(F98:F109)</f>
        <v>492.01000000000005</v>
      </c>
      <c r="S109" s="116">
        <f t="shared" si="38"/>
        <v>2216.5150000000003</v>
      </c>
      <c r="T109" s="116">
        <f>S109-S97</f>
        <v>53.713000000000648</v>
      </c>
    </row>
    <row r="110" spans="1:20">
      <c r="A110" s="163">
        <v>43831</v>
      </c>
      <c r="B110" s="116">
        <f>'[7]US EIA'!$R258</f>
        <v>2515</v>
      </c>
      <c r="C110" s="116">
        <f>'[4]Renewable Diesel'!$AX121</f>
        <v>558</v>
      </c>
      <c r="D110" s="116">
        <f t="shared" si="22"/>
        <v>3073</v>
      </c>
      <c r="E110" s="116">
        <f>monthly_data!F567</f>
        <v>134.233</v>
      </c>
      <c r="F110" s="116">
        <f>monthly_data!AD567</f>
        <v>41.856999999999999</v>
      </c>
      <c r="G110" s="116">
        <f t="shared" si="23"/>
        <v>176.09</v>
      </c>
      <c r="H110" s="164">
        <f t="shared" si="24"/>
        <v>0.62842358750721483</v>
      </c>
      <c r="I110" s="164">
        <f t="shared" si="28"/>
        <v>0.88321222106601915</v>
      </c>
      <c r="J110" s="164">
        <f t="shared" si="25"/>
        <v>0.67468849395882979</v>
      </c>
      <c r="K110" s="116">
        <f t="shared" si="30"/>
        <v>934.51467741935471</v>
      </c>
      <c r="L110" s="116">
        <f t="shared" si="30"/>
        <v>65.167580645161308</v>
      </c>
      <c r="M110" s="116">
        <f t="shared" si="30"/>
        <v>999.68225806451608</v>
      </c>
      <c r="Q110" s="116">
        <f t="shared" ref="Q110:R110" si="39">Q109-Q97</f>
        <v>-132.81299999999987</v>
      </c>
      <c r="R110" s="116">
        <f t="shared" si="39"/>
        <v>186.52600000000007</v>
      </c>
      <c r="S110" s="116">
        <f>S109-S97</f>
        <v>53.713000000000648</v>
      </c>
    </row>
    <row r="111" spans="1:20">
      <c r="A111" s="163">
        <v>43862</v>
      </c>
      <c r="B111" s="116">
        <f>'[7]US EIA'!$R259</f>
        <v>2515</v>
      </c>
      <c r="C111" s="116">
        <f>'[4]Renewable Diesel'!$AX122</f>
        <v>558</v>
      </c>
      <c r="D111" s="116">
        <f t="shared" si="22"/>
        <v>3073</v>
      </c>
      <c r="E111" s="116">
        <f>monthly_data!F568</f>
        <v>131.82900000000001</v>
      </c>
      <c r="F111" s="116">
        <f>monthly_data!AD568</f>
        <v>37.301000000000002</v>
      </c>
      <c r="G111" s="116">
        <f t="shared" si="23"/>
        <v>169.13</v>
      </c>
      <c r="H111" s="164">
        <f t="shared" si="24"/>
        <v>0.61716905021483992</v>
      </c>
      <c r="I111" s="164">
        <f t="shared" si="28"/>
        <v>0.78707740779280844</v>
      </c>
      <c r="J111" s="164">
        <f t="shared" si="25"/>
        <v>0.64802126743856481</v>
      </c>
      <c r="K111" s="116">
        <f t="shared" si="30"/>
        <v>962.81983870967758</v>
      </c>
      <c r="L111" s="116">
        <f t="shared" si="30"/>
        <v>118.81080645161289</v>
      </c>
      <c r="M111" s="116">
        <f t="shared" si="30"/>
        <v>1081.6306451612904</v>
      </c>
    </row>
    <row r="112" spans="1:20">
      <c r="A112" s="163">
        <v>43891</v>
      </c>
      <c r="B112" s="116">
        <f>'[7]US EIA'!$R260</f>
        <v>2514</v>
      </c>
      <c r="C112" s="116">
        <f>'[4]Renewable Diesel'!$AX123</f>
        <v>558</v>
      </c>
      <c r="D112" s="116">
        <f t="shared" si="22"/>
        <v>3072</v>
      </c>
      <c r="E112" s="116">
        <f>monthly_data!F569</f>
        <v>150.94499999999999</v>
      </c>
      <c r="F112" s="116">
        <f>monthly_data!AD569</f>
        <v>45.226999999999997</v>
      </c>
      <c r="G112" s="116">
        <f t="shared" si="23"/>
        <v>196.172</v>
      </c>
      <c r="H112" s="164">
        <f t="shared" si="24"/>
        <v>0.75569809069212412</v>
      </c>
      <c r="I112" s="164">
        <f t="shared" si="28"/>
        <v>1.0201368804844888</v>
      </c>
      <c r="J112" s="164">
        <f t="shared" si="25"/>
        <v>0.80373091774425287</v>
      </c>
      <c r="K112" s="116">
        <f t="shared" si="30"/>
        <v>614.17499999999995</v>
      </c>
      <c r="L112" s="116">
        <f t="shared" si="30"/>
        <v>-11.236379310344754</v>
      </c>
      <c r="M112" s="116">
        <f t="shared" si="30"/>
        <v>602.93862068965518</v>
      </c>
    </row>
    <row r="113" spans="1:20">
      <c r="A113" s="163">
        <v>43922</v>
      </c>
      <c r="B113" s="116">
        <f>'[7]US EIA'!$R261</f>
        <v>2514</v>
      </c>
      <c r="C113" s="116">
        <f>'[4]Renewable Diesel'!$AX124</f>
        <v>558</v>
      </c>
      <c r="D113" s="116">
        <f t="shared" si="22"/>
        <v>3072</v>
      </c>
      <c r="E113" s="116">
        <f>monthly_data!F570</f>
        <v>143.72900000000001</v>
      </c>
      <c r="F113" s="116">
        <f>monthly_data!AD570</f>
        <v>38.639000000000003</v>
      </c>
      <c r="G113" s="116">
        <f t="shared" si="23"/>
        <v>182.36800000000002</v>
      </c>
      <c r="H113" s="164">
        <f t="shared" si="24"/>
        <v>0.67314759925064815</v>
      </c>
      <c r="I113" s="164">
        <f t="shared" si="28"/>
        <v>0.81531015146259678</v>
      </c>
      <c r="J113" s="164">
        <f t="shared" si="25"/>
        <v>0.69897009408602162</v>
      </c>
      <c r="K113" s="116">
        <f t="shared" si="30"/>
        <v>821.70693548387055</v>
      </c>
      <c r="L113" s="116">
        <f t="shared" si="30"/>
        <v>103.056935483871</v>
      </c>
      <c r="M113" s="116">
        <f t="shared" si="30"/>
        <v>924.76387096774158</v>
      </c>
    </row>
    <row r="114" spans="1:20">
      <c r="A114" s="163">
        <v>43952</v>
      </c>
      <c r="B114" s="116">
        <f>'[7]US EIA'!$R262</f>
        <v>2514</v>
      </c>
      <c r="C114" s="116">
        <f>'[4]Renewable Diesel'!$AX125</f>
        <v>558</v>
      </c>
      <c r="D114" s="116">
        <f t="shared" si="22"/>
        <v>3072</v>
      </c>
      <c r="E114" s="116">
        <f>monthly_data!F571</f>
        <v>152.47999999999999</v>
      </c>
      <c r="F114" s="116">
        <f>monthly_data!AD571</f>
        <v>46.420999999999999</v>
      </c>
      <c r="G114" s="116">
        <f t="shared" si="23"/>
        <v>198.90099999999998</v>
      </c>
      <c r="H114" s="164">
        <f t="shared" si="24"/>
        <v>0.73793688676743563</v>
      </c>
      <c r="I114" s="164">
        <f t="shared" si="28"/>
        <v>1.0121663679808841</v>
      </c>
      <c r="J114" s="164">
        <f t="shared" si="25"/>
        <v>0.78774810112847204</v>
      </c>
      <c r="K114" s="116">
        <f t="shared" si="30"/>
        <v>658.82666666666682</v>
      </c>
      <c r="L114" s="116">
        <f t="shared" si="30"/>
        <v>-6.7888333333333319</v>
      </c>
      <c r="M114" s="116">
        <f t="shared" si="30"/>
        <v>652.03783333333388</v>
      </c>
    </row>
    <row r="115" spans="1:20">
      <c r="A115" s="163">
        <v>43983</v>
      </c>
      <c r="B115" s="116">
        <f>'[7]US EIA'!$R263</f>
        <v>2514</v>
      </c>
      <c r="C115" s="116">
        <f>'[4]Renewable Diesel'!$AX126</f>
        <v>558</v>
      </c>
      <c r="D115" s="116">
        <f t="shared" si="22"/>
        <v>3072</v>
      </c>
      <c r="E115" s="116">
        <f>monthly_data!F572</f>
        <v>150.80000000000001</v>
      </c>
      <c r="F115" s="116">
        <f>monthly_data!AD572</f>
        <v>53.207999999999998</v>
      </c>
      <c r="G115" s="116">
        <f t="shared" si="23"/>
        <v>204.00800000000001</v>
      </c>
      <c r="H115" s="164">
        <f t="shared" si="24"/>
        <v>0.70626427489927379</v>
      </c>
      <c r="I115" s="164">
        <f t="shared" si="28"/>
        <v>1.1227263267429759</v>
      </c>
      <c r="J115" s="164">
        <f t="shared" si="25"/>
        <v>0.78191070228494619</v>
      </c>
      <c r="K115" s="116">
        <f t="shared" si="30"/>
        <v>738.45161290322574</v>
      </c>
      <c r="L115" s="116">
        <f t="shared" si="30"/>
        <v>-68.481290322580548</v>
      </c>
      <c r="M115" s="116">
        <f t="shared" si="30"/>
        <v>669.9703225806453</v>
      </c>
    </row>
    <row r="116" spans="1:20">
      <c r="A116" s="163">
        <v>44013</v>
      </c>
      <c r="B116" s="116">
        <f>'[7]US EIA'!$R264</f>
        <v>2509</v>
      </c>
      <c r="C116" s="116">
        <f>'[4]Renewable Diesel'!$AX127</f>
        <v>618</v>
      </c>
      <c r="D116" s="116">
        <f t="shared" si="22"/>
        <v>3127</v>
      </c>
      <c r="E116" s="116">
        <f>monthly_data!F573</f>
        <v>161.66900000000001</v>
      </c>
      <c r="F116" s="116">
        <f>monthly_data!AD573</f>
        <v>46.683999999999997</v>
      </c>
      <c r="G116" s="116">
        <f t="shared" si="23"/>
        <v>208.35300000000001</v>
      </c>
      <c r="H116" s="164">
        <f t="shared" si="24"/>
        <v>0.78396685266374377</v>
      </c>
      <c r="I116" s="164">
        <f t="shared" si="28"/>
        <v>0.91907551240560947</v>
      </c>
      <c r="J116" s="164">
        <f t="shared" si="25"/>
        <v>0.81066885193476168</v>
      </c>
      <c r="K116" s="116">
        <f t="shared" si="30"/>
        <v>542.02716666666686</v>
      </c>
      <c r="L116" s="116">
        <f t="shared" si="30"/>
        <v>50.011333333333347</v>
      </c>
      <c r="M116" s="116">
        <f t="shared" si="30"/>
        <v>592.03850000000023</v>
      </c>
    </row>
    <row r="117" spans="1:20">
      <c r="A117" s="163">
        <v>44044</v>
      </c>
      <c r="B117" s="116">
        <f>'[7]US EIA'!$R265</f>
        <v>2459</v>
      </c>
      <c r="C117" s="116">
        <f>'[4]Renewable Diesel'!$AX128</f>
        <v>678</v>
      </c>
      <c r="D117" s="116">
        <f t="shared" si="22"/>
        <v>3137</v>
      </c>
      <c r="E117" s="116">
        <f>monthly_data!F574</f>
        <v>162.60900000000001</v>
      </c>
      <c r="F117" s="116">
        <f>monthly_data!AD574</f>
        <v>43.953000000000003</v>
      </c>
      <c r="G117" s="116">
        <f t="shared" si="23"/>
        <v>206.56200000000001</v>
      </c>
      <c r="H117" s="164">
        <f t="shared" si="24"/>
        <v>0.77860505844232508</v>
      </c>
      <c r="I117" s="164">
        <f t="shared" si="28"/>
        <v>0.76329075078504138</v>
      </c>
      <c r="J117" s="164">
        <f t="shared" si="25"/>
        <v>0.77529517620080834</v>
      </c>
      <c r="K117" s="116">
        <f t="shared" si="30"/>
        <v>544.41016129032266</v>
      </c>
      <c r="L117" s="116">
        <f t="shared" si="30"/>
        <v>160.48887096774195</v>
      </c>
      <c r="M117" s="116">
        <f t="shared" si="30"/>
        <v>704.89903225806427</v>
      </c>
    </row>
    <row r="118" spans="1:20">
      <c r="A118" s="163">
        <v>44075</v>
      </c>
      <c r="B118" s="116">
        <f>'[7]US EIA'!$R266</f>
        <v>2460</v>
      </c>
      <c r="C118" s="116">
        <f>'[4]Renewable Diesel'!$AX129</f>
        <v>738</v>
      </c>
      <c r="D118" s="116">
        <f t="shared" si="22"/>
        <v>3198</v>
      </c>
      <c r="E118" s="116">
        <f>monthly_data!F575</f>
        <v>159.161</v>
      </c>
      <c r="F118" s="116">
        <f>monthly_data!AD575</f>
        <v>48.113</v>
      </c>
      <c r="G118" s="116">
        <f t="shared" si="23"/>
        <v>207.274</v>
      </c>
      <c r="H118" s="164">
        <f t="shared" si="24"/>
        <v>0.76178553632310508</v>
      </c>
      <c r="I118" s="164">
        <f t="shared" si="28"/>
        <v>0.76760403007255884</v>
      </c>
      <c r="J118" s="164">
        <f t="shared" si="25"/>
        <v>0.7631282656499021</v>
      </c>
      <c r="K118" s="116">
        <f t="shared" si="30"/>
        <v>586.00758064516151</v>
      </c>
      <c r="L118" s="116">
        <f t="shared" si="30"/>
        <v>171.50822580645158</v>
      </c>
      <c r="M118" s="116">
        <f t="shared" si="30"/>
        <v>757.51580645161312</v>
      </c>
    </row>
    <row r="119" spans="1:20">
      <c r="A119" s="163">
        <v>44105</v>
      </c>
      <c r="B119" s="116">
        <f>'[7]US EIA'!$R267</f>
        <v>2454</v>
      </c>
      <c r="C119" s="116">
        <f>'[4]Renewable Diesel'!$AX130</f>
        <v>738</v>
      </c>
      <c r="D119" s="116">
        <f t="shared" si="22"/>
        <v>3192</v>
      </c>
      <c r="E119" s="116">
        <f>monthly_data!F576</f>
        <v>157.203</v>
      </c>
      <c r="F119" s="116">
        <f>monthly_data!AD576</f>
        <v>25.23</v>
      </c>
      <c r="G119" s="116">
        <f t="shared" si="23"/>
        <v>182.43299999999999</v>
      </c>
      <c r="H119" s="164">
        <f t="shared" si="24"/>
        <v>0.77939547677261611</v>
      </c>
      <c r="I119" s="164">
        <f t="shared" si="28"/>
        <v>0.41594173441734417</v>
      </c>
      <c r="J119" s="164">
        <f t="shared" si="25"/>
        <v>0.69536387844611536</v>
      </c>
      <c r="K119" s="116">
        <f t="shared" si="30"/>
        <v>541.36350000000004</v>
      </c>
      <c r="L119" s="116">
        <f t="shared" si="30"/>
        <v>431.03500000000003</v>
      </c>
      <c r="M119" s="116">
        <f t="shared" si="30"/>
        <v>972.39849999999979</v>
      </c>
    </row>
    <row r="120" spans="1:20">
      <c r="A120" s="163">
        <v>44136</v>
      </c>
      <c r="B120" s="116">
        <f>'[7]US EIA'!$R268</f>
        <v>2451</v>
      </c>
      <c r="C120" s="116">
        <f>'[4]Renewable Diesel'!$AX131</f>
        <v>738</v>
      </c>
      <c r="D120" s="116">
        <f t="shared" si="22"/>
        <v>3189</v>
      </c>
      <c r="E120" s="116">
        <f>monthly_data!F577</f>
        <v>152.06700000000001</v>
      </c>
      <c r="F120" s="116">
        <f>monthly_data!AD577</f>
        <v>49.054000000000002</v>
      </c>
      <c r="G120" s="116">
        <f t="shared" si="23"/>
        <v>201.12100000000001</v>
      </c>
      <c r="H120" s="164">
        <f t="shared" si="24"/>
        <v>0.73050440241639358</v>
      </c>
      <c r="I120" s="164">
        <f t="shared" si="28"/>
        <v>0.78261692455634235</v>
      </c>
      <c r="J120" s="164">
        <f t="shared" si="25"/>
        <v>0.74256430876298563</v>
      </c>
      <c r="K120" s="116">
        <f t="shared" si="30"/>
        <v>660.53370967741932</v>
      </c>
      <c r="L120" s="116">
        <f t="shared" si="30"/>
        <v>160.42870967741933</v>
      </c>
      <c r="M120" s="116">
        <f t="shared" si="30"/>
        <v>820.96241935483886</v>
      </c>
    </row>
    <row r="121" spans="1:20">
      <c r="A121" s="163">
        <v>44166</v>
      </c>
      <c r="B121" s="116">
        <f>'[7]US EIA'!$R269</f>
        <v>2476</v>
      </c>
      <c r="C121" s="116">
        <f>'[4]Renewable Diesel'!$AX132</f>
        <v>738</v>
      </c>
      <c r="D121" s="116">
        <f t="shared" si="22"/>
        <v>3214</v>
      </c>
      <c r="E121" s="116">
        <f>monthly_data!F578</f>
        <v>157.97399999999999</v>
      </c>
      <c r="F121" s="116">
        <f>monthly_data!AD578</f>
        <v>57.808</v>
      </c>
      <c r="G121" s="116">
        <f t="shared" si="23"/>
        <v>215.78199999999998</v>
      </c>
      <c r="H121" s="164">
        <f t="shared" si="24"/>
        <v>0.77625888529886911</v>
      </c>
      <c r="I121" s="164">
        <f t="shared" si="28"/>
        <v>0.95302258355916902</v>
      </c>
      <c r="J121" s="164">
        <f t="shared" si="25"/>
        <v>0.81684743829081097</v>
      </c>
      <c r="K121" s="116">
        <f t="shared" si="30"/>
        <v>553.98300000000006</v>
      </c>
      <c r="L121" s="116">
        <f t="shared" si="30"/>
        <v>34.669333333333263</v>
      </c>
      <c r="M121" s="116">
        <f t="shared" si="30"/>
        <v>588.65233333333356</v>
      </c>
      <c r="N121" s="116">
        <f>B121-B109</f>
        <v>-37</v>
      </c>
      <c r="O121" s="116">
        <f>C121-C109</f>
        <v>180</v>
      </c>
      <c r="P121" s="116">
        <f t="shared" ref="P121" si="40">D121-D109</f>
        <v>143</v>
      </c>
      <c r="Q121" s="116">
        <f>SUM(E110:E121)</f>
        <v>1814.6990000000001</v>
      </c>
      <c r="R121" s="116">
        <f t="shared" ref="R121:S121" si="41">SUM(F110:F121)</f>
        <v>533.495</v>
      </c>
      <c r="S121" s="116">
        <f t="shared" si="41"/>
        <v>2348.1940000000004</v>
      </c>
      <c r="T121" s="116">
        <f>S121-S109</f>
        <v>131.67900000000009</v>
      </c>
    </row>
    <row r="122" spans="1:20">
      <c r="A122" s="163">
        <v>44197</v>
      </c>
      <c r="B122" s="116">
        <f>'[7]US EIA'!$R270</f>
        <v>2394</v>
      </c>
      <c r="C122" s="116">
        <f>'[4]Renewable Diesel'!$AX133</f>
        <v>791</v>
      </c>
      <c r="D122" s="116">
        <f t="shared" si="22"/>
        <v>3185</v>
      </c>
      <c r="E122" s="116">
        <f>monthly_data!F579</f>
        <v>140.79400000000001</v>
      </c>
      <c r="F122" s="116">
        <f>monthly_data!AD579</f>
        <v>59.445</v>
      </c>
      <c r="G122" s="116">
        <f t="shared" si="23"/>
        <v>200.239</v>
      </c>
      <c r="H122" s="164">
        <f t="shared" si="24"/>
        <v>0.69245438865982167</v>
      </c>
      <c r="I122" s="164">
        <f t="shared" si="28"/>
        <v>0.88485074018188492</v>
      </c>
      <c r="J122" s="164">
        <f t="shared" si="25"/>
        <v>0.74023633969716918</v>
      </c>
      <c r="K122" s="116">
        <f t="shared" si="30"/>
        <v>736.26419354838697</v>
      </c>
      <c r="L122" s="116">
        <f t="shared" si="30"/>
        <v>91.083064516129028</v>
      </c>
      <c r="M122" s="116">
        <f t="shared" si="30"/>
        <v>827.34725806451615</v>
      </c>
      <c r="Q122" s="116">
        <f t="shared" ref="Q122:R122" si="42">Q121-Q109</f>
        <v>90.19399999999996</v>
      </c>
      <c r="R122" s="116">
        <f t="shared" si="42"/>
        <v>41.484999999999957</v>
      </c>
      <c r="S122" s="116">
        <f>S121-S109</f>
        <v>131.67900000000009</v>
      </c>
    </row>
    <row r="123" spans="1:20">
      <c r="A123" s="163">
        <v>44228</v>
      </c>
      <c r="B123" s="116">
        <f>'[7]US EIA'!$R271</f>
        <v>2394</v>
      </c>
      <c r="C123" s="116">
        <f>'[4]Renewable Diesel'!$AX134</f>
        <v>791</v>
      </c>
      <c r="D123" s="116">
        <f t="shared" si="22"/>
        <v>3185</v>
      </c>
      <c r="E123" s="116">
        <f>monthly_data!F580</f>
        <v>108.27</v>
      </c>
      <c r="F123" s="116">
        <f>monthly_data!AD580</f>
        <v>53.276000000000003</v>
      </c>
      <c r="G123" s="116">
        <f t="shared" si="23"/>
        <v>161.54599999999999</v>
      </c>
      <c r="H123" s="164">
        <f t="shared" si="24"/>
        <v>0.53249454280863451</v>
      </c>
      <c r="I123" s="164">
        <f t="shared" si="28"/>
        <v>0.79302393866481791</v>
      </c>
      <c r="J123" s="164">
        <f t="shared" si="25"/>
        <v>0.59719744771357675</v>
      </c>
      <c r="K123" s="116">
        <f t="shared" si="30"/>
        <v>1119.2080645161291</v>
      </c>
      <c r="L123" s="116">
        <f t="shared" si="30"/>
        <v>163.71806451612903</v>
      </c>
      <c r="M123" s="116">
        <f t="shared" si="30"/>
        <v>1282.9261290322581</v>
      </c>
    </row>
    <row r="124" spans="1:20">
      <c r="A124" s="163">
        <v>44256</v>
      </c>
      <c r="B124" s="116">
        <f>'[7]US EIA'!$R272</f>
        <v>2410</v>
      </c>
      <c r="C124" s="116">
        <f>'[4]Renewable Diesel'!$AX135</f>
        <v>791</v>
      </c>
      <c r="D124" s="116">
        <f t="shared" si="22"/>
        <v>3201</v>
      </c>
      <c r="E124" s="116">
        <f>monthly_data!F581</f>
        <v>150.571</v>
      </c>
      <c r="F124" s="116">
        <f>monthly_data!AD581</f>
        <v>56.966999999999999</v>
      </c>
      <c r="G124" s="116">
        <f t="shared" si="23"/>
        <v>207.53800000000001</v>
      </c>
      <c r="H124" s="164">
        <f t="shared" si="24"/>
        <v>0.81444005631298155</v>
      </c>
      <c r="I124" s="164">
        <f t="shared" si="28"/>
        <v>0.93881862922160009</v>
      </c>
      <c r="J124" s="164">
        <f t="shared" si="25"/>
        <v>0.84517528004641407</v>
      </c>
      <c r="K124" s="116">
        <f t="shared" si="30"/>
        <v>447.19946428571444</v>
      </c>
      <c r="L124" s="116">
        <f t="shared" si="30"/>
        <v>48.394464285714328</v>
      </c>
      <c r="M124" s="116">
        <f t="shared" si="30"/>
        <v>495.59392857142859</v>
      </c>
    </row>
    <row r="125" spans="1:20">
      <c r="A125" s="163">
        <v>44287</v>
      </c>
      <c r="B125" s="116">
        <f>'[7]US EIA'!$R273</f>
        <v>2410</v>
      </c>
      <c r="C125" s="116">
        <f>'[4]Renewable Diesel'!$AX136</f>
        <v>971</v>
      </c>
      <c r="D125" s="116">
        <f t="shared" si="22"/>
        <v>3381</v>
      </c>
      <c r="E125" s="116">
        <f>monthly_data!F582</f>
        <v>144.03899999999999</v>
      </c>
      <c r="F125" s="116">
        <f>monthly_data!AD582</f>
        <v>53.100999999999999</v>
      </c>
      <c r="G125" s="116">
        <f t="shared" si="23"/>
        <v>197.14</v>
      </c>
      <c r="H125" s="164">
        <f t="shared" si="24"/>
        <v>0.70371081515192069</v>
      </c>
      <c r="I125" s="164">
        <f t="shared" si="28"/>
        <v>0.64389438889073447</v>
      </c>
      <c r="J125" s="164">
        <f t="shared" si="25"/>
        <v>0.68653194798255901</v>
      </c>
      <c r="K125" s="116">
        <f t="shared" si="30"/>
        <v>714.05693548387114</v>
      </c>
      <c r="L125" s="116">
        <f t="shared" si="30"/>
        <v>345.77854838709681</v>
      </c>
      <c r="M125" s="116">
        <f t="shared" si="30"/>
        <v>1059.8354838709679</v>
      </c>
    </row>
    <row r="126" spans="1:20">
      <c r="A126" s="163">
        <v>44317</v>
      </c>
      <c r="B126" s="116">
        <f>'[7]US EIA'!$R274</f>
        <v>2428</v>
      </c>
      <c r="C126" s="116">
        <f>'[4]Renewable Diesel'!$AX137</f>
        <v>971</v>
      </c>
      <c r="D126" s="116">
        <f t="shared" si="22"/>
        <v>3399</v>
      </c>
      <c r="E126" s="116">
        <f>monthly_data!F583</f>
        <v>148.54599999999999</v>
      </c>
      <c r="F126" s="116">
        <f>monthly_data!AD583</f>
        <v>66.09</v>
      </c>
      <c r="G126" s="116">
        <f t="shared" si="23"/>
        <v>214.636</v>
      </c>
      <c r="H126" s="164">
        <f t="shared" si="24"/>
        <v>0.74436147721032397</v>
      </c>
      <c r="I126" s="164">
        <f t="shared" si="28"/>
        <v>0.82811019567456245</v>
      </c>
      <c r="J126" s="164">
        <f t="shared" si="25"/>
        <v>0.76828616259684224</v>
      </c>
      <c r="K126" s="116">
        <f t="shared" si="30"/>
        <v>620.69033333333334</v>
      </c>
      <c r="L126" s="116">
        <f t="shared" si="30"/>
        <v>166.90499999999986</v>
      </c>
      <c r="M126" s="116">
        <f t="shared" si="30"/>
        <v>787.5953333333332</v>
      </c>
    </row>
    <row r="127" spans="1:20">
      <c r="A127" s="163">
        <v>44348</v>
      </c>
      <c r="B127" s="116">
        <f>'[7]US EIA'!$R275</f>
        <v>2428</v>
      </c>
      <c r="C127" s="116">
        <f>'[4]Renewable Diesel'!$AX138</f>
        <v>911</v>
      </c>
      <c r="D127" s="116">
        <f t="shared" si="22"/>
        <v>3339</v>
      </c>
      <c r="E127" s="116">
        <f>monthly_data!F584</f>
        <v>143.429</v>
      </c>
      <c r="F127" s="116">
        <f>monthly_data!AD584</f>
        <v>61.744999999999997</v>
      </c>
      <c r="G127" s="116">
        <f t="shared" si="23"/>
        <v>205.17400000000001</v>
      </c>
      <c r="H127" s="164">
        <f t="shared" si="24"/>
        <v>0.69553575224531006</v>
      </c>
      <c r="I127" s="164">
        <f t="shared" si="28"/>
        <v>0.79802149357317376</v>
      </c>
      <c r="J127" s="164">
        <f t="shared" si="25"/>
        <v>0.72349757025959094</v>
      </c>
      <c r="K127" s="116">
        <f t="shared" si="30"/>
        <v>739.23919354838722</v>
      </c>
      <c r="L127" s="116">
        <f t="shared" si="30"/>
        <v>184.00241935483871</v>
      </c>
      <c r="M127" s="116">
        <f t="shared" si="30"/>
        <v>923.24161290322581</v>
      </c>
    </row>
    <row r="128" spans="1:20">
      <c r="A128" s="163">
        <v>44378</v>
      </c>
      <c r="B128" s="116">
        <f>'[7]US EIA'!$R276</f>
        <v>2430</v>
      </c>
      <c r="C128" s="116">
        <f>'[4]Renewable Diesel'!$AX139</f>
        <v>911</v>
      </c>
      <c r="D128" s="116">
        <f t="shared" si="22"/>
        <v>3341</v>
      </c>
      <c r="E128" s="116">
        <f>monthly_data!F585</f>
        <v>149.16999999999999</v>
      </c>
      <c r="F128" s="116">
        <f>monthly_data!AD585</f>
        <v>79.346000000000004</v>
      </c>
      <c r="G128" s="116">
        <f t="shared" si="23"/>
        <v>228.51599999999999</v>
      </c>
      <c r="H128" s="164">
        <f t="shared" si="24"/>
        <v>0.74687311385459532</v>
      </c>
      <c r="I128" s="164">
        <f t="shared" si="28"/>
        <v>1.0596886205634835</v>
      </c>
      <c r="J128" s="164">
        <f t="shared" si="25"/>
        <v>0.83216941035618075</v>
      </c>
      <c r="K128" s="116">
        <f t="shared" si="30"/>
        <v>615.09833333333336</v>
      </c>
      <c r="L128" s="116">
        <f t="shared" si="30"/>
        <v>-54.376333333333427</v>
      </c>
      <c r="M128" s="116">
        <f t="shared" si="30"/>
        <v>560.72200000000009</v>
      </c>
    </row>
    <row r="129" spans="1:20">
      <c r="A129" s="163">
        <v>44409</v>
      </c>
      <c r="B129" s="116">
        <f>'[7]US EIA'!$R277</f>
        <v>2430</v>
      </c>
      <c r="C129" s="116">
        <f>'[4]Renewable Diesel'!$AX140</f>
        <v>911</v>
      </c>
      <c r="D129" s="116">
        <f t="shared" si="22"/>
        <v>3341</v>
      </c>
      <c r="E129" s="116">
        <f>monthly_data!F586</f>
        <v>149.50200000000001</v>
      </c>
      <c r="F129" s="116">
        <f>monthly_data!AD586</f>
        <v>75.603999999999999</v>
      </c>
      <c r="G129" s="116">
        <f t="shared" si="23"/>
        <v>225.10599999999999</v>
      </c>
      <c r="H129" s="164">
        <f t="shared" si="24"/>
        <v>0.72438908801274404</v>
      </c>
      <c r="I129" s="164">
        <f t="shared" si="28"/>
        <v>0.97714174427251155</v>
      </c>
      <c r="J129" s="164">
        <f t="shared" si="25"/>
        <v>0.79330787575672723</v>
      </c>
      <c r="K129" s="116">
        <f t="shared" si="30"/>
        <v>669.73451612903193</v>
      </c>
      <c r="L129" s="116">
        <f t="shared" si="30"/>
        <v>20.823870967741978</v>
      </c>
      <c r="M129" s="116">
        <f t="shared" si="30"/>
        <v>690.55838709677437</v>
      </c>
    </row>
    <row r="130" spans="1:20">
      <c r="A130" s="163">
        <v>44440</v>
      </c>
      <c r="B130" s="116">
        <f>'[7]US EIA'!$R278</f>
        <v>2462</v>
      </c>
      <c r="C130" s="116">
        <f>'[4]Renewable Diesel'!$AX141</f>
        <v>911</v>
      </c>
      <c r="D130" s="116">
        <f t="shared" si="22"/>
        <v>3373</v>
      </c>
      <c r="E130" s="116">
        <f>monthly_data!F587</f>
        <v>133.76499999999999</v>
      </c>
      <c r="F130" s="116">
        <f>monthly_data!AD587</f>
        <v>61.459000000000003</v>
      </c>
      <c r="G130" s="116">
        <f t="shared" si="23"/>
        <v>195.22399999999999</v>
      </c>
      <c r="H130" s="164">
        <f t="shared" si="24"/>
        <v>0.6397136474411047</v>
      </c>
      <c r="I130" s="164">
        <f t="shared" si="28"/>
        <v>0.79432509472044199</v>
      </c>
      <c r="J130" s="164">
        <f t="shared" si="25"/>
        <v>0.68147203121563071</v>
      </c>
      <c r="K130" s="116">
        <f t="shared" si="30"/>
        <v>887.0250000000002</v>
      </c>
      <c r="L130" s="116">
        <f t="shared" si="30"/>
        <v>187.36983870967734</v>
      </c>
      <c r="M130" s="116">
        <f t="shared" si="30"/>
        <v>1074.3948387096775</v>
      </c>
    </row>
    <row r="131" spans="1:20">
      <c r="A131" s="163">
        <v>44470</v>
      </c>
      <c r="B131" s="116">
        <f>'[7]US EIA'!$R279</f>
        <v>2461</v>
      </c>
      <c r="C131" s="116">
        <f>'[4]Renewable Diesel'!$AX142</f>
        <v>1014</v>
      </c>
      <c r="D131" s="116">
        <f t="shared" ref="D131:D169" si="43">C131+B131</f>
        <v>3475</v>
      </c>
      <c r="E131" s="116">
        <f>monthly_data!F588</f>
        <v>145.87200000000001</v>
      </c>
      <c r="F131" s="116">
        <f>monthly_data!AD588</f>
        <v>85.155000000000001</v>
      </c>
      <c r="G131" s="116">
        <f t="shared" ref="G131:G169" si="44">SUM(E131:F131)</f>
        <v>231.02700000000002</v>
      </c>
      <c r="H131" s="164">
        <f t="shared" si="24"/>
        <v>0.72116050386021946</v>
      </c>
      <c r="I131" s="164">
        <f t="shared" si="28"/>
        <v>1.0217480276134123</v>
      </c>
      <c r="J131" s="164">
        <f t="shared" si="25"/>
        <v>0.80887151079136688</v>
      </c>
      <c r="K131" s="116">
        <f t="shared" si="30"/>
        <v>686.22399999999993</v>
      </c>
      <c r="L131" s="116">
        <f t="shared" si="30"/>
        <v>-22.052500000000098</v>
      </c>
      <c r="M131" s="116">
        <f t="shared" si="30"/>
        <v>664.17150000000015</v>
      </c>
    </row>
    <row r="132" spans="1:20">
      <c r="A132" s="163">
        <v>44501</v>
      </c>
      <c r="B132" s="116">
        <f>'[7]US EIA'!$R280</f>
        <v>2389</v>
      </c>
      <c r="C132" s="116">
        <f>'[4]Renewable Diesel'!$AX143</f>
        <v>1017</v>
      </c>
      <c r="D132" s="116">
        <f t="shared" si="43"/>
        <v>3406</v>
      </c>
      <c r="E132" s="116">
        <f>monthly_data!F589</f>
        <v>141.10400000000001</v>
      </c>
      <c r="F132" s="116">
        <f>monthly_data!AD589</f>
        <v>94.695999999999998</v>
      </c>
      <c r="G132" s="116">
        <f t="shared" si="44"/>
        <v>235.8</v>
      </c>
      <c r="H132" s="164">
        <f t="shared" ref="H132:H169" si="45">(E132/(A132-A131)*365)/B132</f>
        <v>0.69543148030624236</v>
      </c>
      <c r="I132" s="164">
        <f t="shared" si="28"/>
        <v>1.0963313984838392</v>
      </c>
      <c r="J132" s="164">
        <f t="shared" ref="J132:J169" si="46">(G132/(A132-A131)*365)/D132</f>
        <v>0.81513647642679909</v>
      </c>
      <c r="K132" s="116">
        <f t="shared" si="30"/>
        <v>727.61419354838699</v>
      </c>
      <c r="L132" s="116">
        <f t="shared" si="30"/>
        <v>-97.969032258064473</v>
      </c>
      <c r="M132" s="116">
        <f t="shared" si="30"/>
        <v>629.64516129032233</v>
      </c>
    </row>
    <row r="133" spans="1:20">
      <c r="A133" s="163">
        <v>44531</v>
      </c>
      <c r="B133" s="116">
        <f>'[7]US EIA'!$R281</f>
        <v>2244</v>
      </c>
      <c r="C133" s="116">
        <f>'[4]Renewable Diesel'!$AX144</f>
        <v>1106</v>
      </c>
      <c r="D133" s="116">
        <f t="shared" si="43"/>
        <v>3350</v>
      </c>
      <c r="E133" s="116">
        <f>monthly_data!F590</f>
        <v>153.76300000000001</v>
      </c>
      <c r="F133" s="116">
        <f>monthly_data!AD590</f>
        <v>114.236</v>
      </c>
      <c r="G133" s="116">
        <f t="shared" si="44"/>
        <v>267.99900000000002</v>
      </c>
      <c r="H133" s="164">
        <f t="shared" si="45"/>
        <v>0.83368233808674996</v>
      </c>
      <c r="I133" s="164">
        <f t="shared" si="28"/>
        <v>1.2566648583484028</v>
      </c>
      <c r="J133" s="164">
        <f t="shared" si="46"/>
        <v>0.9733297014925375</v>
      </c>
      <c r="K133" s="116">
        <f t="shared" si="30"/>
        <v>373.21683333333306</v>
      </c>
      <c r="L133" s="116">
        <f t="shared" si="30"/>
        <v>-283.8713333333335</v>
      </c>
      <c r="M133" s="116">
        <f t="shared" si="30"/>
        <v>89.345499999999362</v>
      </c>
      <c r="N133" s="116">
        <f>B133-B121</f>
        <v>-232</v>
      </c>
      <c r="O133" s="116">
        <f>C133-C121</f>
        <v>368</v>
      </c>
      <c r="P133" s="116">
        <f t="shared" ref="P133" si="47">D133-D121</f>
        <v>136</v>
      </c>
      <c r="Q133" s="116">
        <f>SUM(E122:E133)</f>
        <v>1708.8249999999998</v>
      </c>
      <c r="R133" s="116">
        <f t="shared" ref="R133:S133" si="48">SUM(F122:F133)</f>
        <v>861.12</v>
      </c>
      <c r="S133" s="116">
        <f t="shared" si="48"/>
        <v>2569.9449999999997</v>
      </c>
      <c r="T133" s="116">
        <f>S133-S121</f>
        <v>221.75099999999929</v>
      </c>
    </row>
    <row r="134" spans="1:20">
      <c r="A134" s="163">
        <v>44562</v>
      </c>
      <c r="B134" s="116">
        <f>'[7]US EIA'!$R282</f>
        <v>2263</v>
      </c>
      <c r="C134" s="116">
        <f>'[4]Renewable Diesel'!$AX145</f>
        <v>1750</v>
      </c>
      <c r="D134" s="116">
        <f t="shared" si="43"/>
        <v>4013</v>
      </c>
      <c r="E134" s="116">
        <f>monthly_data!F591</f>
        <v>119.98699999999999</v>
      </c>
      <c r="F134" s="116">
        <f>monthly_data!AD591</f>
        <v>110.562</v>
      </c>
      <c r="G134" s="116">
        <f t="shared" si="44"/>
        <v>230.54899999999998</v>
      </c>
      <c r="H134" s="164">
        <f t="shared" si="45"/>
        <v>0.62428199791883454</v>
      </c>
      <c r="I134" s="164">
        <f t="shared" si="28"/>
        <v>0.74387336405529958</v>
      </c>
      <c r="J134" s="164">
        <f t="shared" si="46"/>
        <v>0.67643372748245623</v>
      </c>
      <c r="K134" s="116">
        <f t="shared" si="30"/>
        <v>850.24983870967742</v>
      </c>
      <c r="L134" s="116">
        <f t="shared" si="30"/>
        <v>448.22161290322572</v>
      </c>
      <c r="M134" s="116">
        <f t="shared" si="30"/>
        <v>1298.4714516129031</v>
      </c>
      <c r="Q134" s="116">
        <f t="shared" ref="Q134:R134" si="49">Q133-Q121</f>
        <v>-105.87400000000025</v>
      </c>
      <c r="R134" s="116">
        <f t="shared" si="49"/>
        <v>327.625</v>
      </c>
      <c r="S134" s="116">
        <f>S133-S121</f>
        <v>221.75099999999929</v>
      </c>
    </row>
    <row r="135" spans="1:20">
      <c r="A135" s="163">
        <v>44593</v>
      </c>
      <c r="B135" s="116">
        <f>'[7]US EIA'!$R283</f>
        <v>2285</v>
      </c>
      <c r="C135" s="116">
        <f>'[4]Renewable Diesel'!$AX146</f>
        <v>1750</v>
      </c>
      <c r="D135" s="116">
        <f t="shared" si="43"/>
        <v>4035</v>
      </c>
      <c r="E135" s="116">
        <f>monthly_data!F592</f>
        <v>113.685</v>
      </c>
      <c r="F135" s="116">
        <f>monthly_data!AD592</f>
        <v>96.58</v>
      </c>
      <c r="G135" s="116">
        <f t="shared" si="44"/>
        <v>210.26499999999999</v>
      </c>
      <c r="H135" s="164">
        <f t="shared" si="45"/>
        <v>0.58579833415684335</v>
      </c>
      <c r="I135" s="164">
        <f t="shared" si="28"/>
        <v>0.64980092165898606</v>
      </c>
      <c r="J135" s="164">
        <f t="shared" si="46"/>
        <v>0.61355658152456327</v>
      </c>
      <c r="K135" s="116">
        <f t="shared" si="30"/>
        <v>946.45080645161295</v>
      </c>
      <c r="L135" s="116">
        <f t="shared" si="30"/>
        <v>612.84838709677445</v>
      </c>
      <c r="M135" s="116">
        <f t="shared" si="30"/>
        <v>1559.2991935483872</v>
      </c>
    </row>
    <row r="136" spans="1:20">
      <c r="A136" s="163">
        <v>44621</v>
      </c>
      <c r="B136" s="116">
        <f>'[7]US EIA'!$R284</f>
        <v>2284</v>
      </c>
      <c r="C136" s="116">
        <f>'[4]Renewable Diesel'!$AX147</f>
        <v>1750</v>
      </c>
      <c r="D136" s="116">
        <f t="shared" si="43"/>
        <v>4034</v>
      </c>
      <c r="E136" s="116">
        <f>monthly_data!F593</f>
        <v>132.755</v>
      </c>
      <c r="F136" s="116">
        <f>monthly_data!AD593</f>
        <v>109.033</v>
      </c>
      <c r="G136" s="116">
        <f t="shared" si="44"/>
        <v>241.78800000000001</v>
      </c>
      <c r="H136" s="164">
        <f t="shared" si="45"/>
        <v>0.75768662434325751</v>
      </c>
      <c r="I136" s="164">
        <f t="shared" si="28"/>
        <v>0.81218459183673464</v>
      </c>
      <c r="J136" s="164">
        <f t="shared" si="46"/>
        <v>0.78132852893264393</v>
      </c>
      <c r="K136" s="116">
        <f t="shared" si="30"/>
        <v>553.4437499999998</v>
      </c>
      <c r="L136" s="116">
        <f t="shared" si="30"/>
        <v>328.6769642857144</v>
      </c>
      <c r="M136" s="116">
        <f t="shared" si="30"/>
        <v>882.12071428571437</v>
      </c>
    </row>
    <row r="137" spans="1:20">
      <c r="A137" s="163">
        <v>44652</v>
      </c>
      <c r="B137" s="116">
        <f>'[7]US EIA'!$R285</f>
        <v>2225</v>
      </c>
      <c r="C137" s="116">
        <f>'[4]Renewable Diesel'!$AX148</f>
        <v>1922</v>
      </c>
      <c r="D137" s="116">
        <f t="shared" si="43"/>
        <v>4147</v>
      </c>
      <c r="E137" s="116">
        <f>monthly_data!F594</f>
        <v>126.742</v>
      </c>
      <c r="F137" s="116">
        <f>monthly_data!AD594</f>
        <v>119.155</v>
      </c>
      <c r="G137" s="116">
        <f t="shared" si="44"/>
        <v>245.89699999999999</v>
      </c>
      <c r="H137" s="164">
        <f t="shared" si="45"/>
        <v>0.67068981515041681</v>
      </c>
      <c r="I137" s="164">
        <f t="shared" si="28"/>
        <v>0.72994486589909702</v>
      </c>
      <c r="J137" s="164">
        <f t="shared" si="46"/>
        <v>0.6981526093483823</v>
      </c>
      <c r="K137" s="116">
        <f t="shared" si="30"/>
        <v>732.71516129032261</v>
      </c>
      <c r="L137" s="116">
        <f t="shared" si="30"/>
        <v>519.04596774193556</v>
      </c>
      <c r="M137" s="116">
        <f t="shared" si="30"/>
        <v>1251.7611290322586</v>
      </c>
    </row>
    <row r="138" spans="1:20">
      <c r="A138" s="163">
        <v>44682</v>
      </c>
      <c r="B138" s="116">
        <f>'[7]US EIA'!$R286</f>
        <v>2223</v>
      </c>
      <c r="C138" s="116">
        <f>'[4]Renewable Diesel'!$AX149</f>
        <v>1947</v>
      </c>
      <c r="D138" s="116">
        <f t="shared" si="43"/>
        <v>4170</v>
      </c>
      <c r="E138" s="116">
        <f>monthly_data!F595</f>
        <v>136.148</v>
      </c>
      <c r="F138" s="116">
        <f>monthly_data!AD595</f>
        <v>126.352</v>
      </c>
      <c r="G138" s="116">
        <f t="shared" si="44"/>
        <v>262.5</v>
      </c>
      <c r="H138" s="164">
        <f t="shared" si="45"/>
        <v>0.74514949767581351</v>
      </c>
      <c r="I138" s="164">
        <f t="shared" ref="I138:I169" si="50">(F138/(A138-A137)*365)/C138</f>
        <v>0.78956480054785128</v>
      </c>
      <c r="J138" s="164">
        <f t="shared" si="46"/>
        <v>0.76588729016786572</v>
      </c>
      <c r="K138" s="116">
        <f t="shared" si="30"/>
        <v>566.53266666666661</v>
      </c>
      <c r="L138" s="116">
        <f t="shared" si="30"/>
        <v>409.71733333333356</v>
      </c>
      <c r="M138" s="116">
        <f t="shared" si="30"/>
        <v>976.25</v>
      </c>
    </row>
    <row r="139" spans="1:20">
      <c r="A139" s="163">
        <v>44713</v>
      </c>
      <c r="B139" s="116">
        <f>'[7]US EIA'!$R287</f>
        <v>2223</v>
      </c>
      <c r="C139" s="116">
        <f>'[4]Renewable Diesel'!$AX150</f>
        <v>1947</v>
      </c>
      <c r="D139" s="116">
        <f t="shared" si="43"/>
        <v>4170</v>
      </c>
      <c r="E139" s="116">
        <f>monthly_data!F596</f>
        <v>137.149</v>
      </c>
      <c r="F139" s="116">
        <f>monthly_data!AD596</f>
        <v>123.818</v>
      </c>
      <c r="G139" s="116">
        <f t="shared" si="44"/>
        <v>260.96699999999998</v>
      </c>
      <c r="H139" s="164">
        <f t="shared" si="45"/>
        <v>0.72641424694905177</v>
      </c>
      <c r="I139" s="164">
        <f t="shared" si="50"/>
        <v>0.74877097933959602</v>
      </c>
      <c r="J139" s="164">
        <f t="shared" si="46"/>
        <v>0.73685275005801798</v>
      </c>
      <c r="K139" s="116">
        <f t="shared" si="30"/>
        <v>608.1811290322579</v>
      </c>
      <c r="L139" s="116">
        <f t="shared" si="30"/>
        <v>489.14290322580655</v>
      </c>
      <c r="M139" s="116">
        <f t="shared" si="30"/>
        <v>1097.324032258065</v>
      </c>
    </row>
    <row r="140" spans="1:20">
      <c r="A140" s="163">
        <v>44743</v>
      </c>
      <c r="B140" s="116">
        <f>'[7]US EIA'!$R288</f>
        <v>2097</v>
      </c>
      <c r="C140" s="116">
        <f>'[4]Renewable Diesel'!$AX151</f>
        <v>2174</v>
      </c>
      <c r="D140" s="116">
        <f t="shared" si="43"/>
        <v>4271</v>
      </c>
      <c r="E140" s="116">
        <f>monthly_data!F597</f>
        <v>146.58000000000001</v>
      </c>
      <c r="F140" s="116">
        <f>monthly_data!AD597</f>
        <v>129.60300000000001</v>
      </c>
      <c r="G140" s="116">
        <f t="shared" si="44"/>
        <v>276.18299999999999</v>
      </c>
      <c r="H140" s="164">
        <f t="shared" si="45"/>
        <v>0.85044825941821656</v>
      </c>
      <c r="I140" s="164">
        <f t="shared" si="50"/>
        <v>0.72531577736890529</v>
      </c>
      <c r="J140" s="164">
        <f t="shared" si="46"/>
        <v>0.78675403886677586</v>
      </c>
      <c r="K140" s="116">
        <f t="shared" si="30"/>
        <v>313.6099999999999</v>
      </c>
      <c r="L140" s="116">
        <f t="shared" si="30"/>
        <v>597.16349999999989</v>
      </c>
      <c r="M140" s="116">
        <f t="shared" si="30"/>
        <v>910.77350000000024</v>
      </c>
    </row>
    <row r="141" spans="1:20">
      <c r="A141" s="163">
        <v>44774</v>
      </c>
      <c r="B141" s="116">
        <f>'[7]US EIA'!$R289</f>
        <v>2092</v>
      </c>
      <c r="C141" s="116">
        <f>'[4]Renewable Diesel'!$AX152</f>
        <v>2219</v>
      </c>
      <c r="D141" s="116">
        <f t="shared" si="43"/>
        <v>4311</v>
      </c>
      <c r="E141" s="116">
        <f>monthly_data!F598</f>
        <v>147.78700000000001</v>
      </c>
      <c r="F141" s="116">
        <f>monthly_data!AD598</f>
        <v>118.928</v>
      </c>
      <c r="G141" s="116">
        <f t="shared" si="44"/>
        <v>266.71500000000003</v>
      </c>
      <c r="H141" s="164">
        <f t="shared" si="45"/>
        <v>0.83177473323875906</v>
      </c>
      <c r="I141" s="164">
        <f t="shared" si="50"/>
        <v>0.63104159095204171</v>
      </c>
      <c r="J141" s="164">
        <f t="shared" si="46"/>
        <v>0.728451410869419</v>
      </c>
      <c r="K141" s="116">
        <f t="shared" si="30"/>
        <v>351.92725806451608</v>
      </c>
      <c r="L141" s="116">
        <f t="shared" si="30"/>
        <v>818.7187096774195</v>
      </c>
      <c r="M141" s="116">
        <f t="shared" si="30"/>
        <v>1170.6459677419348</v>
      </c>
    </row>
    <row r="142" spans="1:20">
      <c r="A142" s="163">
        <v>44805</v>
      </c>
      <c r="B142" s="116">
        <f>'[7]US EIA'!$R290</f>
        <v>2092</v>
      </c>
      <c r="C142" s="116">
        <f>'[4]Renewable Diesel'!$AX153</f>
        <v>2219</v>
      </c>
      <c r="D142" s="116">
        <f t="shared" si="43"/>
        <v>4311</v>
      </c>
      <c r="E142" s="116">
        <f>monthly_data!F599</f>
        <v>140.709</v>
      </c>
      <c r="F142" s="116">
        <f>monthly_data!AD599</f>
        <v>138.15199999999999</v>
      </c>
      <c r="G142" s="116">
        <f t="shared" si="44"/>
        <v>278.86099999999999</v>
      </c>
      <c r="H142" s="164">
        <f t="shared" si="45"/>
        <v>0.79193833652007639</v>
      </c>
      <c r="I142" s="164">
        <f t="shared" si="50"/>
        <v>0.73304569044469314</v>
      </c>
      <c r="J142" s="164">
        <f t="shared" si="46"/>
        <v>0.76162453887654225</v>
      </c>
      <c r="K142" s="116">
        <f t="shared" si="30"/>
        <v>435.26500000000021</v>
      </c>
      <c r="L142" s="116">
        <f t="shared" si="30"/>
        <v>592.37161290322592</v>
      </c>
      <c r="M142" s="116">
        <f t="shared" si="30"/>
        <v>1027.6366129032265</v>
      </c>
    </row>
    <row r="143" spans="1:20">
      <c r="A143" s="163">
        <v>44835</v>
      </c>
      <c r="B143" s="116">
        <f>'[7]US EIA'!$R291</f>
        <v>2092</v>
      </c>
      <c r="C143" s="116">
        <f>'[4]Renewable Diesel'!$AX154</f>
        <v>2219</v>
      </c>
      <c r="D143" s="116">
        <f t="shared" si="43"/>
        <v>4311</v>
      </c>
      <c r="E143" s="116">
        <f>monthly_data!F600</f>
        <v>145.48400000000001</v>
      </c>
      <c r="F143" s="116">
        <f>monthly_data!AD600</f>
        <v>129.33699999999999</v>
      </c>
      <c r="G143" s="116">
        <f t="shared" si="44"/>
        <v>274.82100000000003</v>
      </c>
      <c r="H143" s="164">
        <f t="shared" si="45"/>
        <v>0.8461067558954749</v>
      </c>
      <c r="I143" s="164">
        <f t="shared" si="50"/>
        <v>0.70914834009313499</v>
      </c>
      <c r="J143" s="164">
        <f t="shared" si="46"/>
        <v>0.7756101832521457</v>
      </c>
      <c r="K143" s="116">
        <f t="shared" si="30"/>
        <v>321.94466666666648</v>
      </c>
      <c r="L143" s="116">
        <f t="shared" si="30"/>
        <v>645.3998333333335</v>
      </c>
      <c r="M143" s="116">
        <f t="shared" si="30"/>
        <v>967.34449999999993</v>
      </c>
    </row>
    <row r="144" spans="1:20">
      <c r="A144" s="163">
        <v>44866</v>
      </c>
      <c r="B144" s="116">
        <f>'[7]US EIA'!$R292</f>
        <v>2092</v>
      </c>
      <c r="C144" s="116">
        <f>'[4]Renewable Diesel'!$AX155</f>
        <v>2755</v>
      </c>
      <c r="D144" s="116">
        <f t="shared" si="43"/>
        <v>4847</v>
      </c>
      <c r="E144" s="116">
        <f>monthly_data!F601</f>
        <v>142.108</v>
      </c>
      <c r="F144" s="116">
        <f>monthly_data!AD601</f>
        <v>145.535</v>
      </c>
      <c r="G144" s="116">
        <f t="shared" si="44"/>
        <v>287.64300000000003</v>
      </c>
      <c r="H144" s="164">
        <f t="shared" si="45"/>
        <v>0.7998121877505705</v>
      </c>
      <c r="I144" s="164">
        <f t="shared" si="50"/>
        <v>0.62198085592178443</v>
      </c>
      <c r="J144" s="164">
        <f t="shared" si="46"/>
        <v>0.69873413551448527</v>
      </c>
      <c r="K144" s="116">
        <f t="shared" si="30"/>
        <v>418.79290322580653</v>
      </c>
      <c r="L144" s="116">
        <f t="shared" si="30"/>
        <v>1041.4427419354838</v>
      </c>
      <c r="M144" s="116">
        <f t="shared" si="30"/>
        <v>1460.23564516129</v>
      </c>
    </row>
    <row r="145" spans="1:20">
      <c r="A145" s="163">
        <v>44896</v>
      </c>
      <c r="B145" s="116">
        <f>'[7]US EIA'!$R293</f>
        <v>2090</v>
      </c>
      <c r="C145" s="116">
        <f>'[4]Renewable Diesel'!$AX156</f>
        <v>2939</v>
      </c>
      <c r="D145" s="116">
        <f t="shared" si="43"/>
        <v>5029</v>
      </c>
      <c r="E145" s="116">
        <f>monthly_data!F602</f>
        <v>132.893</v>
      </c>
      <c r="F145" s="116">
        <f>monthly_data!AD602</f>
        <v>152</v>
      </c>
      <c r="G145" s="116">
        <f t="shared" si="44"/>
        <v>284.89300000000003</v>
      </c>
      <c r="H145" s="164">
        <f t="shared" si="45"/>
        <v>0.77361953748006373</v>
      </c>
      <c r="I145" s="164">
        <f t="shared" si="50"/>
        <v>0.62923897017126007</v>
      </c>
      <c r="J145" s="164">
        <f t="shared" si="46"/>
        <v>0.68924202956187453</v>
      </c>
      <c r="K145" s="116">
        <f t="shared" si="30"/>
        <v>473.13516666666681</v>
      </c>
      <c r="L145" s="116">
        <f t="shared" si="30"/>
        <v>1089.6666666666667</v>
      </c>
      <c r="M145" s="116">
        <f t="shared" si="30"/>
        <v>1562.801833333333</v>
      </c>
      <c r="N145" s="116">
        <f>B145-B133</f>
        <v>-154</v>
      </c>
      <c r="O145" s="116">
        <f>C145-C133</f>
        <v>1833</v>
      </c>
      <c r="P145" s="116">
        <f t="shared" ref="P145" si="51">D145-D133</f>
        <v>1679</v>
      </c>
      <c r="Q145" s="116">
        <f>SUM(E134:E145)</f>
        <v>1622.027</v>
      </c>
      <c r="R145" s="116">
        <f t="shared" ref="R145:S145" si="52">SUM(F134:F145)</f>
        <v>1499.0550000000001</v>
      </c>
      <c r="S145" s="116">
        <f t="shared" si="52"/>
        <v>3121.0819999999999</v>
      </c>
      <c r="T145" s="116">
        <f>S145-S133</f>
        <v>551.13700000000017</v>
      </c>
    </row>
    <row r="146" spans="1:20">
      <c r="A146" s="163">
        <v>44927</v>
      </c>
      <c r="B146" s="116">
        <f>'[7]US EIA'!$R294</f>
        <v>2051</v>
      </c>
      <c r="C146" s="116">
        <f>'[4]Renewable Diesel'!$AX157</f>
        <v>2999</v>
      </c>
      <c r="D146" s="116">
        <f t="shared" si="43"/>
        <v>5050</v>
      </c>
      <c r="E146" s="116">
        <f>monthly_data!F603</f>
        <v>137.54599999999999</v>
      </c>
      <c r="F146" s="116">
        <f>monthly_data!AD603</f>
        <v>167.74199999999999</v>
      </c>
      <c r="G146" s="116">
        <f t="shared" si="44"/>
        <v>305.28800000000001</v>
      </c>
      <c r="H146" s="164">
        <f t="shared" si="45"/>
        <v>0.78961151916453032</v>
      </c>
      <c r="I146" s="164">
        <f t="shared" si="50"/>
        <v>0.65856177865740195</v>
      </c>
      <c r="J146" s="164">
        <f t="shared" si="46"/>
        <v>0.71178613861386142</v>
      </c>
      <c r="K146" s="116">
        <f t="shared" si="30"/>
        <v>431.50677419354832</v>
      </c>
      <c r="L146" s="116">
        <f t="shared" si="30"/>
        <v>1023.9732258064515</v>
      </c>
      <c r="M146" s="116">
        <f t="shared" si="30"/>
        <v>1455.4799999999998</v>
      </c>
      <c r="Q146" s="116">
        <f t="shared" ref="Q146:R146" si="53">Q145-Q133</f>
        <v>-86.797999999999774</v>
      </c>
      <c r="R146" s="116">
        <f t="shared" si="53"/>
        <v>637.93500000000006</v>
      </c>
      <c r="S146" s="116">
        <f>S145-S133</f>
        <v>551.13700000000017</v>
      </c>
    </row>
    <row r="147" spans="1:20">
      <c r="A147" s="163">
        <v>44958</v>
      </c>
      <c r="B147" s="116">
        <f>'[7]US EIA'!$R295</f>
        <v>2063</v>
      </c>
      <c r="C147" s="116">
        <f>'[4]Renewable Diesel'!$AX158</f>
        <v>3278</v>
      </c>
      <c r="D147" s="116">
        <f t="shared" si="43"/>
        <v>5341</v>
      </c>
      <c r="E147" s="116">
        <f>monthly_data!F604</f>
        <v>119.309</v>
      </c>
      <c r="F147" s="116">
        <f>monthly_data!AD604</f>
        <v>157.56800000000001</v>
      </c>
      <c r="G147" s="116">
        <f t="shared" si="44"/>
        <v>276.87700000000001</v>
      </c>
      <c r="H147" s="164">
        <f t="shared" si="45"/>
        <v>0.68093420167935836</v>
      </c>
      <c r="I147" s="164">
        <f t="shared" si="50"/>
        <v>0.56596587218799821</v>
      </c>
      <c r="J147" s="164">
        <f t="shared" si="46"/>
        <v>0.61037322357176083</v>
      </c>
      <c r="K147" s="116">
        <f t="shared" ref="K147:M169" si="54">((1-H147)*B147)</f>
        <v>658.23274193548366</v>
      </c>
      <c r="L147" s="116">
        <f t="shared" si="54"/>
        <v>1422.7638709677419</v>
      </c>
      <c r="M147" s="116">
        <f t="shared" si="54"/>
        <v>2080.9966129032255</v>
      </c>
    </row>
    <row r="148" spans="1:20">
      <c r="A148" s="163">
        <v>44986</v>
      </c>
      <c r="B148" s="116">
        <f>'[7]US EIA'!$R296</f>
        <v>2087</v>
      </c>
      <c r="C148" s="116">
        <f>'[4]Renewable Diesel'!$AX159</f>
        <v>3278</v>
      </c>
      <c r="D148" s="116">
        <f t="shared" si="43"/>
        <v>5365</v>
      </c>
      <c r="E148" s="116">
        <f>monthly_data!F605</f>
        <v>139.26400000000001</v>
      </c>
      <c r="F148" s="116">
        <f>monthly_data!AD605</f>
        <v>199.101</v>
      </c>
      <c r="G148" s="116">
        <f t="shared" si="44"/>
        <v>338.36500000000001</v>
      </c>
      <c r="H148" s="164">
        <f t="shared" si="45"/>
        <v>0.86986378259976738</v>
      </c>
      <c r="I148" s="164">
        <f t="shared" si="50"/>
        <v>0.79177051555826716</v>
      </c>
      <c r="J148" s="164">
        <f t="shared" si="46"/>
        <v>0.82214901477832514</v>
      </c>
      <c r="K148" s="116">
        <f t="shared" si="54"/>
        <v>271.59428571428549</v>
      </c>
      <c r="L148" s="116">
        <f t="shared" si="54"/>
        <v>682.57625000000019</v>
      </c>
      <c r="M148" s="116">
        <f t="shared" si="54"/>
        <v>954.17053571428562</v>
      </c>
    </row>
    <row r="149" spans="1:20">
      <c r="A149" s="163">
        <v>45017</v>
      </c>
      <c r="B149" s="116">
        <f>'[7]US EIA'!$R297</f>
        <v>2087</v>
      </c>
      <c r="C149" s="116">
        <f>'[4]Renewable Diesel'!$AX160</f>
        <v>3278</v>
      </c>
      <c r="D149" s="116">
        <f t="shared" si="43"/>
        <v>5365</v>
      </c>
      <c r="E149" s="116">
        <f>monthly_data!F606</f>
        <v>133.381</v>
      </c>
      <c r="F149" s="116">
        <f>monthly_data!AD606</f>
        <v>201.11699999999999</v>
      </c>
      <c r="G149" s="116">
        <f t="shared" si="44"/>
        <v>334.49799999999999</v>
      </c>
      <c r="H149" s="164">
        <f t="shared" si="45"/>
        <v>0.75249339227475764</v>
      </c>
      <c r="I149" s="164">
        <f t="shared" si="50"/>
        <v>0.72238879922848309</v>
      </c>
      <c r="J149" s="164">
        <f t="shared" si="46"/>
        <v>0.73409957009289595</v>
      </c>
      <c r="K149" s="116">
        <f t="shared" si="54"/>
        <v>516.54629032258083</v>
      </c>
      <c r="L149" s="116">
        <f t="shared" si="54"/>
        <v>910.00951612903248</v>
      </c>
      <c r="M149" s="116">
        <f t="shared" si="54"/>
        <v>1426.5558064516133</v>
      </c>
    </row>
    <row r="150" spans="1:20">
      <c r="A150" s="163">
        <v>45047</v>
      </c>
      <c r="B150" s="116">
        <f>'[7]US EIA'!$R298</f>
        <v>2082</v>
      </c>
      <c r="C150" s="116">
        <f>'[4]Renewable Diesel'!$AX161</f>
        <v>3278</v>
      </c>
      <c r="D150" s="116">
        <f t="shared" si="43"/>
        <v>5360</v>
      </c>
      <c r="E150" s="116">
        <f>monthly_data!F607</f>
        <v>154.77099999999999</v>
      </c>
      <c r="F150" s="116">
        <f>monthly_data!AD607</f>
        <v>225.84</v>
      </c>
      <c r="G150" s="116">
        <f t="shared" si="44"/>
        <v>380.61099999999999</v>
      </c>
      <c r="H150" s="164">
        <f t="shared" si="45"/>
        <v>0.90444148254883105</v>
      </c>
      <c r="I150" s="164">
        <f t="shared" si="50"/>
        <v>0.83823062843197083</v>
      </c>
      <c r="J150" s="164">
        <f t="shared" si="46"/>
        <v>0.86394909825870647</v>
      </c>
      <c r="K150" s="116">
        <f t="shared" si="54"/>
        <v>198.95283333333376</v>
      </c>
      <c r="L150" s="116">
        <f t="shared" si="54"/>
        <v>530.27999999999963</v>
      </c>
      <c r="M150" s="116">
        <f t="shared" si="54"/>
        <v>729.23283333333336</v>
      </c>
    </row>
    <row r="151" spans="1:20">
      <c r="A151" s="163">
        <v>45078</v>
      </c>
      <c r="B151" s="116">
        <f>'[7]US EIA'!$R299</f>
        <v>2082</v>
      </c>
      <c r="C151" s="116">
        <f>'[4]Renewable Diesel'!$AX162</f>
        <v>3700</v>
      </c>
      <c r="D151" s="116">
        <f t="shared" si="43"/>
        <v>5782</v>
      </c>
      <c r="E151" s="116">
        <f>monthly_data!F608</f>
        <v>150.68700000000001</v>
      </c>
      <c r="F151" s="116">
        <f>monthly_data!AD608</f>
        <v>230.23400000000001</v>
      </c>
      <c r="G151" s="116">
        <f t="shared" si="44"/>
        <v>380.92100000000005</v>
      </c>
      <c r="H151" s="164">
        <f t="shared" si="45"/>
        <v>0.85216998233708285</v>
      </c>
      <c r="I151" s="164">
        <f t="shared" si="50"/>
        <v>0.73265396687009587</v>
      </c>
      <c r="J151" s="164">
        <f t="shared" si="46"/>
        <v>0.77568965421050884</v>
      </c>
      <c r="K151" s="116">
        <f t="shared" si="54"/>
        <v>307.78209677419352</v>
      </c>
      <c r="L151" s="116">
        <f t="shared" si="54"/>
        <v>989.18032258064522</v>
      </c>
      <c r="M151" s="116">
        <f t="shared" si="54"/>
        <v>1296.9624193548379</v>
      </c>
    </row>
    <row r="152" spans="1:20">
      <c r="A152" s="163">
        <v>45108</v>
      </c>
      <c r="B152" s="116">
        <f>'[7]US EIA'!$R300</f>
        <v>2080</v>
      </c>
      <c r="C152" s="116">
        <f>'[4]Renewable Diesel'!$AX163</f>
        <v>3704</v>
      </c>
      <c r="D152" s="116">
        <f t="shared" si="43"/>
        <v>5784</v>
      </c>
      <c r="E152" s="116">
        <f>monthly_data!F609</f>
        <v>152.161</v>
      </c>
      <c r="F152" s="116">
        <f>monthly_data!AD609</f>
        <v>213.59399999999999</v>
      </c>
      <c r="G152" s="116">
        <f t="shared" si="44"/>
        <v>365.755</v>
      </c>
      <c r="H152" s="164">
        <f t="shared" si="45"/>
        <v>0.89004431089743596</v>
      </c>
      <c r="I152" s="164">
        <f t="shared" si="50"/>
        <v>0.701600161987041</v>
      </c>
      <c r="J152" s="164">
        <f t="shared" si="46"/>
        <v>0.76936707584140163</v>
      </c>
      <c r="K152" s="116">
        <f t="shared" si="54"/>
        <v>228.70783333333318</v>
      </c>
      <c r="L152" s="116">
        <f t="shared" si="54"/>
        <v>1105.2730000000001</v>
      </c>
      <c r="M152" s="116">
        <f t="shared" si="54"/>
        <v>1333.9808333333331</v>
      </c>
    </row>
    <row r="153" spans="1:20">
      <c r="A153" s="163">
        <v>45139</v>
      </c>
      <c r="B153" s="116">
        <f>'[7]US EIA'!$R301</f>
        <v>2080</v>
      </c>
      <c r="C153" s="116">
        <f>'[4]Renewable Diesel'!$AX164</f>
        <v>3704</v>
      </c>
      <c r="D153" s="116">
        <f t="shared" si="43"/>
        <v>5784</v>
      </c>
      <c r="E153" s="116">
        <f>monthly_data!F610</f>
        <v>144.845</v>
      </c>
      <c r="F153" s="116">
        <f>monthly_data!AD610</f>
        <v>243.501</v>
      </c>
      <c r="G153" s="116">
        <f t="shared" si="44"/>
        <v>388.346</v>
      </c>
      <c r="H153" s="164">
        <f t="shared" si="45"/>
        <v>0.81991974255583133</v>
      </c>
      <c r="I153" s="164">
        <f t="shared" si="50"/>
        <v>0.77403561102208596</v>
      </c>
      <c r="J153" s="164">
        <f t="shared" si="46"/>
        <v>0.79053612858608846</v>
      </c>
      <c r="K153" s="116">
        <f t="shared" si="54"/>
        <v>374.56693548387085</v>
      </c>
      <c r="L153" s="116">
        <f t="shared" si="54"/>
        <v>836.97209677419357</v>
      </c>
      <c r="M153" s="116">
        <f t="shared" si="54"/>
        <v>1211.5390322580643</v>
      </c>
      <c r="N153" s="116">
        <f>D155-D145</f>
        <v>907</v>
      </c>
      <c r="T153" s="197" t="s">
        <v>261</v>
      </c>
    </row>
    <row r="154" spans="1:20">
      <c r="A154" s="163">
        <v>45170</v>
      </c>
      <c r="B154" s="116">
        <f>'[7]US EIA'!$R302</f>
        <v>2070</v>
      </c>
      <c r="C154" s="116">
        <f>'[4]Renewable Diesel'!$AX165</f>
        <v>3704</v>
      </c>
      <c r="D154" s="116">
        <f t="shared" si="43"/>
        <v>5774</v>
      </c>
      <c r="E154" s="116">
        <f>monthly_data!F611</f>
        <v>144.38900000000001</v>
      </c>
      <c r="F154" s="116">
        <f>monthly_data!AD611</f>
        <v>250.65600000000001</v>
      </c>
      <c r="G154" s="116">
        <f t="shared" si="44"/>
        <v>395.04500000000002</v>
      </c>
      <c r="H154" s="164">
        <f t="shared" si="45"/>
        <v>0.82128697210534518</v>
      </c>
      <c r="I154" s="164">
        <f t="shared" si="50"/>
        <v>0.79677976729603572</v>
      </c>
      <c r="J154" s="164">
        <f t="shared" si="46"/>
        <v>0.80556568935271577</v>
      </c>
      <c r="K154" s="116">
        <f t="shared" si="54"/>
        <v>369.93596774193549</v>
      </c>
      <c r="L154" s="116">
        <f t="shared" si="54"/>
        <v>752.72774193548366</v>
      </c>
      <c r="M154" s="116">
        <f t="shared" si="54"/>
        <v>1122.6637096774191</v>
      </c>
      <c r="T154" s="197"/>
    </row>
    <row r="155" spans="1:20">
      <c r="A155" s="163">
        <v>45200</v>
      </c>
      <c r="B155" s="116">
        <f>'[7]US EIA'!$R303</f>
        <v>2079</v>
      </c>
      <c r="C155" s="116">
        <f>'[4]Renewable Diesel'!$AX166</f>
        <v>3857</v>
      </c>
      <c r="D155" s="116">
        <f t="shared" si="43"/>
        <v>5936</v>
      </c>
      <c r="E155" s="116">
        <f>monthly_data!F612</f>
        <v>146.773</v>
      </c>
      <c r="F155" s="116">
        <f>monthly_data!AD612</f>
        <v>210.74600000000001</v>
      </c>
      <c r="G155" s="116">
        <f t="shared" si="44"/>
        <v>357.51900000000001</v>
      </c>
      <c r="H155" s="164">
        <f t="shared" si="45"/>
        <v>0.85894091710758369</v>
      </c>
      <c r="I155" s="164">
        <f t="shared" si="50"/>
        <v>0.66478515253651371</v>
      </c>
      <c r="J155" s="164">
        <f t="shared" si="46"/>
        <v>0.73278546159029656</v>
      </c>
      <c r="K155" s="116">
        <f t="shared" si="54"/>
        <v>293.26183333333353</v>
      </c>
      <c r="L155" s="116">
        <f t="shared" si="54"/>
        <v>1292.9236666666666</v>
      </c>
      <c r="M155" s="116">
        <f t="shared" si="54"/>
        <v>1586.1854999999996</v>
      </c>
      <c r="N155" s="198" t="s">
        <v>262</v>
      </c>
      <c r="O155" s="198"/>
      <c r="P155" s="198"/>
      <c r="Q155" s="198" t="s">
        <v>263</v>
      </c>
      <c r="R155" s="198"/>
      <c r="S155" s="198"/>
      <c r="T155" s="197"/>
    </row>
    <row r="156" spans="1:20">
      <c r="A156" s="163">
        <v>45231</v>
      </c>
      <c r="B156" s="116">
        <f>'[7]US EIA'!$R304</f>
        <v>2079</v>
      </c>
      <c r="C156" s="116">
        <f>'[4]Renewable Diesel'!$AX167</f>
        <v>3897</v>
      </c>
      <c r="D156" s="116">
        <f t="shared" si="43"/>
        <v>5976</v>
      </c>
      <c r="E156" s="116">
        <f>monthly_data!F613</f>
        <v>135.68700000000001</v>
      </c>
      <c r="F156" s="116">
        <f>monthly_data!AD613</f>
        <v>223.488</v>
      </c>
      <c r="G156" s="116">
        <f t="shared" si="44"/>
        <v>359.17500000000001</v>
      </c>
      <c r="H156" s="164">
        <f t="shared" si="45"/>
        <v>0.7684487734487736</v>
      </c>
      <c r="I156" s="164">
        <f t="shared" si="50"/>
        <v>0.67523504432690162</v>
      </c>
      <c r="J156" s="164">
        <f t="shared" si="46"/>
        <v>0.70766331454851672</v>
      </c>
      <c r="K156" s="116">
        <f t="shared" si="54"/>
        <v>481.3949999999997</v>
      </c>
      <c r="L156" s="116">
        <f t="shared" si="54"/>
        <v>1265.6090322580644</v>
      </c>
      <c r="M156" s="116">
        <f t="shared" si="54"/>
        <v>1747.0040322580642</v>
      </c>
      <c r="N156" s="165" t="s">
        <v>249</v>
      </c>
      <c r="O156" s="165" t="s">
        <v>250</v>
      </c>
      <c r="P156" s="165" t="s">
        <v>251</v>
      </c>
      <c r="Q156" s="165" t="s">
        <v>249</v>
      </c>
      <c r="R156" s="165" t="s">
        <v>250</v>
      </c>
      <c r="S156" s="165" t="s">
        <v>251</v>
      </c>
      <c r="T156" s="197"/>
    </row>
    <row r="157" spans="1:20">
      <c r="A157" s="163">
        <v>45261</v>
      </c>
      <c r="B157" s="116">
        <f>'[7]US EIA'!$R305</f>
        <v>2073</v>
      </c>
      <c r="C157" s="116">
        <f>'[4]Renewable Diesel'!$AX168</f>
        <v>3857</v>
      </c>
      <c r="D157" s="116">
        <f t="shared" si="43"/>
        <v>5930</v>
      </c>
      <c r="E157" s="116">
        <f>monthly_data!F614</f>
        <v>138.01400000000001</v>
      </c>
      <c r="F157" s="116">
        <f>monthly_data!AD614</f>
        <v>269.65499999999997</v>
      </c>
      <c r="G157" s="116">
        <f t="shared" si="44"/>
        <v>407.66899999999998</v>
      </c>
      <c r="H157" s="164">
        <f t="shared" si="45"/>
        <v>0.8100194565042611</v>
      </c>
      <c r="I157" s="164">
        <f t="shared" si="50"/>
        <v>0.85060992999740714</v>
      </c>
      <c r="J157" s="164">
        <f t="shared" si="46"/>
        <v>0.83642037661607649</v>
      </c>
      <c r="K157" s="116">
        <f t="shared" si="54"/>
        <v>393.82966666666675</v>
      </c>
      <c r="L157" s="116">
        <f t="shared" si="54"/>
        <v>576.19750000000067</v>
      </c>
      <c r="M157" s="116">
        <f t="shared" si="54"/>
        <v>970.0271666666664</v>
      </c>
      <c r="N157" s="116">
        <f>B157-B145</f>
        <v>-17</v>
      </c>
      <c r="O157" s="116">
        <f>C157-C145</f>
        <v>918</v>
      </c>
      <c r="P157" s="116">
        <f t="shared" ref="P157" si="55">D157-D145</f>
        <v>901</v>
      </c>
      <c r="Q157" s="116">
        <f>SUM(E146:E157)</f>
        <v>1696.8270000000002</v>
      </c>
      <c r="R157" s="116">
        <f>SUM(F146:F157)</f>
        <v>2593.2420000000002</v>
      </c>
      <c r="S157" s="116">
        <f>SUM(G146:G157)</f>
        <v>4290.0690000000004</v>
      </c>
      <c r="T157" s="116">
        <f>S157-S145</f>
        <v>1168.9870000000005</v>
      </c>
    </row>
    <row r="158" spans="1:20">
      <c r="A158" s="163">
        <v>45292</v>
      </c>
      <c r="B158" s="116">
        <f>'[7]US EIA'!$R306</f>
        <v>2073</v>
      </c>
      <c r="C158" s="116">
        <f>'[4]Renewable Diesel'!$AX169</f>
        <v>3857</v>
      </c>
      <c r="D158" s="116">
        <f t="shared" si="43"/>
        <v>5930</v>
      </c>
      <c r="E158" s="116">
        <f>monthly_data!F615</f>
        <v>127.182</v>
      </c>
      <c r="F158" s="116">
        <f>monthly_data!AD615</f>
        <v>237.262</v>
      </c>
      <c r="G158" s="116">
        <f t="shared" si="44"/>
        <v>364.44400000000002</v>
      </c>
      <c r="H158" s="164">
        <f t="shared" si="45"/>
        <v>0.72236636945053911</v>
      </c>
      <c r="I158" s="164">
        <f t="shared" si="50"/>
        <v>0.72428537974524743</v>
      </c>
      <c r="J158" s="164">
        <f t="shared" si="46"/>
        <v>0.72361453516836216</v>
      </c>
      <c r="K158" s="116">
        <f t="shared" si="54"/>
        <v>575.53451612903245</v>
      </c>
      <c r="L158" s="116">
        <f t="shared" si="54"/>
        <v>1063.4312903225807</v>
      </c>
      <c r="M158" s="116">
        <f t="shared" si="54"/>
        <v>1638.9658064516125</v>
      </c>
      <c r="N158" s="116">
        <f t="shared" ref="N158:R158" si="56">N157-N145</f>
        <v>137</v>
      </c>
      <c r="O158" s="116">
        <f t="shared" si="56"/>
        <v>-915</v>
      </c>
      <c r="P158" s="116">
        <f t="shared" si="56"/>
        <v>-778</v>
      </c>
      <c r="Q158" s="116">
        <f t="shared" si="56"/>
        <v>74.800000000000182</v>
      </c>
      <c r="R158" s="116">
        <f t="shared" si="56"/>
        <v>1094.1870000000001</v>
      </c>
      <c r="S158" s="116">
        <f>S157-S145</f>
        <v>1168.9870000000005</v>
      </c>
    </row>
    <row r="159" spans="1:20">
      <c r="A159" s="163">
        <v>45323</v>
      </c>
      <c r="B159" s="116">
        <f>'[7]US EIA'!$R307</f>
        <v>1984</v>
      </c>
      <c r="C159" s="116">
        <f>'[4]Renewable Diesel'!$AX170</f>
        <v>3857</v>
      </c>
      <c r="D159" s="116">
        <f t="shared" si="43"/>
        <v>5841</v>
      </c>
      <c r="E159" s="116">
        <f>monthly_data!F616</f>
        <v>125.521</v>
      </c>
      <c r="F159" s="116">
        <f>monthly_data!AD616</f>
        <v>236.21799999999999</v>
      </c>
      <c r="G159" s="116">
        <f t="shared" si="44"/>
        <v>361.73899999999998</v>
      </c>
      <c r="H159" s="164">
        <f t="shared" si="45"/>
        <v>0.74491358285639953</v>
      </c>
      <c r="I159" s="164">
        <f t="shared" si="50"/>
        <v>0.72109837998778925</v>
      </c>
      <c r="J159" s="164">
        <f t="shared" si="46"/>
        <v>0.7291876391028933</v>
      </c>
      <c r="K159" s="116">
        <f t="shared" si="54"/>
        <v>506.09145161290337</v>
      </c>
      <c r="L159" s="116">
        <f t="shared" si="54"/>
        <v>1075.7235483870968</v>
      </c>
      <c r="M159" s="116">
        <f t="shared" si="54"/>
        <v>1581.8150000000003</v>
      </c>
      <c r="N159" s="84" t="s">
        <v>264</v>
      </c>
    </row>
    <row r="160" spans="1:20">
      <c r="A160" s="163">
        <v>45352</v>
      </c>
      <c r="B160" s="116">
        <f>'[7]US EIA'!$R308</f>
        <v>1984</v>
      </c>
      <c r="C160" s="116">
        <f>'[4]Renewable Diesel'!$AX171</f>
        <v>3857</v>
      </c>
      <c r="D160" s="116">
        <f t="shared" si="43"/>
        <v>5841</v>
      </c>
      <c r="E160" s="116">
        <f>monthly_data!F617</f>
        <v>135.63999999999999</v>
      </c>
      <c r="F160" s="116">
        <f>monthly_data!AD617</f>
        <v>251.34800000000001</v>
      </c>
      <c r="G160" s="116">
        <f t="shared" si="44"/>
        <v>386.988</v>
      </c>
      <c r="H160" s="164">
        <f t="shared" si="45"/>
        <v>0.86048039488320349</v>
      </c>
      <c r="I160" s="164">
        <f t="shared" si="50"/>
        <v>0.82020169329387682</v>
      </c>
      <c r="J160" s="164">
        <f t="shared" si="46"/>
        <v>0.83388307387138483</v>
      </c>
      <c r="K160" s="116">
        <f t="shared" si="54"/>
        <v>276.80689655172426</v>
      </c>
      <c r="L160" s="116">
        <f t="shared" si="54"/>
        <v>693.4820689655171</v>
      </c>
      <c r="M160" s="116">
        <f t="shared" si="54"/>
        <v>970.28896551724119</v>
      </c>
      <c r="N160" s="116">
        <f>AVERAGE(K146:K157)</f>
        <v>377.1926882360471</v>
      </c>
      <c r="O160" s="116">
        <f t="shared" ref="O160:P160" si="57">AVERAGE(L146:L157)</f>
        <v>949.04051859318997</v>
      </c>
      <c r="P160" s="116">
        <f t="shared" si="57"/>
        <v>1326.2332068292369</v>
      </c>
    </row>
    <row r="161" spans="1:20">
      <c r="A161" s="163">
        <v>45383</v>
      </c>
      <c r="B161" s="116">
        <f>'[7]US EIA'!$R309</f>
        <v>1991</v>
      </c>
      <c r="C161" s="116">
        <f>'[4]Renewable Diesel'!$AX172</f>
        <v>4129</v>
      </c>
      <c r="D161" s="116">
        <f t="shared" si="43"/>
        <v>6120</v>
      </c>
      <c r="E161" s="116">
        <f>monthly_data!F618</f>
        <v>133.541</v>
      </c>
      <c r="F161" s="116">
        <f>monthly_data!AD618</f>
        <v>261.32400000000001</v>
      </c>
      <c r="G161" s="116">
        <f t="shared" si="44"/>
        <v>394.86500000000001</v>
      </c>
      <c r="H161" s="164">
        <f t="shared" si="45"/>
        <v>0.78972254176050294</v>
      </c>
      <c r="I161" s="164">
        <f t="shared" si="50"/>
        <v>0.74518754052766034</v>
      </c>
      <c r="J161" s="164">
        <f t="shared" si="46"/>
        <v>0.75967596985030583</v>
      </c>
      <c r="K161" s="116">
        <f t="shared" si="54"/>
        <v>418.66241935483868</v>
      </c>
      <c r="L161" s="116">
        <f t="shared" si="54"/>
        <v>1052.1206451612904</v>
      </c>
      <c r="M161" s="116">
        <f t="shared" si="54"/>
        <v>1470.7830645161282</v>
      </c>
    </row>
    <row r="162" spans="1:20">
      <c r="A162" s="163">
        <v>45413</v>
      </c>
      <c r="B162" s="116">
        <f>'[7]US EIA'!$R310</f>
        <v>2022</v>
      </c>
      <c r="C162" s="116">
        <f>'[4]Renewable Diesel'!$AX173</f>
        <v>4575</v>
      </c>
      <c r="D162" s="116">
        <f t="shared" si="43"/>
        <v>6597</v>
      </c>
      <c r="E162" s="116">
        <f>monthly_data!F619</f>
        <v>143.05699999999999</v>
      </c>
      <c r="F162" s="116">
        <f>monthly_data!AD619</f>
        <v>229.66200000000001</v>
      </c>
      <c r="G162" s="116">
        <f t="shared" si="44"/>
        <v>372.71899999999999</v>
      </c>
      <c r="H162" s="164">
        <f t="shared" si="45"/>
        <v>0.8607946752390373</v>
      </c>
      <c r="I162" s="164">
        <f t="shared" si="50"/>
        <v>0.61075868852459014</v>
      </c>
      <c r="J162" s="164">
        <f t="shared" si="46"/>
        <v>0.68739545753120113</v>
      </c>
      <c r="K162" s="116">
        <f t="shared" si="54"/>
        <v>281.4731666666666</v>
      </c>
      <c r="L162" s="116">
        <f t="shared" si="54"/>
        <v>1780.779</v>
      </c>
      <c r="M162" s="116">
        <f t="shared" si="54"/>
        <v>2062.2521666666662</v>
      </c>
    </row>
    <row r="163" spans="1:20">
      <c r="A163" s="163">
        <v>45444</v>
      </c>
      <c r="B163" s="116">
        <f>'[7]US EIA'!$R311</f>
        <v>2022</v>
      </c>
      <c r="C163" s="116">
        <f>'[4]Renewable Diesel'!$AX174</f>
        <v>4897</v>
      </c>
      <c r="D163" s="116">
        <f t="shared" si="43"/>
        <v>6919</v>
      </c>
      <c r="E163" s="116">
        <f>monthly_data!F620</f>
        <v>141.52099999999999</v>
      </c>
      <c r="F163" s="116">
        <f>monthly_data!AD620</f>
        <v>294.846</v>
      </c>
      <c r="G163" s="116">
        <f t="shared" si="44"/>
        <v>436.36699999999996</v>
      </c>
      <c r="H163" s="164">
        <f t="shared" si="45"/>
        <v>0.82408291056443628</v>
      </c>
      <c r="I163" s="164">
        <f t="shared" si="50"/>
        <v>0.7089184951945563</v>
      </c>
      <c r="J163" s="164">
        <f t="shared" si="46"/>
        <v>0.74257400146394448</v>
      </c>
      <c r="K163" s="116">
        <f t="shared" si="54"/>
        <v>355.70435483870983</v>
      </c>
      <c r="L163" s="116">
        <f t="shared" si="54"/>
        <v>1425.4261290322579</v>
      </c>
      <c r="M163" s="116">
        <f t="shared" si="54"/>
        <v>1781.1304838709682</v>
      </c>
    </row>
    <row r="164" spans="1:20">
      <c r="A164" s="163">
        <v>45474</v>
      </c>
      <c r="B164" s="116">
        <f>'[7]US EIA'!$R312</f>
        <v>2022</v>
      </c>
      <c r="C164" s="116">
        <f>'[4]Renewable Diesel'!$AX175</f>
        <v>4598</v>
      </c>
      <c r="D164" s="116">
        <f t="shared" si="43"/>
        <v>6620</v>
      </c>
      <c r="E164" s="116">
        <f>monthly_data!F621</f>
        <v>146.05699999999999</v>
      </c>
      <c r="F164" s="116">
        <f>monthly_data!AD621</f>
        <v>287.07900000000001</v>
      </c>
      <c r="G164" s="116">
        <f t="shared" si="44"/>
        <v>433.13599999999997</v>
      </c>
      <c r="H164" s="164">
        <f t="shared" si="45"/>
        <v>0.87884610946257824</v>
      </c>
      <c r="I164" s="164">
        <f t="shared" si="50"/>
        <v>0.75963342757720742</v>
      </c>
      <c r="J164" s="164">
        <f t="shared" si="46"/>
        <v>0.79604551863041284</v>
      </c>
      <c r="K164" s="116">
        <f t="shared" si="54"/>
        <v>244.9731666666668</v>
      </c>
      <c r="L164" s="116">
        <f t="shared" si="54"/>
        <v>1105.2055000000003</v>
      </c>
      <c r="M164" s="116">
        <f t="shared" si="54"/>
        <v>1350.1786666666669</v>
      </c>
    </row>
    <row r="165" spans="1:20">
      <c r="A165" s="163">
        <v>45505</v>
      </c>
      <c r="B165" s="116">
        <f>'[7]US EIA'!$R313</f>
        <v>1995</v>
      </c>
      <c r="C165" s="116">
        <f>'[4]Renewable Diesel'!$AX176</f>
        <v>4598</v>
      </c>
      <c r="D165" s="116">
        <f t="shared" si="43"/>
        <v>6593</v>
      </c>
      <c r="E165" s="166">
        <f>BD!Y32</f>
        <v>139.72418999999999</v>
      </c>
      <c r="F165" s="166">
        <f>RD!Y31</f>
        <v>260.49037299999998</v>
      </c>
      <c r="G165" s="166">
        <f t="shared" si="44"/>
        <v>400.214563</v>
      </c>
      <c r="H165" s="167">
        <f t="shared" si="45"/>
        <v>0.82463140674266311</v>
      </c>
      <c r="I165" s="167">
        <f t="shared" si="50"/>
        <v>0.66704307724957557</v>
      </c>
      <c r="J165" s="167">
        <f t="shared" si="46"/>
        <v>0.7147283066350919</v>
      </c>
      <c r="K165" s="166">
        <f t="shared" si="54"/>
        <v>349.86034354838711</v>
      </c>
      <c r="L165" s="166">
        <f t="shared" si="54"/>
        <v>1530.9359308064516</v>
      </c>
      <c r="M165" s="166">
        <f t="shared" si="54"/>
        <v>1880.7962743548392</v>
      </c>
    </row>
    <row r="166" spans="1:20">
      <c r="A166" s="163">
        <v>45536</v>
      </c>
      <c r="B166" s="166">
        <f>'[7]US EIA'!$R314</f>
        <v>1995</v>
      </c>
      <c r="C166" s="166">
        <f>'[4]Renewable Diesel'!$AX177</f>
        <v>4580</v>
      </c>
      <c r="D166" s="166">
        <f t="shared" si="43"/>
        <v>6575</v>
      </c>
      <c r="E166" s="166">
        <f>BD!Y33</f>
        <v>134.53788499999999</v>
      </c>
      <c r="F166" s="166">
        <f>RD!Y32</f>
        <v>257.92793699999999</v>
      </c>
      <c r="G166" s="166">
        <f t="shared" si="44"/>
        <v>392.465822</v>
      </c>
      <c r="H166" s="167">
        <f t="shared" si="45"/>
        <v>0.7940226053035816</v>
      </c>
      <c r="I166" s="167">
        <f t="shared" si="50"/>
        <v>0.6630771728764614</v>
      </c>
      <c r="J166" s="167">
        <f t="shared" si="46"/>
        <v>0.70280890484484237</v>
      </c>
      <c r="K166" s="166">
        <f t="shared" si="54"/>
        <v>410.92490241935474</v>
      </c>
      <c r="L166" s="166">
        <f t="shared" si="54"/>
        <v>1543.1065482258068</v>
      </c>
      <c r="M166" s="166">
        <f t="shared" si="54"/>
        <v>1954.0314506451614</v>
      </c>
    </row>
    <row r="167" spans="1:20">
      <c r="A167" s="163">
        <v>45566</v>
      </c>
      <c r="B167" s="166">
        <f>'[7]US EIA'!$R315</f>
        <v>1995</v>
      </c>
      <c r="C167" s="166">
        <f>'[4]Renewable Diesel'!$AX178</f>
        <v>4235.9999999999991</v>
      </c>
      <c r="D167" s="166">
        <f t="shared" si="43"/>
        <v>6230.9999999999991</v>
      </c>
      <c r="E167" s="166">
        <f>BD!Y34</f>
        <v>148.097836</v>
      </c>
      <c r="F167" s="166">
        <f>RD!Y33</f>
        <v>289.55729300000002</v>
      </c>
      <c r="G167" s="166">
        <f t="shared" si="44"/>
        <v>437.65512899999999</v>
      </c>
      <c r="H167" s="167">
        <f t="shared" si="45"/>
        <v>0.90318646850459483</v>
      </c>
      <c r="I167" s="167">
        <f t="shared" si="50"/>
        <v>0.83166833447434707</v>
      </c>
      <c r="J167" s="167">
        <f t="shared" si="46"/>
        <v>0.85456653338147981</v>
      </c>
      <c r="K167" s="166">
        <f t="shared" si="54"/>
        <v>193.14299533333332</v>
      </c>
      <c r="L167" s="166">
        <f t="shared" si="54"/>
        <v>713.05293516666563</v>
      </c>
      <c r="M167" s="166">
        <f t="shared" si="54"/>
        <v>906.19593049999912</v>
      </c>
    </row>
    <row r="168" spans="1:20">
      <c r="A168" s="163">
        <v>45597</v>
      </c>
      <c r="B168" s="166">
        <f>'[7]US EIA'!$R316</f>
        <v>1995</v>
      </c>
      <c r="C168" s="166">
        <f>'[4]Renewable Diesel'!$AX179</f>
        <v>4256</v>
      </c>
      <c r="D168" s="166">
        <f t="shared" si="43"/>
        <v>6251</v>
      </c>
      <c r="E168" s="166">
        <f>BD!Y35</f>
        <v>133.353588</v>
      </c>
      <c r="F168" s="166">
        <f>RD!Y34</f>
        <v>261.18942399999997</v>
      </c>
      <c r="G168" s="166">
        <f t="shared" si="44"/>
        <v>394.54301199999998</v>
      </c>
      <c r="H168" s="167">
        <f t="shared" si="45"/>
        <v>0.78703306039291787</v>
      </c>
      <c r="I168" s="167">
        <f t="shared" si="50"/>
        <v>0.72257867268978881</v>
      </c>
      <c r="J168" s="167">
        <f t="shared" si="46"/>
        <v>0.74314922195674482</v>
      </c>
      <c r="K168" s="166">
        <f t="shared" si="54"/>
        <v>424.86904451612884</v>
      </c>
      <c r="L168" s="166">
        <f t="shared" si="54"/>
        <v>1180.7051690322587</v>
      </c>
      <c r="M168" s="166">
        <f t="shared" si="54"/>
        <v>1605.5742135483881</v>
      </c>
    </row>
    <row r="169" spans="1:20">
      <c r="A169" s="163">
        <v>45627</v>
      </c>
      <c r="B169" s="166">
        <f>'[7]US EIA'!$R317</f>
        <v>1995</v>
      </c>
      <c r="C169" s="166">
        <f>'[4]Renewable Diesel'!$AX180</f>
        <v>4282</v>
      </c>
      <c r="D169" s="166">
        <f t="shared" si="43"/>
        <v>6277</v>
      </c>
      <c r="E169" s="166">
        <f>BD!Y36</f>
        <v>174.92183499999999</v>
      </c>
      <c r="F169" s="166">
        <f>RD!Y35</f>
        <v>314.11158899999998</v>
      </c>
      <c r="G169" s="166">
        <f t="shared" si="44"/>
        <v>489.03342399999997</v>
      </c>
      <c r="H169" s="167">
        <f t="shared" si="45"/>
        <v>1.0667747664995821</v>
      </c>
      <c r="I169" s="167">
        <f t="shared" si="50"/>
        <v>0.89250140109761789</v>
      </c>
      <c r="J169" s="167">
        <f t="shared" si="46"/>
        <v>0.94789017980988777</v>
      </c>
      <c r="K169" s="166">
        <f t="shared" si="54"/>
        <v>-133.21565916666637</v>
      </c>
      <c r="L169" s="166">
        <f t="shared" si="54"/>
        <v>460.3090005000002</v>
      </c>
      <c r="M169" s="166">
        <f t="shared" si="54"/>
        <v>327.09334133333448</v>
      </c>
      <c r="N169" s="116">
        <f>B169-B157</f>
        <v>-78</v>
      </c>
      <c r="O169" s="116">
        <f>C169-C157</f>
        <v>425</v>
      </c>
      <c r="P169" s="116">
        <f>D169-D157</f>
        <v>347</v>
      </c>
      <c r="Q169" s="116">
        <f>SUM(E158:E169)</f>
        <v>1683.1543339999998</v>
      </c>
      <c r="R169" s="116">
        <f t="shared" ref="R169:S169" si="58">SUM(F158:F169)</f>
        <v>3181.0156160000001</v>
      </c>
      <c r="S169" s="116">
        <f t="shared" si="58"/>
        <v>4864.1699500000004</v>
      </c>
      <c r="T169" s="116">
        <f>S169-S157</f>
        <v>574.10095000000001</v>
      </c>
    </row>
  </sheetData>
  <mergeCells count="3">
    <mergeCell ref="T153:T156"/>
    <mergeCell ref="N155:P155"/>
    <mergeCell ref="Q155:S1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4084-435D-412B-B272-20CD4D53BB59}">
  <sheetPr>
    <tabColor rgb="FFC00000"/>
  </sheetPr>
  <dimension ref="A1:U74"/>
  <sheetViews>
    <sheetView workbookViewId="0">
      <selection activeCell="B7" sqref="B7"/>
    </sheetView>
  </sheetViews>
  <sheetFormatPr defaultRowHeight="15"/>
  <cols>
    <col min="1" max="1" width="46" customWidth="1"/>
    <col min="2" max="2" width="10.5703125" bestFit="1" customWidth="1"/>
    <col min="3" max="3" width="10.5703125" customWidth="1"/>
    <col min="4" max="8" width="10.5703125" bestFit="1" customWidth="1"/>
    <col min="9" max="14" width="11.5703125" bestFit="1" customWidth="1"/>
    <col min="15" max="18" width="11.5703125" customWidth="1"/>
    <col min="19" max="21" width="11.5703125" bestFit="1" customWidth="1"/>
  </cols>
  <sheetData>
    <row r="1" spans="1:21">
      <c r="A1" s="168" t="s">
        <v>265</v>
      </c>
      <c r="B1" s="169" t="s">
        <v>266</v>
      </c>
      <c r="C1" s="169" t="s">
        <v>267</v>
      </c>
      <c r="D1" s="169" t="s">
        <v>268</v>
      </c>
      <c r="E1" s="169" t="s">
        <v>269</v>
      </c>
      <c r="F1" s="169" t="s">
        <v>270</v>
      </c>
      <c r="G1" s="169" t="s">
        <v>271</v>
      </c>
      <c r="H1" s="169" t="s">
        <v>272</v>
      </c>
      <c r="I1" s="169" t="s">
        <v>273</v>
      </c>
      <c r="J1" s="169" t="s">
        <v>274</v>
      </c>
      <c r="K1" s="169" t="s">
        <v>275</v>
      </c>
      <c r="L1" s="169" t="s">
        <v>276</v>
      </c>
      <c r="M1" s="169" t="s">
        <v>277</v>
      </c>
      <c r="N1" s="169" t="s">
        <v>278</v>
      </c>
      <c r="O1" s="169" t="s">
        <v>279</v>
      </c>
      <c r="P1" s="169" t="s">
        <v>280</v>
      </c>
      <c r="Q1" s="169" t="s">
        <v>281</v>
      </c>
      <c r="R1" s="169" t="s">
        <v>282</v>
      </c>
      <c r="S1" s="169" t="s">
        <v>283</v>
      </c>
      <c r="T1" s="169" t="s">
        <v>284</v>
      </c>
      <c r="U1" s="170" t="s">
        <v>285</v>
      </c>
    </row>
    <row r="2" spans="1:21">
      <c r="A2" s="171" t="s">
        <v>286</v>
      </c>
      <c r="B2" s="172" t="s">
        <v>287</v>
      </c>
      <c r="C2" s="172" t="s">
        <v>288</v>
      </c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3"/>
    </row>
    <row r="3" spans="1:21">
      <c r="A3" s="174"/>
      <c r="B3" s="175"/>
      <c r="C3" s="175" t="s">
        <v>289</v>
      </c>
      <c r="D3" s="175"/>
      <c r="E3" s="175"/>
      <c r="F3" s="175"/>
      <c r="G3" s="175" t="s">
        <v>290</v>
      </c>
      <c r="H3" s="175"/>
      <c r="I3" s="175"/>
      <c r="J3" s="175"/>
      <c r="K3" s="175" t="s">
        <v>291</v>
      </c>
      <c r="L3" s="175"/>
      <c r="M3" s="175"/>
      <c r="N3" s="175"/>
      <c r="O3" s="175">
        <v>2025</v>
      </c>
      <c r="P3" s="175"/>
      <c r="Q3" s="175"/>
      <c r="R3" s="175"/>
      <c r="S3" s="175"/>
      <c r="T3" s="175" t="s">
        <v>292</v>
      </c>
      <c r="U3" s="176"/>
    </row>
    <row r="4" spans="1:21">
      <c r="A4" s="171" t="s">
        <v>293</v>
      </c>
      <c r="B4" s="172"/>
      <c r="C4" s="172" t="s">
        <v>294</v>
      </c>
      <c r="D4" s="172" t="s">
        <v>295</v>
      </c>
      <c r="E4" s="172" t="s">
        <v>296</v>
      </c>
      <c r="F4" s="172" t="s">
        <v>297</v>
      </c>
      <c r="G4" s="172" t="s">
        <v>294</v>
      </c>
      <c r="H4" s="172" t="s">
        <v>295</v>
      </c>
      <c r="I4" s="172" t="s">
        <v>296</v>
      </c>
      <c r="J4" s="172" t="s">
        <v>297</v>
      </c>
      <c r="K4" s="172" t="s">
        <v>294</v>
      </c>
      <c r="L4" s="172" t="s">
        <v>295</v>
      </c>
      <c r="M4" s="172" t="s">
        <v>296</v>
      </c>
      <c r="N4" s="172" t="s">
        <v>297</v>
      </c>
      <c r="O4" s="172" t="s">
        <v>294</v>
      </c>
      <c r="P4" s="172" t="s">
        <v>295</v>
      </c>
      <c r="Q4" s="172" t="s">
        <v>296</v>
      </c>
      <c r="R4" s="172" t="s">
        <v>297</v>
      </c>
      <c r="S4" s="172">
        <v>2022</v>
      </c>
      <c r="T4" s="172" t="s">
        <v>290</v>
      </c>
      <c r="U4" s="173">
        <v>2024</v>
      </c>
    </row>
    <row r="5" spans="1:21">
      <c r="A5" s="174" t="s">
        <v>298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6"/>
    </row>
    <row r="6" spans="1:21">
      <c r="A6" s="171" t="s">
        <v>299</v>
      </c>
      <c r="B6" s="172"/>
      <c r="C6" s="172">
        <v>11.52</v>
      </c>
      <c r="D6" s="172">
        <v>11.77</v>
      </c>
      <c r="E6" s="172">
        <v>12.05</v>
      </c>
      <c r="F6" s="172">
        <v>12.3</v>
      </c>
      <c r="G6" s="172">
        <v>12.63</v>
      </c>
      <c r="H6" s="172">
        <v>12.75</v>
      </c>
      <c r="I6" s="172">
        <v>13.07</v>
      </c>
      <c r="J6" s="172">
        <v>13.26</v>
      </c>
      <c r="K6" s="172">
        <v>12.96</v>
      </c>
      <c r="L6" s="172">
        <v>13.1</v>
      </c>
      <c r="M6" s="172">
        <v>13.25</v>
      </c>
      <c r="N6" s="172">
        <v>13.5</v>
      </c>
      <c r="O6" s="172">
        <v>13.55</v>
      </c>
      <c r="P6" s="172">
        <v>13.73</v>
      </c>
      <c r="Q6" s="172">
        <v>13.76</v>
      </c>
      <c r="R6" s="172">
        <v>13.87</v>
      </c>
      <c r="S6" s="172">
        <v>11.89</v>
      </c>
      <c r="T6" s="172" t="s">
        <v>300</v>
      </c>
      <c r="U6" s="173">
        <v>12.85</v>
      </c>
    </row>
    <row r="7" spans="1:21">
      <c r="A7" s="174" t="s">
        <v>301</v>
      </c>
      <c r="B7" s="175"/>
      <c r="C7" s="175">
        <v>0.45</v>
      </c>
      <c r="D7" s="175">
        <v>0.44</v>
      </c>
      <c r="E7" s="175">
        <v>0.42</v>
      </c>
      <c r="F7" s="175">
        <v>0.44</v>
      </c>
      <c r="G7" s="175">
        <v>0.44</v>
      </c>
      <c r="H7" s="175">
        <v>0.43</v>
      </c>
      <c r="I7" s="175">
        <v>0.4</v>
      </c>
      <c r="J7" s="175">
        <v>0.43</v>
      </c>
      <c r="K7" s="175">
        <v>0.43</v>
      </c>
      <c r="L7" s="175">
        <v>0.41</v>
      </c>
      <c r="M7" s="175">
        <v>0.39</v>
      </c>
      <c r="N7" s="175">
        <v>0.42</v>
      </c>
      <c r="O7" s="175">
        <v>0.42</v>
      </c>
      <c r="P7" s="175">
        <v>0.4</v>
      </c>
      <c r="Q7" s="175">
        <v>0.38</v>
      </c>
      <c r="R7" s="175">
        <v>0.41</v>
      </c>
      <c r="S7" s="175">
        <v>0.44</v>
      </c>
      <c r="T7" s="175" t="s">
        <v>302</v>
      </c>
      <c r="U7" s="176">
        <v>0.4</v>
      </c>
    </row>
    <row r="8" spans="1:21">
      <c r="A8" s="171" t="s">
        <v>303</v>
      </c>
      <c r="B8" s="172"/>
      <c r="C8" s="172">
        <v>1.66</v>
      </c>
      <c r="D8" s="172">
        <v>1.7</v>
      </c>
      <c r="E8" s="172">
        <v>1.77</v>
      </c>
      <c r="F8" s="172">
        <v>1.79</v>
      </c>
      <c r="G8" s="172">
        <v>1.87</v>
      </c>
      <c r="H8" s="172">
        <v>1.77</v>
      </c>
      <c r="I8" s="172">
        <v>1.94</v>
      </c>
      <c r="J8" s="172">
        <v>1.87</v>
      </c>
      <c r="K8" s="172">
        <v>1.78</v>
      </c>
      <c r="L8" s="172">
        <v>1.8</v>
      </c>
      <c r="M8" s="172">
        <v>1.81</v>
      </c>
      <c r="N8" s="172">
        <v>1.85</v>
      </c>
      <c r="O8" s="172">
        <v>1.92</v>
      </c>
      <c r="P8" s="172">
        <v>1.93</v>
      </c>
      <c r="Q8" s="172">
        <v>1.88</v>
      </c>
      <c r="R8" s="172">
        <v>1.91</v>
      </c>
      <c r="S8" s="172">
        <v>1.74</v>
      </c>
      <c r="T8" s="172" t="s">
        <v>304</v>
      </c>
      <c r="U8" s="173">
        <v>1.88</v>
      </c>
    </row>
    <row r="9" spans="1:21">
      <c r="A9" s="174" t="s">
        <v>305</v>
      </c>
      <c r="B9" s="175"/>
      <c r="C9" s="175">
        <v>9.42</v>
      </c>
      <c r="D9" s="175">
        <v>9.6300000000000008</v>
      </c>
      <c r="E9" s="175">
        <v>9.85</v>
      </c>
      <c r="F9" s="175">
        <v>10.06</v>
      </c>
      <c r="G9" s="175">
        <v>10.31</v>
      </c>
      <c r="H9" s="175">
        <v>10.55</v>
      </c>
      <c r="I9" s="175">
        <v>10.73</v>
      </c>
      <c r="J9" s="175">
        <v>10.96</v>
      </c>
      <c r="K9" s="175">
        <v>10.75</v>
      </c>
      <c r="L9" s="175">
        <v>10.89</v>
      </c>
      <c r="M9" s="175">
        <v>11.06</v>
      </c>
      <c r="N9" s="175">
        <v>11.24</v>
      </c>
      <c r="O9" s="175">
        <v>11.22</v>
      </c>
      <c r="P9" s="175">
        <v>11.4</v>
      </c>
      <c r="Q9" s="175">
        <v>11.5</v>
      </c>
      <c r="R9" s="175">
        <v>11.55</v>
      </c>
      <c r="S9" s="175">
        <v>9.7100000000000009</v>
      </c>
      <c r="T9" s="175" t="s">
        <v>306</v>
      </c>
      <c r="U9" s="176">
        <v>10.57</v>
      </c>
    </row>
    <row r="10" spans="1:21">
      <c r="A10" s="171" t="s">
        <v>307</v>
      </c>
      <c r="B10" s="172"/>
      <c r="C10" s="172">
        <v>3.06</v>
      </c>
      <c r="D10" s="172">
        <v>2.81</v>
      </c>
      <c r="E10" s="172">
        <v>2.75</v>
      </c>
      <c r="F10" s="172">
        <v>2.2000000000000002</v>
      </c>
      <c r="G10" s="172">
        <v>2.27</v>
      </c>
      <c r="H10" s="172">
        <v>2.5099999999999998</v>
      </c>
      <c r="I10" s="172">
        <v>2.61</v>
      </c>
      <c r="J10" s="172">
        <v>2.29</v>
      </c>
      <c r="K10" s="172">
        <v>2.2799999999999998</v>
      </c>
      <c r="L10" s="172">
        <v>2.35</v>
      </c>
      <c r="M10" s="172">
        <v>2.14</v>
      </c>
      <c r="N10" s="172">
        <v>1.59</v>
      </c>
      <c r="O10" s="172">
        <v>1.28</v>
      </c>
      <c r="P10" s="172">
        <v>1.54</v>
      </c>
      <c r="Q10" s="172">
        <v>1.44</v>
      </c>
      <c r="R10" s="172">
        <v>1.1399999999999999</v>
      </c>
      <c r="S10" s="172">
        <v>2.67</v>
      </c>
      <c r="T10" s="172" t="s">
        <v>308</v>
      </c>
      <c r="U10" s="173">
        <v>2.58</v>
      </c>
    </row>
    <row r="11" spans="1:21">
      <c r="A11" s="174" t="s">
        <v>309</v>
      </c>
      <c r="B11" s="175"/>
      <c r="C11" s="175">
        <v>0.31</v>
      </c>
      <c r="D11" s="175">
        <v>0.8</v>
      </c>
      <c r="E11" s="175">
        <v>0.84</v>
      </c>
      <c r="F11" s="175">
        <v>0.48</v>
      </c>
      <c r="G11" s="175">
        <v>0.01</v>
      </c>
      <c r="H11" s="175">
        <v>0.26</v>
      </c>
      <c r="I11" s="175">
        <v>-0.04</v>
      </c>
      <c r="J11" s="175">
        <v>-0.04</v>
      </c>
      <c r="K11" s="175">
        <v>-0.1</v>
      </c>
      <c r="L11" s="175">
        <v>-0.1</v>
      </c>
      <c r="M11" s="175">
        <v>-0.1</v>
      </c>
      <c r="N11" s="175">
        <v>0</v>
      </c>
      <c r="O11" s="175">
        <v>0</v>
      </c>
      <c r="P11" s="175">
        <v>0</v>
      </c>
      <c r="Q11" s="175">
        <v>0</v>
      </c>
      <c r="R11" s="175">
        <v>0</v>
      </c>
      <c r="S11" s="175">
        <v>0.61</v>
      </c>
      <c r="T11" s="175" t="s">
        <v>310</v>
      </c>
      <c r="U11" s="176">
        <v>0</v>
      </c>
    </row>
    <row r="12" spans="1:21">
      <c r="A12" s="171" t="s">
        <v>311</v>
      </c>
      <c r="B12" s="172"/>
      <c r="C12" s="172">
        <v>0.08</v>
      </c>
      <c r="D12" s="172">
        <v>-0.04</v>
      </c>
      <c r="E12" s="172">
        <v>-0.12</v>
      </c>
      <c r="F12" s="172">
        <v>-0.01</v>
      </c>
      <c r="G12" s="172">
        <v>-0.39</v>
      </c>
      <c r="H12" s="172">
        <v>0.12</v>
      </c>
      <c r="I12" s="172">
        <v>0.41</v>
      </c>
      <c r="J12" s="172">
        <v>-0.1</v>
      </c>
      <c r="K12" s="172">
        <v>-0.3</v>
      </c>
      <c r="L12" s="172">
        <v>0.11</v>
      </c>
      <c r="M12" s="172">
        <v>0.18</v>
      </c>
      <c r="N12" s="172">
        <v>-7.0000000000000007E-2</v>
      </c>
      <c r="O12" s="172">
        <v>-0.33</v>
      </c>
      <c r="P12" s="172">
        <v>0.09</v>
      </c>
      <c r="Q12" s="172">
        <v>0.16</v>
      </c>
      <c r="R12" s="172">
        <v>-0.08</v>
      </c>
      <c r="S12" s="172">
        <v>-0.02</v>
      </c>
      <c r="T12" s="172" t="s">
        <v>312</v>
      </c>
      <c r="U12" s="173">
        <v>-0.01</v>
      </c>
    </row>
    <row r="13" spans="1:21">
      <c r="A13" s="174" t="s">
        <v>313</v>
      </c>
      <c r="B13" s="175"/>
      <c r="C13" s="175">
        <v>0.2</v>
      </c>
      <c r="D13" s="175">
        <v>0.45</v>
      </c>
      <c r="E13" s="175">
        <v>0.38</v>
      </c>
      <c r="F13" s="175">
        <v>0.41</v>
      </c>
      <c r="G13" s="175">
        <v>0.34</v>
      </c>
      <c r="H13" s="175">
        <v>0</v>
      </c>
      <c r="I13" s="175">
        <v>-0.22</v>
      </c>
      <c r="J13" s="175">
        <v>-0.06</v>
      </c>
      <c r="K13" s="175">
        <v>0.03</v>
      </c>
      <c r="L13" s="175">
        <v>0.27</v>
      </c>
      <c r="M13" s="175">
        <v>0.23</v>
      </c>
      <c r="N13" s="175">
        <v>0.25</v>
      </c>
      <c r="O13" s="175">
        <v>0.27</v>
      </c>
      <c r="P13" s="175">
        <v>0.23</v>
      </c>
      <c r="Q13" s="175">
        <v>0.2</v>
      </c>
      <c r="R13" s="175">
        <v>0.23</v>
      </c>
      <c r="S13" s="175">
        <v>0.78</v>
      </c>
      <c r="T13" s="175" t="s">
        <v>314</v>
      </c>
      <c r="U13" s="176">
        <v>0.5</v>
      </c>
    </row>
    <row r="14" spans="1:21">
      <c r="A14" s="171" t="s">
        <v>315</v>
      </c>
      <c r="B14" s="172"/>
      <c r="C14" s="172">
        <v>15.58</v>
      </c>
      <c r="D14" s="172">
        <v>16.149999999999999</v>
      </c>
      <c r="E14" s="172">
        <v>16.309999999999999</v>
      </c>
      <c r="F14" s="172">
        <v>15.86</v>
      </c>
      <c r="G14" s="172">
        <v>15.25</v>
      </c>
      <c r="H14" s="172">
        <v>16.149999999999999</v>
      </c>
      <c r="I14" s="172">
        <v>16.510000000000002</v>
      </c>
      <c r="J14" s="172">
        <v>15.93</v>
      </c>
      <c r="K14" s="172">
        <v>15.38</v>
      </c>
      <c r="L14" s="172">
        <v>16.2</v>
      </c>
      <c r="M14" s="172">
        <v>16.2</v>
      </c>
      <c r="N14" s="172">
        <v>15.75</v>
      </c>
      <c r="O14" s="172">
        <v>15.23</v>
      </c>
      <c r="P14" s="172">
        <v>16.09</v>
      </c>
      <c r="Q14" s="172">
        <v>16.09</v>
      </c>
      <c r="R14" s="172">
        <v>15.66</v>
      </c>
      <c r="S14" s="172">
        <v>15.93</v>
      </c>
      <c r="T14" s="172" t="s">
        <v>316</v>
      </c>
      <c r="U14" s="173">
        <v>15.92</v>
      </c>
    </row>
    <row r="15" spans="1:21">
      <c r="A15" s="174" t="s">
        <v>317</v>
      </c>
      <c r="B15" s="175"/>
      <c r="C15" s="175">
        <v>0.97</v>
      </c>
      <c r="D15" s="175">
        <v>1.08</v>
      </c>
      <c r="E15" s="175">
        <v>1.06</v>
      </c>
      <c r="F15" s="175">
        <v>1.01</v>
      </c>
      <c r="G15" s="175">
        <v>0.97</v>
      </c>
      <c r="H15" s="175">
        <v>1.01</v>
      </c>
      <c r="I15" s="175">
        <v>1.07</v>
      </c>
      <c r="J15" s="175">
        <v>1.05</v>
      </c>
      <c r="K15" s="175">
        <v>0.94</v>
      </c>
      <c r="L15" s="175">
        <v>1.04</v>
      </c>
      <c r="M15" s="175">
        <v>1.05</v>
      </c>
      <c r="N15" s="175">
        <v>1.04</v>
      </c>
      <c r="O15" s="175">
        <v>0.97</v>
      </c>
      <c r="P15" s="175">
        <v>1.03</v>
      </c>
      <c r="Q15" s="175">
        <v>1.06</v>
      </c>
      <c r="R15" s="175">
        <v>1.05</v>
      </c>
      <c r="S15" s="175">
        <v>1.02</v>
      </c>
      <c r="T15" s="175" t="s">
        <v>318</v>
      </c>
      <c r="U15" s="176">
        <v>1</v>
      </c>
    </row>
    <row r="16" spans="1:21">
      <c r="A16" s="171" t="s">
        <v>319</v>
      </c>
      <c r="B16" s="172"/>
      <c r="C16" s="172">
        <v>5.66</v>
      </c>
      <c r="D16" s="172">
        <v>5.96</v>
      </c>
      <c r="E16" s="172">
        <v>6.13</v>
      </c>
      <c r="F16" s="172">
        <v>5.97</v>
      </c>
      <c r="G16" s="172">
        <v>6.01</v>
      </c>
      <c r="H16" s="172">
        <v>6.42</v>
      </c>
      <c r="I16" s="172">
        <v>6.58</v>
      </c>
      <c r="J16" s="172">
        <v>6.7</v>
      </c>
      <c r="K16" s="172">
        <v>6.38</v>
      </c>
      <c r="L16" s="172">
        <v>6.53</v>
      </c>
      <c r="M16" s="172">
        <v>6.62</v>
      </c>
      <c r="N16" s="172">
        <v>6.63</v>
      </c>
      <c r="O16" s="172">
        <v>6.63</v>
      </c>
      <c r="P16" s="172">
        <v>6.77</v>
      </c>
      <c r="Q16" s="172">
        <v>6.77</v>
      </c>
      <c r="R16" s="172">
        <v>6.83</v>
      </c>
      <c r="S16" s="172">
        <v>5.88</v>
      </c>
      <c r="T16" s="172" t="s">
        <v>320</v>
      </c>
      <c r="U16" s="173">
        <v>6.3</v>
      </c>
    </row>
    <row r="17" spans="1:21">
      <c r="A17" s="174" t="s">
        <v>321</v>
      </c>
      <c r="B17" s="175"/>
      <c r="C17" s="175">
        <v>1.2</v>
      </c>
      <c r="D17" s="175">
        <v>1.2</v>
      </c>
      <c r="E17" s="175">
        <v>1.18</v>
      </c>
      <c r="F17" s="175">
        <v>1.23</v>
      </c>
      <c r="G17" s="175">
        <v>1.24</v>
      </c>
      <c r="H17" s="175">
        <v>1.29</v>
      </c>
      <c r="I17" s="175">
        <v>1.31</v>
      </c>
      <c r="J17" s="175">
        <v>1.35</v>
      </c>
      <c r="K17" s="175">
        <v>1.32</v>
      </c>
      <c r="L17" s="175">
        <v>1.34</v>
      </c>
      <c r="M17" s="175">
        <v>1.35</v>
      </c>
      <c r="N17" s="175">
        <v>1.38</v>
      </c>
      <c r="O17" s="175">
        <v>1.4</v>
      </c>
      <c r="P17" s="175">
        <v>1.45</v>
      </c>
      <c r="Q17" s="175">
        <v>1.45</v>
      </c>
      <c r="R17" s="175">
        <v>1.47</v>
      </c>
      <c r="S17" s="175">
        <v>1.2</v>
      </c>
      <c r="T17" s="175" t="s">
        <v>322</v>
      </c>
      <c r="U17" s="176">
        <v>1.33</v>
      </c>
    </row>
    <row r="18" spans="1:21">
      <c r="A18" s="171" t="s">
        <v>323</v>
      </c>
      <c r="B18" s="172"/>
      <c r="C18" s="172">
        <v>1.02</v>
      </c>
      <c r="D18" s="172">
        <v>1.01</v>
      </c>
      <c r="E18" s="172">
        <v>0.97</v>
      </c>
      <c r="F18" s="172">
        <v>1.01</v>
      </c>
      <c r="G18" s="172">
        <v>1</v>
      </c>
      <c r="H18" s="172">
        <v>1</v>
      </c>
      <c r="I18" s="172">
        <v>1.02</v>
      </c>
      <c r="J18" s="172">
        <v>1.05</v>
      </c>
      <c r="K18" s="172">
        <v>1.03</v>
      </c>
      <c r="L18" s="172">
        <v>1.02</v>
      </c>
      <c r="M18" s="172">
        <v>1.02</v>
      </c>
      <c r="N18" s="172">
        <v>1.03</v>
      </c>
      <c r="O18" s="172">
        <v>1.03</v>
      </c>
      <c r="P18" s="172">
        <v>1.03</v>
      </c>
      <c r="Q18" s="172">
        <v>1.02</v>
      </c>
      <c r="R18" s="172">
        <v>1.04</v>
      </c>
      <c r="S18" s="172">
        <v>1</v>
      </c>
      <c r="T18" s="172" t="s">
        <v>324</v>
      </c>
      <c r="U18" s="173">
        <v>1.01</v>
      </c>
    </row>
    <row r="19" spans="1:21">
      <c r="A19" s="174" t="s">
        <v>325</v>
      </c>
      <c r="B19" s="175"/>
      <c r="C19" s="175">
        <v>0.22</v>
      </c>
      <c r="D19" s="175">
        <v>0.23</v>
      </c>
      <c r="E19" s="175">
        <v>0.22</v>
      </c>
      <c r="F19" s="175">
        <v>0.22</v>
      </c>
      <c r="G19" s="175">
        <v>0.2</v>
      </c>
      <c r="H19" s="175">
        <v>0.22</v>
      </c>
      <c r="I19" s="175">
        <v>0.23</v>
      </c>
      <c r="J19" s="175">
        <v>0.23</v>
      </c>
      <c r="K19" s="175">
        <v>0.21</v>
      </c>
      <c r="L19" s="175">
        <v>0.21</v>
      </c>
      <c r="M19" s="175">
        <v>0.21</v>
      </c>
      <c r="N19" s="175">
        <v>0.22</v>
      </c>
      <c r="O19" s="175">
        <v>0.2</v>
      </c>
      <c r="P19" s="175">
        <v>0.21</v>
      </c>
      <c r="Q19" s="175">
        <v>0.21</v>
      </c>
      <c r="R19" s="175">
        <v>0.22</v>
      </c>
      <c r="S19" s="175">
        <v>0.22</v>
      </c>
      <c r="T19" s="175" t="s">
        <v>326</v>
      </c>
      <c r="U19" s="176">
        <v>0.22</v>
      </c>
    </row>
    <row r="20" spans="1:21">
      <c r="A20" s="171" t="s">
        <v>327</v>
      </c>
      <c r="B20" s="172"/>
      <c r="C20" s="172" t="s">
        <v>328</v>
      </c>
      <c r="D20" s="172" t="s">
        <v>329</v>
      </c>
      <c r="E20" s="172" t="s">
        <v>330</v>
      </c>
      <c r="F20" s="172" t="s">
        <v>331</v>
      </c>
      <c r="G20" s="172" t="s">
        <v>332</v>
      </c>
      <c r="H20" s="172" t="s">
        <v>333</v>
      </c>
      <c r="I20" s="172" t="s">
        <v>334</v>
      </c>
      <c r="J20" s="172" t="s">
        <v>335</v>
      </c>
      <c r="K20" s="172" t="s">
        <v>336</v>
      </c>
      <c r="L20" s="172" t="s">
        <v>336</v>
      </c>
      <c r="M20" s="172" t="s">
        <v>337</v>
      </c>
      <c r="N20" s="172" t="s">
        <v>338</v>
      </c>
      <c r="O20" s="172"/>
      <c r="P20" s="172"/>
      <c r="Q20" s="172"/>
      <c r="R20" s="172"/>
      <c r="S20" s="172">
        <v>-3.93</v>
      </c>
      <c r="T20" s="172" t="s">
        <v>339</v>
      </c>
      <c r="U20" s="173">
        <v>-4.0199999999999996</v>
      </c>
    </row>
    <row r="21" spans="1:21">
      <c r="A21" s="174" t="s">
        <v>340</v>
      </c>
      <c r="B21" s="175"/>
      <c r="C21" s="175" t="s">
        <v>341</v>
      </c>
      <c r="D21" s="175" t="s">
        <v>342</v>
      </c>
      <c r="E21" s="175" t="s">
        <v>343</v>
      </c>
      <c r="F21" s="175" t="s">
        <v>344</v>
      </c>
      <c r="G21" s="175" t="s">
        <v>345</v>
      </c>
      <c r="H21" s="175" t="s">
        <v>346</v>
      </c>
      <c r="I21" s="175" t="s">
        <v>346</v>
      </c>
      <c r="J21" s="175" t="s">
        <v>347</v>
      </c>
      <c r="K21" s="175" t="s">
        <v>348</v>
      </c>
      <c r="L21" s="175" t="s">
        <v>349</v>
      </c>
      <c r="M21" s="175" t="s">
        <v>350</v>
      </c>
      <c r="N21" s="175" t="s">
        <v>351</v>
      </c>
      <c r="O21" s="175"/>
      <c r="P21" s="175"/>
      <c r="Q21" s="175"/>
      <c r="R21" s="175"/>
      <c r="S21" s="175">
        <v>-2.2200000000000002</v>
      </c>
      <c r="T21" s="175" t="s">
        <v>350</v>
      </c>
      <c r="U21" s="176">
        <v>-2.5499999999999998</v>
      </c>
    </row>
    <row r="22" spans="1:21">
      <c r="A22" s="171" t="s">
        <v>352</v>
      </c>
      <c r="B22" s="172"/>
      <c r="C22" s="172" t="s">
        <v>353</v>
      </c>
      <c r="D22" s="172" t="s">
        <v>354</v>
      </c>
      <c r="E22" s="172" t="s">
        <v>355</v>
      </c>
      <c r="F22" s="172" t="s">
        <v>356</v>
      </c>
      <c r="G22" s="172" t="s">
        <v>355</v>
      </c>
      <c r="H22" s="172" t="s">
        <v>357</v>
      </c>
      <c r="I22" s="172" t="s">
        <v>302</v>
      </c>
      <c r="J22" s="172" t="s">
        <v>354</v>
      </c>
      <c r="K22" s="172" t="s">
        <v>358</v>
      </c>
      <c r="L22" s="172" t="s">
        <v>359</v>
      </c>
      <c r="M22" s="172" t="s">
        <v>360</v>
      </c>
      <c r="N22" s="172" t="s">
        <v>326</v>
      </c>
      <c r="O22" s="172"/>
      <c r="P22" s="172"/>
      <c r="Q22" s="172"/>
      <c r="R22" s="172"/>
      <c r="S22" s="172">
        <v>0.23</v>
      </c>
      <c r="T22" s="172" t="s">
        <v>360</v>
      </c>
      <c r="U22" s="173">
        <v>0.25</v>
      </c>
    </row>
    <row r="23" spans="1:21">
      <c r="A23" s="174" t="s">
        <v>361</v>
      </c>
      <c r="B23" s="175"/>
      <c r="C23" s="175" t="s">
        <v>362</v>
      </c>
      <c r="D23" s="175" t="s">
        <v>363</v>
      </c>
      <c r="E23" s="175" t="s">
        <v>364</v>
      </c>
      <c r="F23" s="175" t="s">
        <v>365</v>
      </c>
      <c r="G23" s="175" t="s">
        <v>366</v>
      </c>
      <c r="H23" s="175" t="s">
        <v>366</v>
      </c>
      <c r="I23" s="175" t="s">
        <v>367</v>
      </c>
      <c r="J23" s="175" t="s">
        <v>368</v>
      </c>
      <c r="K23" s="175" t="s">
        <v>366</v>
      </c>
      <c r="L23" s="175" t="s">
        <v>368</v>
      </c>
      <c r="M23" s="175" t="s">
        <v>367</v>
      </c>
      <c r="N23" s="175" t="s">
        <v>368</v>
      </c>
      <c r="O23" s="175"/>
      <c r="P23" s="175"/>
      <c r="Q23" s="175"/>
      <c r="R23" s="175"/>
      <c r="S23" s="175">
        <v>-7.0000000000000007E-2</v>
      </c>
      <c r="T23" s="175" t="s">
        <v>368</v>
      </c>
      <c r="U23" s="176">
        <v>-0.04</v>
      </c>
    </row>
    <row r="24" spans="1:21">
      <c r="A24" s="171" t="s">
        <v>369</v>
      </c>
      <c r="B24" s="172"/>
      <c r="C24" s="172" t="s">
        <v>370</v>
      </c>
      <c r="D24" s="172" t="s">
        <v>314</v>
      </c>
      <c r="E24" s="172" t="s">
        <v>371</v>
      </c>
      <c r="F24" s="172" t="s">
        <v>370</v>
      </c>
      <c r="G24" s="172" t="s">
        <v>372</v>
      </c>
      <c r="H24" s="172" t="s">
        <v>373</v>
      </c>
      <c r="I24" s="172" t="s">
        <v>374</v>
      </c>
      <c r="J24" s="172" t="s">
        <v>375</v>
      </c>
      <c r="K24" s="172" t="s">
        <v>376</v>
      </c>
      <c r="L24" s="172" t="s">
        <v>373</v>
      </c>
      <c r="M24" s="172" t="s">
        <v>371</v>
      </c>
      <c r="N24" s="172" t="s">
        <v>377</v>
      </c>
      <c r="O24" s="172"/>
      <c r="P24" s="172"/>
      <c r="Q24" s="172"/>
      <c r="R24" s="172"/>
      <c r="S24" s="172">
        <v>0.47</v>
      </c>
      <c r="T24" s="172" t="s">
        <v>378</v>
      </c>
      <c r="U24" s="173">
        <v>0.5</v>
      </c>
    </row>
    <row r="25" spans="1:21">
      <c r="A25" s="174" t="s">
        <v>379</v>
      </c>
      <c r="B25" s="175"/>
      <c r="C25" s="175" t="s">
        <v>380</v>
      </c>
      <c r="D25" s="175" t="s">
        <v>381</v>
      </c>
      <c r="E25" s="175" t="s">
        <v>382</v>
      </c>
      <c r="F25" s="175" t="s">
        <v>383</v>
      </c>
      <c r="G25" s="175" t="s">
        <v>384</v>
      </c>
      <c r="H25" s="175" t="s">
        <v>385</v>
      </c>
      <c r="I25" s="175" t="s">
        <v>386</v>
      </c>
      <c r="J25" s="175" t="s">
        <v>387</v>
      </c>
      <c r="K25" s="175" t="s">
        <v>388</v>
      </c>
      <c r="L25" s="175" t="s">
        <v>389</v>
      </c>
      <c r="M25" s="175" t="s">
        <v>385</v>
      </c>
      <c r="N25" s="175" t="s">
        <v>384</v>
      </c>
      <c r="O25" s="175"/>
      <c r="P25" s="175"/>
      <c r="Q25" s="175"/>
      <c r="R25" s="175"/>
      <c r="S25" s="175">
        <v>-0.78</v>
      </c>
      <c r="T25" s="175" t="s">
        <v>390</v>
      </c>
      <c r="U25" s="176">
        <v>-0.73</v>
      </c>
    </row>
    <row r="26" spans="1:21">
      <c r="A26" s="171" t="s">
        <v>391</v>
      </c>
      <c r="B26" s="172"/>
      <c r="C26" s="172" t="s">
        <v>368</v>
      </c>
      <c r="D26" s="172" t="s">
        <v>392</v>
      </c>
      <c r="E26" s="172" t="s">
        <v>393</v>
      </c>
      <c r="F26" s="172" t="s">
        <v>367</v>
      </c>
      <c r="G26" s="172" t="s">
        <v>366</v>
      </c>
      <c r="H26" s="172" t="s">
        <v>365</v>
      </c>
      <c r="I26" s="172" t="s">
        <v>353</v>
      </c>
      <c r="J26" s="172" t="s">
        <v>394</v>
      </c>
      <c r="K26" s="172" t="s">
        <v>395</v>
      </c>
      <c r="L26" s="172" t="s">
        <v>358</v>
      </c>
      <c r="M26" s="172" t="s">
        <v>396</v>
      </c>
      <c r="N26" s="172" t="s">
        <v>396</v>
      </c>
      <c r="O26" s="172"/>
      <c r="P26" s="172"/>
      <c r="Q26" s="172"/>
      <c r="R26" s="172"/>
      <c r="S26" s="172">
        <v>-0.06</v>
      </c>
      <c r="T26" s="172" t="s">
        <v>397</v>
      </c>
      <c r="U26" s="173">
        <v>0.18</v>
      </c>
    </row>
    <row r="27" spans="1:21">
      <c r="A27" s="174" t="s">
        <v>398</v>
      </c>
      <c r="B27" s="175"/>
      <c r="C27" s="175" t="s">
        <v>382</v>
      </c>
      <c r="D27" s="175" t="s">
        <v>399</v>
      </c>
      <c r="E27" s="175" t="s">
        <v>400</v>
      </c>
      <c r="F27" s="175" t="s">
        <v>401</v>
      </c>
      <c r="G27" s="175" t="s">
        <v>380</v>
      </c>
      <c r="H27" s="175" t="s">
        <v>402</v>
      </c>
      <c r="I27" s="175" t="s">
        <v>403</v>
      </c>
      <c r="J27" s="175" t="s">
        <v>404</v>
      </c>
      <c r="K27" s="175" t="s">
        <v>405</v>
      </c>
      <c r="L27" s="175" t="s">
        <v>399</v>
      </c>
      <c r="M27" s="175" t="s">
        <v>406</v>
      </c>
      <c r="N27" s="175" t="s">
        <v>407</v>
      </c>
      <c r="O27" s="175"/>
      <c r="P27" s="175"/>
      <c r="Q27" s="175"/>
      <c r="R27" s="175"/>
      <c r="S27" s="175">
        <v>-1.07</v>
      </c>
      <c r="T27" s="175" t="s">
        <v>402</v>
      </c>
      <c r="U27" s="176">
        <v>-1.0900000000000001</v>
      </c>
    </row>
    <row r="28" spans="1:21">
      <c r="A28" s="171" t="s">
        <v>408</v>
      </c>
      <c r="B28" s="172"/>
      <c r="C28" s="172" t="s">
        <v>409</v>
      </c>
      <c r="D28" s="172" t="s">
        <v>410</v>
      </c>
      <c r="E28" s="172" t="s">
        <v>410</v>
      </c>
      <c r="F28" s="172" t="s">
        <v>353</v>
      </c>
      <c r="G28" s="172" t="s">
        <v>411</v>
      </c>
      <c r="H28" s="172" t="s">
        <v>366</v>
      </c>
      <c r="I28" s="172" t="s">
        <v>412</v>
      </c>
      <c r="J28" s="172" t="s">
        <v>353</v>
      </c>
      <c r="K28" s="172" t="s">
        <v>413</v>
      </c>
      <c r="L28" s="172" t="s">
        <v>413</v>
      </c>
      <c r="M28" s="172" t="s">
        <v>412</v>
      </c>
      <c r="N28" s="172" t="s">
        <v>409</v>
      </c>
      <c r="O28" s="172"/>
      <c r="P28" s="172"/>
      <c r="Q28" s="172"/>
      <c r="R28" s="172"/>
      <c r="S28" s="172">
        <v>0.11</v>
      </c>
      <c r="T28" s="172" t="s">
        <v>414</v>
      </c>
      <c r="U28" s="173">
        <v>0.08</v>
      </c>
    </row>
    <row r="29" spans="1:21">
      <c r="A29" s="174" t="s">
        <v>415</v>
      </c>
      <c r="B29" s="175"/>
      <c r="C29" s="175" t="s">
        <v>416</v>
      </c>
      <c r="D29" s="175" t="s">
        <v>417</v>
      </c>
      <c r="E29" s="175" t="s">
        <v>418</v>
      </c>
      <c r="F29" s="175" t="s">
        <v>419</v>
      </c>
      <c r="G29" s="175" t="s">
        <v>420</v>
      </c>
      <c r="H29" s="175" t="s">
        <v>421</v>
      </c>
      <c r="I29" s="175" t="s">
        <v>422</v>
      </c>
      <c r="J29" s="175" t="s">
        <v>423</v>
      </c>
      <c r="K29" s="175" t="s">
        <v>424</v>
      </c>
      <c r="L29" s="175" t="s">
        <v>425</v>
      </c>
      <c r="M29" s="175" t="s">
        <v>423</v>
      </c>
      <c r="N29" s="175" t="s">
        <v>389</v>
      </c>
      <c r="O29" s="175"/>
      <c r="P29" s="175"/>
      <c r="Q29" s="175"/>
      <c r="R29" s="175"/>
      <c r="S29" s="175">
        <v>-0.54</v>
      </c>
      <c r="T29" s="175" t="s">
        <v>416</v>
      </c>
      <c r="U29" s="176">
        <v>-0.62</v>
      </c>
    </row>
    <row r="30" spans="1:21">
      <c r="A30" s="171" t="s">
        <v>426</v>
      </c>
      <c r="B30" s="172"/>
      <c r="C30" s="172" t="s">
        <v>427</v>
      </c>
      <c r="D30" s="172" t="s">
        <v>428</v>
      </c>
      <c r="E30" s="172" t="s">
        <v>429</v>
      </c>
      <c r="F30" s="172" t="s">
        <v>392</v>
      </c>
      <c r="G30" s="172" t="s">
        <v>356</v>
      </c>
      <c r="H30" s="172" t="s">
        <v>422</v>
      </c>
      <c r="I30" s="172" t="s">
        <v>422</v>
      </c>
      <c r="J30" s="172" t="s">
        <v>302</v>
      </c>
      <c r="K30" s="172" t="s">
        <v>356</v>
      </c>
      <c r="L30" s="172" t="s">
        <v>430</v>
      </c>
      <c r="M30" s="172" t="s">
        <v>431</v>
      </c>
      <c r="N30" s="172" t="s">
        <v>432</v>
      </c>
      <c r="O30" s="172"/>
      <c r="P30" s="172"/>
      <c r="Q30" s="172"/>
      <c r="R30" s="172"/>
      <c r="S30" s="172">
        <v>-0.04</v>
      </c>
      <c r="T30" s="172" t="s">
        <v>366</v>
      </c>
      <c r="U30" s="173">
        <v>0.04</v>
      </c>
    </row>
    <row r="31" spans="1:21">
      <c r="A31" s="174" t="s">
        <v>203</v>
      </c>
      <c r="B31" s="175"/>
      <c r="C31" s="175" t="s">
        <v>433</v>
      </c>
      <c r="D31" s="175" t="s">
        <v>434</v>
      </c>
      <c r="E31" s="175" t="s">
        <v>435</v>
      </c>
      <c r="F31" s="175" t="s">
        <v>436</v>
      </c>
      <c r="G31" s="175" t="s">
        <v>437</v>
      </c>
      <c r="H31" s="175" t="s">
        <v>438</v>
      </c>
      <c r="I31" s="175" t="s">
        <v>439</v>
      </c>
      <c r="J31" s="175" t="s">
        <v>440</v>
      </c>
      <c r="K31" s="175" t="s">
        <v>441</v>
      </c>
      <c r="L31" s="175" t="s">
        <v>442</v>
      </c>
      <c r="M31" s="175" t="s">
        <v>443</v>
      </c>
      <c r="N31" s="175" t="s">
        <v>444</v>
      </c>
      <c r="O31" s="175"/>
      <c r="P31" s="175"/>
      <c r="Q31" s="175"/>
      <c r="R31" s="175"/>
      <c r="S31" s="175">
        <v>20.28</v>
      </c>
      <c r="T31" s="175" t="s">
        <v>445</v>
      </c>
      <c r="U31" s="176">
        <v>20.79</v>
      </c>
    </row>
    <row r="32" spans="1:21">
      <c r="A32" s="171" t="s">
        <v>446</v>
      </c>
      <c r="B32" s="172"/>
      <c r="C32" s="172" t="s">
        <v>447</v>
      </c>
      <c r="D32" s="172" t="s">
        <v>448</v>
      </c>
      <c r="E32" s="172" t="s">
        <v>449</v>
      </c>
      <c r="F32" s="172" t="s">
        <v>450</v>
      </c>
      <c r="G32" s="172" t="s">
        <v>451</v>
      </c>
      <c r="H32" s="172" t="s">
        <v>452</v>
      </c>
      <c r="I32" s="172" t="s">
        <v>453</v>
      </c>
      <c r="J32" s="172" t="s">
        <v>447</v>
      </c>
      <c r="K32" s="172" t="s">
        <v>454</v>
      </c>
      <c r="L32" s="172" t="s">
        <v>453</v>
      </c>
      <c r="M32" s="172" t="s">
        <v>455</v>
      </c>
      <c r="N32" s="172" t="s">
        <v>456</v>
      </c>
      <c r="O32" s="172"/>
      <c r="P32" s="172"/>
      <c r="Q32" s="172"/>
      <c r="R32" s="172"/>
      <c r="S32" s="172">
        <v>3.59</v>
      </c>
      <c r="T32" s="172" t="s">
        <v>457</v>
      </c>
      <c r="U32" s="173">
        <v>3.77</v>
      </c>
    </row>
    <row r="33" spans="1:21">
      <c r="A33" s="174" t="s">
        <v>361</v>
      </c>
      <c r="B33" s="175"/>
      <c r="C33" s="175" t="s">
        <v>458</v>
      </c>
      <c r="D33" s="175" t="s">
        <v>459</v>
      </c>
      <c r="E33" s="175" t="s">
        <v>459</v>
      </c>
      <c r="F33" s="175" t="s">
        <v>396</v>
      </c>
      <c r="G33" s="175" t="s">
        <v>460</v>
      </c>
      <c r="H33" s="175" t="s">
        <v>460</v>
      </c>
      <c r="I33" s="175" t="s">
        <v>358</v>
      </c>
      <c r="J33" s="175" t="s">
        <v>461</v>
      </c>
      <c r="K33" s="175" t="s">
        <v>462</v>
      </c>
      <c r="L33" s="175" t="s">
        <v>463</v>
      </c>
      <c r="M33" s="175" t="s">
        <v>359</v>
      </c>
      <c r="N33" s="175" t="s">
        <v>356</v>
      </c>
      <c r="O33" s="175"/>
      <c r="P33" s="175"/>
      <c r="Q33" s="175"/>
      <c r="R33" s="175"/>
      <c r="S33" s="175">
        <v>0.16</v>
      </c>
      <c r="T33" s="175" t="s">
        <v>460</v>
      </c>
      <c r="U33" s="176">
        <v>0.27</v>
      </c>
    </row>
    <row r="34" spans="1:21">
      <c r="A34" s="171" t="s">
        <v>352</v>
      </c>
      <c r="B34" s="172"/>
      <c r="C34" s="172" t="s">
        <v>458</v>
      </c>
      <c r="D34" s="172" t="s">
        <v>397</v>
      </c>
      <c r="E34" s="172" t="s">
        <v>394</v>
      </c>
      <c r="F34" s="172" t="s">
        <v>410</v>
      </c>
      <c r="G34" s="172" t="s">
        <v>310</v>
      </c>
      <c r="H34" s="172" t="s">
        <v>397</v>
      </c>
      <c r="I34" s="172" t="s">
        <v>464</v>
      </c>
      <c r="J34" s="172" t="s">
        <v>464</v>
      </c>
      <c r="K34" s="172" t="s">
        <v>464</v>
      </c>
      <c r="L34" s="172" t="s">
        <v>464</v>
      </c>
      <c r="M34" s="172" t="s">
        <v>464</v>
      </c>
      <c r="N34" s="172" t="s">
        <v>464</v>
      </c>
      <c r="O34" s="172"/>
      <c r="P34" s="172"/>
      <c r="Q34" s="172"/>
      <c r="R34" s="172"/>
      <c r="S34" s="172">
        <v>0.09</v>
      </c>
      <c r="T34" s="172" t="s">
        <v>465</v>
      </c>
      <c r="U34" s="173">
        <v>0</v>
      </c>
    </row>
    <row r="35" spans="1:21">
      <c r="A35" s="174" t="s">
        <v>466</v>
      </c>
      <c r="B35" s="175"/>
      <c r="C35" s="175" t="s">
        <v>467</v>
      </c>
      <c r="D35" s="175" t="s">
        <v>468</v>
      </c>
      <c r="E35" s="175" t="s">
        <v>469</v>
      </c>
      <c r="F35" s="175" t="s">
        <v>470</v>
      </c>
      <c r="G35" s="175" t="s">
        <v>471</v>
      </c>
      <c r="H35" s="175" t="s">
        <v>472</v>
      </c>
      <c r="I35" s="175" t="s">
        <v>473</v>
      </c>
      <c r="J35" s="175" t="s">
        <v>474</v>
      </c>
      <c r="K35" s="175" t="s">
        <v>475</v>
      </c>
      <c r="L35" s="175" t="s">
        <v>476</v>
      </c>
      <c r="M35" s="175" t="s">
        <v>477</v>
      </c>
      <c r="N35" s="175" t="s">
        <v>478</v>
      </c>
      <c r="O35" s="175"/>
      <c r="P35" s="175"/>
      <c r="Q35" s="175"/>
      <c r="R35" s="175"/>
      <c r="S35" s="175">
        <v>8.7799999999999994</v>
      </c>
      <c r="T35" s="175" t="s">
        <v>479</v>
      </c>
      <c r="U35" s="176">
        <v>8.93</v>
      </c>
    </row>
    <row r="36" spans="1:21">
      <c r="A36" s="171" t="s">
        <v>480</v>
      </c>
      <c r="B36" s="172"/>
      <c r="C36" s="172" t="s">
        <v>481</v>
      </c>
      <c r="D36" s="172" t="s">
        <v>482</v>
      </c>
      <c r="E36" s="172" t="s">
        <v>483</v>
      </c>
      <c r="F36" s="172" t="s">
        <v>482</v>
      </c>
      <c r="G36" s="172" t="s">
        <v>484</v>
      </c>
      <c r="H36" s="172" t="s">
        <v>485</v>
      </c>
      <c r="I36" s="172" t="s">
        <v>485</v>
      </c>
      <c r="J36" s="172" t="s">
        <v>483</v>
      </c>
      <c r="K36" s="172" t="s">
        <v>484</v>
      </c>
      <c r="L36" s="172" t="s">
        <v>485</v>
      </c>
      <c r="M36" s="172" t="s">
        <v>485</v>
      </c>
      <c r="N36" s="172" t="s">
        <v>486</v>
      </c>
      <c r="O36" s="172"/>
      <c r="P36" s="172"/>
      <c r="Q36" s="172"/>
      <c r="R36" s="172"/>
      <c r="S36" s="172">
        <v>0.91</v>
      </c>
      <c r="T36" s="172" t="s">
        <v>482</v>
      </c>
      <c r="U36" s="173">
        <v>0.94</v>
      </c>
    </row>
    <row r="37" spans="1:21">
      <c r="A37" s="174" t="s">
        <v>391</v>
      </c>
      <c r="B37" s="175"/>
      <c r="C37" s="175" t="s">
        <v>487</v>
      </c>
      <c r="D37" s="175" t="s">
        <v>488</v>
      </c>
      <c r="E37" s="175" t="s">
        <v>489</v>
      </c>
      <c r="F37" s="175" t="s">
        <v>490</v>
      </c>
      <c r="G37" s="175" t="s">
        <v>491</v>
      </c>
      <c r="H37" s="175" t="s">
        <v>492</v>
      </c>
      <c r="I37" s="175" t="s">
        <v>493</v>
      </c>
      <c r="J37" s="175" t="s">
        <v>494</v>
      </c>
      <c r="K37" s="175" t="s">
        <v>492</v>
      </c>
      <c r="L37" s="175" t="s">
        <v>495</v>
      </c>
      <c r="M37" s="175" t="s">
        <v>496</v>
      </c>
      <c r="N37" s="175" t="s">
        <v>497</v>
      </c>
      <c r="O37" s="175"/>
      <c r="P37" s="175"/>
      <c r="Q37" s="175"/>
      <c r="R37" s="175"/>
      <c r="S37" s="175">
        <v>1.56</v>
      </c>
      <c r="T37" s="175" t="s">
        <v>498</v>
      </c>
      <c r="U37" s="176">
        <v>1.75</v>
      </c>
    </row>
    <row r="38" spans="1:21">
      <c r="A38" s="171" t="s">
        <v>398</v>
      </c>
      <c r="B38" s="172"/>
      <c r="C38" s="172" t="s">
        <v>499</v>
      </c>
      <c r="D38" s="172" t="s">
        <v>500</v>
      </c>
      <c r="E38" s="172" t="s">
        <v>501</v>
      </c>
      <c r="F38" s="172" t="s">
        <v>502</v>
      </c>
      <c r="G38" s="172" t="s">
        <v>503</v>
      </c>
      <c r="H38" s="172" t="s">
        <v>504</v>
      </c>
      <c r="I38" s="172" t="s">
        <v>505</v>
      </c>
      <c r="J38" s="172" t="s">
        <v>506</v>
      </c>
      <c r="K38" s="172" t="s">
        <v>507</v>
      </c>
      <c r="L38" s="172" t="s">
        <v>456</v>
      </c>
      <c r="M38" s="172" t="s">
        <v>501</v>
      </c>
      <c r="N38" s="172" t="s">
        <v>508</v>
      </c>
      <c r="O38" s="172"/>
      <c r="P38" s="172"/>
      <c r="Q38" s="172"/>
      <c r="R38" s="172"/>
      <c r="S38" s="172">
        <v>3.96</v>
      </c>
      <c r="T38" s="172" t="s">
        <v>509</v>
      </c>
      <c r="U38" s="173">
        <v>3.96</v>
      </c>
    </row>
    <row r="39" spans="1:21">
      <c r="A39" s="174" t="s">
        <v>408</v>
      </c>
      <c r="B39" s="175"/>
      <c r="C39" s="175" t="s">
        <v>510</v>
      </c>
      <c r="D39" s="175" t="s">
        <v>360</v>
      </c>
      <c r="E39" s="175" t="s">
        <v>511</v>
      </c>
      <c r="F39" s="175" t="s">
        <v>356</v>
      </c>
      <c r="G39" s="175" t="s">
        <v>357</v>
      </c>
      <c r="H39" s="175" t="s">
        <v>396</v>
      </c>
      <c r="I39" s="175" t="s">
        <v>512</v>
      </c>
      <c r="J39" s="175" t="s">
        <v>513</v>
      </c>
      <c r="K39" s="175" t="s">
        <v>463</v>
      </c>
      <c r="L39" s="175" t="s">
        <v>359</v>
      </c>
      <c r="M39" s="175" t="s">
        <v>512</v>
      </c>
      <c r="N39" s="175" t="s">
        <v>375</v>
      </c>
      <c r="O39" s="175"/>
      <c r="P39" s="175"/>
      <c r="Q39" s="175"/>
      <c r="R39" s="175"/>
      <c r="S39" s="175">
        <v>0.34</v>
      </c>
      <c r="T39" s="175" t="s">
        <v>355</v>
      </c>
      <c r="U39" s="176">
        <v>0.3</v>
      </c>
    </row>
    <row r="40" spans="1:21">
      <c r="A40" s="171" t="s">
        <v>415</v>
      </c>
      <c r="B40" s="172"/>
      <c r="C40" s="172" t="s">
        <v>514</v>
      </c>
      <c r="D40" s="172" t="s">
        <v>496</v>
      </c>
      <c r="E40" s="172" t="s">
        <v>515</v>
      </c>
      <c r="F40" s="172" t="s">
        <v>494</v>
      </c>
      <c r="G40" s="172" t="s">
        <v>516</v>
      </c>
      <c r="H40" s="172" t="s">
        <v>517</v>
      </c>
      <c r="I40" s="172" t="s">
        <v>518</v>
      </c>
      <c r="J40" s="172" t="s">
        <v>497</v>
      </c>
      <c r="K40" s="172" t="s">
        <v>519</v>
      </c>
      <c r="L40" s="172" t="s">
        <v>520</v>
      </c>
      <c r="M40" s="172" t="s">
        <v>521</v>
      </c>
      <c r="N40" s="172" t="s">
        <v>522</v>
      </c>
      <c r="O40" s="172"/>
      <c r="P40" s="172"/>
      <c r="Q40" s="172"/>
      <c r="R40" s="172"/>
      <c r="S40" s="172">
        <v>1.79</v>
      </c>
      <c r="T40" s="172" t="s">
        <v>523</v>
      </c>
      <c r="U40" s="173">
        <v>1.8</v>
      </c>
    </row>
    <row r="41" spans="1:21">
      <c r="A41" s="174" t="s">
        <v>524</v>
      </c>
      <c r="B41" s="175"/>
      <c r="C41" s="175" t="s">
        <v>433</v>
      </c>
      <c r="D41" s="175" t="s">
        <v>434</v>
      </c>
      <c r="E41" s="175" t="s">
        <v>435</v>
      </c>
      <c r="F41" s="175" t="s">
        <v>436</v>
      </c>
      <c r="G41" s="175" t="s">
        <v>437</v>
      </c>
      <c r="H41" s="175" t="s">
        <v>438</v>
      </c>
      <c r="I41" s="175" t="s">
        <v>439</v>
      </c>
      <c r="J41" s="175" t="s">
        <v>440</v>
      </c>
      <c r="K41" s="175" t="s">
        <v>441</v>
      </c>
      <c r="L41" s="175" t="s">
        <v>442</v>
      </c>
      <c r="M41" s="175" t="s">
        <v>443</v>
      </c>
      <c r="N41" s="175" t="s">
        <v>444</v>
      </c>
      <c r="O41" s="175"/>
      <c r="P41" s="175"/>
      <c r="Q41" s="175"/>
      <c r="R41" s="175"/>
      <c r="S41" s="175">
        <v>20.28</v>
      </c>
      <c r="T41" s="175" t="s">
        <v>445</v>
      </c>
      <c r="U41" s="176">
        <v>20.79</v>
      </c>
    </row>
    <row r="42" spans="1:21">
      <c r="A42" s="171" t="s">
        <v>525</v>
      </c>
      <c r="B42" s="172"/>
      <c r="C42" s="172" t="s">
        <v>526</v>
      </c>
      <c r="D42" s="172" t="s">
        <v>527</v>
      </c>
      <c r="E42" s="172" t="s">
        <v>528</v>
      </c>
      <c r="F42" s="172" t="s">
        <v>529</v>
      </c>
      <c r="G42" s="172" t="s">
        <v>530</v>
      </c>
      <c r="H42" s="172" t="s">
        <v>531</v>
      </c>
      <c r="I42" s="172" t="s">
        <v>532</v>
      </c>
      <c r="J42" s="172" t="s">
        <v>531</v>
      </c>
      <c r="K42" s="172" t="s">
        <v>533</v>
      </c>
      <c r="L42" s="172" t="s">
        <v>534</v>
      </c>
      <c r="M42" s="172" t="s">
        <v>406</v>
      </c>
      <c r="N42" s="172" t="s">
        <v>535</v>
      </c>
      <c r="O42" s="172"/>
      <c r="P42" s="172"/>
      <c r="Q42" s="172"/>
      <c r="R42" s="172"/>
      <c r="S42" s="172">
        <v>-1.26</v>
      </c>
      <c r="T42" s="172" t="s">
        <v>536</v>
      </c>
      <c r="U42" s="173">
        <v>-1.44</v>
      </c>
    </row>
    <row r="43" spans="1:21">
      <c r="A43" s="174" t="s">
        <v>537</v>
      </c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6"/>
    </row>
    <row r="44" spans="1:21">
      <c r="A44" s="171" t="s">
        <v>538</v>
      </c>
      <c r="B44" s="172"/>
      <c r="C44" s="172" t="s">
        <v>539</v>
      </c>
      <c r="D44" s="172" t="s">
        <v>540</v>
      </c>
      <c r="E44" s="172" t="s">
        <v>541</v>
      </c>
      <c r="F44" s="172" t="s">
        <v>542</v>
      </c>
      <c r="G44" s="172" t="s">
        <v>543</v>
      </c>
      <c r="H44" s="172" t="s">
        <v>544</v>
      </c>
      <c r="I44" s="172" t="s">
        <v>545</v>
      </c>
      <c r="J44" s="172" t="s">
        <v>546</v>
      </c>
      <c r="K44" s="172" t="s">
        <v>547</v>
      </c>
      <c r="L44" s="172" t="s">
        <v>548</v>
      </c>
      <c r="M44" s="172" t="s">
        <v>549</v>
      </c>
      <c r="N44" s="172" t="s">
        <v>550</v>
      </c>
      <c r="O44" s="172"/>
      <c r="P44" s="172"/>
      <c r="Q44" s="172"/>
      <c r="R44" s="172"/>
      <c r="S44" s="172">
        <v>429.6</v>
      </c>
      <c r="T44" s="172" t="s">
        <v>546</v>
      </c>
      <c r="U44" s="173">
        <v>436.2</v>
      </c>
    </row>
    <row r="45" spans="1:21">
      <c r="A45" s="174" t="s">
        <v>340</v>
      </c>
      <c r="B45" s="175"/>
      <c r="C45" s="175" t="s">
        <v>551</v>
      </c>
      <c r="D45" s="175" t="s">
        <v>552</v>
      </c>
      <c r="E45" s="175" t="s">
        <v>553</v>
      </c>
      <c r="F45" s="175" t="s">
        <v>554</v>
      </c>
      <c r="G45" s="175" t="s">
        <v>555</v>
      </c>
      <c r="H45" s="175" t="s">
        <v>556</v>
      </c>
      <c r="I45" s="175" t="s">
        <v>557</v>
      </c>
      <c r="J45" s="175" t="s">
        <v>558</v>
      </c>
      <c r="K45" s="175" t="s">
        <v>559</v>
      </c>
      <c r="L45" s="175" t="s">
        <v>560</v>
      </c>
      <c r="M45" s="175" t="s">
        <v>561</v>
      </c>
      <c r="N45" s="175" t="s">
        <v>562</v>
      </c>
      <c r="O45" s="175"/>
      <c r="P45" s="175"/>
      <c r="Q45" s="175"/>
      <c r="R45" s="175"/>
      <c r="S45" s="175">
        <v>211.1</v>
      </c>
      <c r="T45" s="175" t="s">
        <v>558</v>
      </c>
      <c r="U45" s="176">
        <v>218.8</v>
      </c>
    </row>
    <row r="46" spans="1:21">
      <c r="A46" s="171" t="s">
        <v>352</v>
      </c>
      <c r="B46" s="172"/>
      <c r="C46" s="172" t="s">
        <v>563</v>
      </c>
      <c r="D46" s="172" t="s">
        <v>564</v>
      </c>
      <c r="E46" s="172" t="s">
        <v>565</v>
      </c>
      <c r="F46" s="172" t="s">
        <v>566</v>
      </c>
      <c r="G46" s="172" t="s">
        <v>567</v>
      </c>
      <c r="H46" s="172" t="s">
        <v>566</v>
      </c>
      <c r="I46" s="172" t="s">
        <v>568</v>
      </c>
      <c r="J46" s="172" t="s">
        <v>569</v>
      </c>
      <c r="K46" s="172" t="s">
        <v>570</v>
      </c>
      <c r="L46" s="172" t="s">
        <v>563</v>
      </c>
      <c r="M46" s="172" t="s">
        <v>571</v>
      </c>
      <c r="N46" s="172" t="s">
        <v>572</v>
      </c>
      <c r="O46" s="172"/>
      <c r="P46" s="172"/>
      <c r="Q46" s="172"/>
      <c r="R46" s="172"/>
      <c r="S46" s="172">
        <v>86.1</v>
      </c>
      <c r="T46" s="172" t="s">
        <v>569</v>
      </c>
      <c r="U46" s="173">
        <v>79.3</v>
      </c>
    </row>
    <row r="47" spans="1:21">
      <c r="A47" s="174" t="s">
        <v>361</v>
      </c>
      <c r="B47" s="175"/>
      <c r="C47" s="175" t="s">
        <v>573</v>
      </c>
      <c r="D47" s="175" t="s">
        <v>574</v>
      </c>
      <c r="E47" s="175" t="s">
        <v>575</v>
      </c>
      <c r="F47" s="175" t="s">
        <v>576</v>
      </c>
      <c r="G47" s="175" t="s">
        <v>577</v>
      </c>
      <c r="H47" s="175" t="s">
        <v>578</v>
      </c>
      <c r="I47" s="175" t="s">
        <v>579</v>
      </c>
      <c r="J47" s="175" t="s">
        <v>578</v>
      </c>
      <c r="K47" s="175" t="s">
        <v>580</v>
      </c>
      <c r="L47" s="175" t="s">
        <v>581</v>
      </c>
      <c r="M47" s="175" t="s">
        <v>576</v>
      </c>
      <c r="N47" s="175" t="s">
        <v>581</v>
      </c>
      <c r="O47" s="175"/>
      <c r="P47" s="175"/>
      <c r="Q47" s="175"/>
      <c r="R47" s="175"/>
      <c r="S47" s="175">
        <v>31.7</v>
      </c>
      <c r="T47" s="175" t="s">
        <v>578</v>
      </c>
      <c r="U47" s="176">
        <v>32</v>
      </c>
    </row>
    <row r="48" spans="1:21">
      <c r="A48" s="171" t="s">
        <v>582</v>
      </c>
      <c r="B48" s="172"/>
      <c r="C48" s="172" t="s">
        <v>583</v>
      </c>
      <c r="D48" s="172" t="s">
        <v>584</v>
      </c>
      <c r="E48" s="172" t="s">
        <v>585</v>
      </c>
      <c r="F48" s="172" t="s">
        <v>586</v>
      </c>
      <c r="G48" s="172" t="s">
        <v>587</v>
      </c>
      <c r="H48" s="172" t="s">
        <v>588</v>
      </c>
      <c r="I48" s="172" t="s">
        <v>589</v>
      </c>
      <c r="J48" s="172" t="s">
        <v>590</v>
      </c>
      <c r="K48" s="172" t="s">
        <v>591</v>
      </c>
      <c r="L48" s="172" t="s">
        <v>592</v>
      </c>
      <c r="M48" s="172" t="s">
        <v>593</v>
      </c>
      <c r="N48" s="172" t="s">
        <v>594</v>
      </c>
      <c r="O48" s="172"/>
      <c r="P48" s="172"/>
      <c r="Q48" s="172"/>
      <c r="R48" s="172"/>
      <c r="S48" s="172">
        <v>224.3</v>
      </c>
      <c r="T48" s="172" t="s">
        <v>590</v>
      </c>
      <c r="U48" s="173">
        <v>237.1</v>
      </c>
    </row>
    <row r="49" spans="1:21">
      <c r="A49" s="174" t="s">
        <v>379</v>
      </c>
      <c r="B49" s="175"/>
      <c r="C49" s="175" t="s">
        <v>595</v>
      </c>
      <c r="D49" s="175" t="s">
        <v>596</v>
      </c>
      <c r="E49" s="175" t="s">
        <v>597</v>
      </c>
      <c r="F49" s="175" t="s">
        <v>598</v>
      </c>
      <c r="G49" s="175" t="s">
        <v>599</v>
      </c>
      <c r="H49" s="175" t="s">
        <v>600</v>
      </c>
      <c r="I49" s="175" t="s">
        <v>601</v>
      </c>
      <c r="J49" s="175" t="s">
        <v>602</v>
      </c>
      <c r="K49" s="175" t="s">
        <v>603</v>
      </c>
      <c r="L49" s="175" t="s">
        <v>604</v>
      </c>
      <c r="M49" s="175" t="s">
        <v>605</v>
      </c>
      <c r="N49" s="175" t="s">
        <v>606</v>
      </c>
      <c r="O49" s="175"/>
      <c r="P49" s="175"/>
      <c r="Q49" s="175"/>
      <c r="R49" s="175"/>
      <c r="S49" s="175">
        <v>17.399999999999999</v>
      </c>
      <c r="T49" s="175" t="s">
        <v>602</v>
      </c>
      <c r="U49" s="176">
        <v>23.2</v>
      </c>
    </row>
    <row r="50" spans="1:21">
      <c r="A50" s="171" t="s">
        <v>369</v>
      </c>
      <c r="B50" s="172"/>
      <c r="C50" s="172" t="s">
        <v>558</v>
      </c>
      <c r="D50" s="172" t="s">
        <v>607</v>
      </c>
      <c r="E50" s="172" t="s">
        <v>608</v>
      </c>
      <c r="F50" s="172" t="s">
        <v>609</v>
      </c>
      <c r="G50" s="172" t="s">
        <v>610</v>
      </c>
      <c r="H50" s="172" t="s">
        <v>611</v>
      </c>
      <c r="I50" s="172" t="s">
        <v>612</v>
      </c>
      <c r="J50" s="172" t="s">
        <v>613</v>
      </c>
      <c r="K50" s="172" t="s">
        <v>614</v>
      </c>
      <c r="L50" s="172" t="s">
        <v>615</v>
      </c>
      <c r="M50" s="172" t="s">
        <v>616</v>
      </c>
      <c r="N50" s="172" t="s">
        <v>617</v>
      </c>
      <c r="O50" s="172"/>
      <c r="P50" s="172"/>
      <c r="Q50" s="172"/>
      <c r="R50" s="172"/>
      <c r="S50" s="172">
        <v>206.9</v>
      </c>
      <c r="T50" s="172" t="s">
        <v>613</v>
      </c>
      <c r="U50" s="173">
        <v>213.9</v>
      </c>
    </row>
    <row r="51" spans="1:21">
      <c r="A51" s="174" t="s">
        <v>391</v>
      </c>
      <c r="B51" s="175"/>
      <c r="C51" s="175" t="s">
        <v>618</v>
      </c>
      <c r="D51" s="175" t="s">
        <v>619</v>
      </c>
      <c r="E51" s="175" t="s">
        <v>620</v>
      </c>
      <c r="F51" s="175" t="s">
        <v>621</v>
      </c>
      <c r="G51" s="175" t="s">
        <v>622</v>
      </c>
      <c r="H51" s="175" t="s">
        <v>623</v>
      </c>
      <c r="I51" s="175" t="s">
        <v>624</v>
      </c>
      <c r="J51" s="175" t="s">
        <v>625</v>
      </c>
      <c r="K51" s="175" t="s">
        <v>626</v>
      </c>
      <c r="L51" s="175" t="s">
        <v>627</v>
      </c>
      <c r="M51" s="175" t="s">
        <v>628</v>
      </c>
      <c r="N51" s="175" t="s">
        <v>619</v>
      </c>
      <c r="O51" s="175"/>
      <c r="P51" s="175"/>
      <c r="Q51" s="175"/>
      <c r="R51" s="175"/>
      <c r="S51" s="175">
        <v>35</v>
      </c>
      <c r="T51" s="175" t="s">
        <v>625</v>
      </c>
      <c r="U51" s="176">
        <v>39.299999999999997</v>
      </c>
    </row>
    <row r="52" spans="1:21">
      <c r="A52" s="171" t="s">
        <v>398</v>
      </c>
      <c r="B52" s="172"/>
      <c r="C52" s="172" t="s">
        <v>629</v>
      </c>
      <c r="D52" s="172" t="s">
        <v>630</v>
      </c>
      <c r="E52" s="172" t="s">
        <v>631</v>
      </c>
      <c r="F52" s="172" t="s">
        <v>632</v>
      </c>
      <c r="G52" s="172" t="s">
        <v>633</v>
      </c>
      <c r="H52" s="172" t="s">
        <v>634</v>
      </c>
      <c r="I52" s="172" t="s">
        <v>632</v>
      </c>
      <c r="J52" s="172" t="s">
        <v>635</v>
      </c>
      <c r="K52" s="172" t="s">
        <v>636</v>
      </c>
      <c r="L52" s="172" t="s">
        <v>637</v>
      </c>
      <c r="M52" s="172" t="s">
        <v>638</v>
      </c>
      <c r="N52" s="172" t="s">
        <v>639</v>
      </c>
      <c r="O52" s="172"/>
      <c r="P52" s="172"/>
      <c r="Q52" s="172"/>
      <c r="R52" s="172"/>
      <c r="S52" s="172">
        <v>118.8</v>
      </c>
      <c r="T52" s="172" t="s">
        <v>635</v>
      </c>
      <c r="U52" s="173">
        <v>115.8</v>
      </c>
    </row>
    <row r="53" spans="1:21">
      <c r="A53" s="174" t="s">
        <v>408</v>
      </c>
      <c r="B53" s="175"/>
      <c r="C53" s="175" t="s">
        <v>640</v>
      </c>
      <c r="D53" s="175" t="s">
        <v>641</v>
      </c>
      <c r="E53" s="175" t="s">
        <v>575</v>
      </c>
      <c r="F53" s="175" t="s">
        <v>642</v>
      </c>
      <c r="G53" s="175" t="s">
        <v>643</v>
      </c>
      <c r="H53" s="175" t="s">
        <v>579</v>
      </c>
      <c r="I53" s="175" t="s">
        <v>644</v>
      </c>
      <c r="J53" s="175" t="s">
        <v>645</v>
      </c>
      <c r="K53" s="175" t="s">
        <v>574</v>
      </c>
      <c r="L53" s="175" t="s">
        <v>646</v>
      </c>
      <c r="M53" s="175" t="s">
        <v>647</v>
      </c>
      <c r="N53" s="175" t="s">
        <v>648</v>
      </c>
      <c r="O53" s="175"/>
      <c r="P53" s="175"/>
      <c r="Q53" s="175"/>
      <c r="R53" s="175"/>
      <c r="S53" s="175">
        <v>30.7</v>
      </c>
      <c r="T53" s="175" t="s">
        <v>645</v>
      </c>
      <c r="U53" s="176">
        <v>26.3</v>
      </c>
    </row>
    <row r="54" spans="1:21">
      <c r="A54" s="171" t="s">
        <v>415</v>
      </c>
      <c r="B54" s="172"/>
      <c r="C54" s="172" t="s">
        <v>649</v>
      </c>
      <c r="D54" s="172" t="s">
        <v>650</v>
      </c>
      <c r="E54" s="172" t="s">
        <v>651</v>
      </c>
      <c r="F54" s="172" t="s">
        <v>652</v>
      </c>
      <c r="G54" s="172" t="s">
        <v>653</v>
      </c>
      <c r="H54" s="172" t="s">
        <v>654</v>
      </c>
      <c r="I54" s="172" t="s">
        <v>655</v>
      </c>
      <c r="J54" s="172" t="s">
        <v>656</v>
      </c>
      <c r="K54" s="172" t="s">
        <v>657</v>
      </c>
      <c r="L54" s="172" t="s">
        <v>658</v>
      </c>
      <c r="M54" s="172" t="s">
        <v>659</v>
      </c>
      <c r="N54" s="172" t="s">
        <v>651</v>
      </c>
      <c r="O54" s="172"/>
      <c r="P54" s="172"/>
      <c r="Q54" s="172"/>
      <c r="R54" s="172"/>
      <c r="S54" s="172">
        <v>54.2</v>
      </c>
      <c r="T54" s="172" t="s">
        <v>656</v>
      </c>
      <c r="U54" s="173">
        <v>49.5</v>
      </c>
    </row>
    <row r="55" spans="1:21">
      <c r="A55" s="174" t="s">
        <v>660</v>
      </c>
      <c r="B55" s="175"/>
      <c r="C55" s="175" t="s">
        <v>661</v>
      </c>
      <c r="D55" s="175" t="s">
        <v>662</v>
      </c>
      <c r="E55" s="175" t="s">
        <v>663</v>
      </c>
      <c r="F55" s="175" t="s">
        <v>664</v>
      </c>
      <c r="G55" s="175" t="s">
        <v>665</v>
      </c>
      <c r="H55" s="175" t="s">
        <v>666</v>
      </c>
      <c r="I55" s="175" t="s">
        <v>667</v>
      </c>
      <c r="J55" s="175" t="s">
        <v>668</v>
      </c>
      <c r="K55" s="175" t="s">
        <v>669</v>
      </c>
      <c r="L55" s="175" t="s">
        <v>670</v>
      </c>
      <c r="M55" s="175" t="s">
        <v>671</v>
      </c>
      <c r="N55" s="175" t="s">
        <v>672</v>
      </c>
      <c r="O55" s="175"/>
      <c r="P55" s="175"/>
      <c r="Q55" s="175"/>
      <c r="R55" s="175"/>
      <c r="S55" s="175">
        <v>1221.5999999999999</v>
      </c>
      <c r="T55" s="175" t="s">
        <v>668</v>
      </c>
      <c r="U55" s="176">
        <v>1234.0999999999999</v>
      </c>
    </row>
    <row r="56" spans="1:21">
      <c r="A56" s="171" t="s">
        <v>673</v>
      </c>
      <c r="B56" s="172"/>
      <c r="C56" s="172" t="s">
        <v>674</v>
      </c>
      <c r="D56" s="172" t="s">
        <v>675</v>
      </c>
      <c r="E56" s="172" t="s">
        <v>676</v>
      </c>
      <c r="F56" s="172" t="s">
        <v>677</v>
      </c>
      <c r="G56" s="172" t="s">
        <v>678</v>
      </c>
      <c r="H56" s="172" t="s">
        <v>679</v>
      </c>
      <c r="I56" s="172" t="s">
        <v>680</v>
      </c>
      <c r="J56" s="172" t="s">
        <v>680</v>
      </c>
      <c r="K56" s="172" t="s">
        <v>680</v>
      </c>
      <c r="L56" s="172" t="s">
        <v>680</v>
      </c>
      <c r="M56" s="172" t="s">
        <v>680</v>
      </c>
      <c r="N56" s="172" t="s">
        <v>680</v>
      </c>
      <c r="O56" s="172"/>
      <c r="P56" s="172"/>
      <c r="Q56" s="172"/>
      <c r="R56" s="172"/>
      <c r="S56" s="172">
        <v>372</v>
      </c>
      <c r="T56" s="172" t="s">
        <v>680</v>
      </c>
      <c r="U56" s="173">
        <v>353.2</v>
      </c>
    </row>
    <row r="57" spans="1:21">
      <c r="A57" s="174" t="s">
        <v>681</v>
      </c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6"/>
    </row>
    <row r="58" spans="1:21">
      <c r="A58" s="171" t="s">
        <v>682</v>
      </c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3"/>
    </row>
    <row r="59" spans="1:21">
      <c r="A59" s="174" t="s">
        <v>683</v>
      </c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6"/>
    </row>
    <row r="60" spans="1:21">
      <c r="A60" s="171" t="s">
        <v>684</v>
      </c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3"/>
    </row>
    <row r="61" spans="1:21">
      <c r="A61" s="174" t="s">
        <v>685</v>
      </c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6"/>
    </row>
    <row r="62" spans="1:21">
      <c r="A62" s="171" t="s">
        <v>686</v>
      </c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3"/>
    </row>
    <row r="63" spans="1:21">
      <c r="A63" s="174" t="s">
        <v>687</v>
      </c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6"/>
    </row>
    <row r="64" spans="1:21">
      <c r="A64" s="171" t="s">
        <v>688</v>
      </c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3"/>
    </row>
    <row r="65" spans="1:21">
      <c r="A65" s="174" t="s">
        <v>689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6"/>
    </row>
    <row r="66" spans="1:21">
      <c r="A66" s="171" t="s">
        <v>690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3"/>
    </row>
    <row r="67" spans="1:21">
      <c r="A67" s="174" t="s">
        <v>691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6"/>
    </row>
    <row r="68" spans="1:21">
      <c r="A68" s="171" t="s">
        <v>692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3"/>
    </row>
    <row r="69" spans="1:21">
      <c r="A69" s="174" t="s">
        <v>693</v>
      </c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6"/>
    </row>
    <row r="70" spans="1:21">
      <c r="A70" s="171" t="s">
        <v>694</v>
      </c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3"/>
    </row>
    <row r="71" spans="1:21">
      <c r="A71" s="174" t="s">
        <v>695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6"/>
    </row>
    <row r="72" spans="1:21">
      <c r="A72" s="171" t="s">
        <v>696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3"/>
    </row>
    <row r="73" spans="1:21">
      <c r="A73" s="174" t="s">
        <v>697</v>
      </c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6"/>
    </row>
    <row r="74" spans="1:21">
      <c r="A74" s="177" t="s">
        <v>698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A437-E0FA-4F39-BD25-FE3D2DA84FC8}">
  <sheetPr>
    <tabColor rgb="FFC00000"/>
  </sheetPr>
  <dimension ref="A1:M617"/>
  <sheetViews>
    <sheetView workbookViewId="0">
      <selection activeCell="B7" sqref="B7"/>
    </sheetView>
  </sheetViews>
  <sheetFormatPr defaultRowHeight="15"/>
  <cols>
    <col min="1" max="1" width="7.5703125" style="195" bestFit="1" customWidth="1"/>
    <col min="2" max="2" width="24.85546875" customWidth="1"/>
    <col min="3" max="4" width="16.42578125" customWidth="1"/>
    <col min="5" max="5" width="5.7109375" customWidth="1"/>
    <col min="6" max="6" width="7.5703125" style="193" bestFit="1" customWidth="1"/>
    <col min="7" max="7" width="24.85546875" customWidth="1"/>
    <col min="8" max="8" width="16.42578125" customWidth="1"/>
    <col min="9" max="9" width="16.42578125" style="194" customWidth="1"/>
    <col min="10" max="10" width="5.7109375" customWidth="1"/>
    <col min="11" max="11" width="7.5703125" style="193" bestFit="1" customWidth="1"/>
    <col min="12" max="12" width="24.85546875" style="194" customWidth="1"/>
    <col min="13" max="13" width="11.5703125" bestFit="1" customWidth="1"/>
  </cols>
  <sheetData>
    <row r="1" spans="1:13" ht="27">
      <c r="A1" s="180" t="s">
        <v>699</v>
      </c>
      <c r="B1" s="181" t="s">
        <v>128</v>
      </c>
      <c r="C1" s="182" t="s">
        <v>700</v>
      </c>
      <c r="D1" s="182" t="s">
        <v>701</v>
      </c>
      <c r="F1" s="183" t="s">
        <v>699</v>
      </c>
      <c r="G1" s="181" t="s">
        <v>702</v>
      </c>
      <c r="H1" s="182" t="s">
        <v>700</v>
      </c>
      <c r="I1" s="184" t="s">
        <v>701</v>
      </c>
      <c r="K1" s="183" t="s">
        <v>699</v>
      </c>
      <c r="L1" s="185" t="s">
        <v>703</v>
      </c>
    </row>
    <row r="2" spans="1:13" ht="40.5">
      <c r="A2" s="180"/>
      <c r="B2" s="181" t="s">
        <v>139</v>
      </c>
      <c r="C2" s="181" t="s">
        <v>704</v>
      </c>
      <c r="D2" s="181" t="s">
        <v>704</v>
      </c>
      <c r="E2" s="186"/>
      <c r="F2" s="183"/>
      <c r="G2" s="181"/>
      <c r="H2" s="181" t="s">
        <v>704</v>
      </c>
      <c r="I2" s="185" t="s">
        <v>704</v>
      </c>
      <c r="K2" s="183"/>
      <c r="L2" s="185"/>
    </row>
    <row r="3" spans="1:13">
      <c r="A3" s="187">
        <v>26665</v>
      </c>
      <c r="B3">
        <v>332</v>
      </c>
      <c r="C3" s="188">
        <v>0</v>
      </c>
      <c r="D3" s="188">
        <v>0</v>
      </c>
      <c r="E3" s="186"/>
      <c r="F3" s="189">
        <v>40909</v>
      </c>
      <c r="G3">
        <f>B471*42/1000</f>
        <v>1136.058</v>
      </c>
      <c r="H3" s="188">
        <f>619690*(42/1000000)</f>
        <v>26.026979999999998</v>
      </c>
      <c r="I3" s="190">
        <v>4472.6639999999998</v>
      </c>
      <c r="K3" s="189">
        <v>40909</v>
      </c>
      <c r="L3" s="191">
        <f>G3-H3-I3</f>
        <v>-3362.6329799999999</v>
      </c>
      <c r="M3" s="192"/>
    </row>
    <row r="4" spans="1:13">
      <c r="A4" s="187">
        <v>26696</v>
      </c>
      <c r="B4">
        <v>67</v>
      </c>
      <c r="C4" s="188">
        <v>0</v>
      </c>
      <c r="D4" s="188">
        <v>0</v>
      </c>
      <c r="F4" s="189">
        <v>40940</v>
      </c>
      <c r="G4">
        <f t="shared" ref="G4:G67" si="0">B472*42/1000</f>
        <v>1128.96</v>
      </c>
      <c r="H4" s="188">
        <f>561960*(42/1000000)</f>
        <v>23.602319999999999</v>
      </c>
      <c r="I4" s="190">
        <v>1059.2819999999999</v>
      </c>
      <c r="K4" s="189">
        <v>40940</v>
      </c>
      <c r="L4" s="191">
        <f t="shared" ref="L4:L67" si="1">G4-H4-I4</f>
        <v>46.075680000000148</v>
      </c>
    </row>
    <row r="5" spans="1:13">
      <c r="A5" s="187">
        <v>26724</v>
      </c>
      <c r="B5">
        <v>72</v>
      </c>
      <c r="C5" s="188">
        <v>0</v>
      </c>
      <c r="D5" s="188">
        <v>0</v>
      </c>
      <c r="F5" s="189">
        <v>40969</v>
      </c>
      <c r="G5">
        <f t="shared" si="0"/>
        <v>1186.2059999999999</v>
      </c>
      <c r="H5" s="188">
        <f>706529*(42/1000000)</f>
        <v>29.674218</v>
      </c>
      <c r="I5" s="190">
        <v>13633.031999999999</v>
      </c>
      <c r="K5" s="189">
        <v>40969</v>
      </c>
      <c r="L5" s="191">
        <f t="shared" si="1"/>
        <v>-12476.500217999999</v>
      </c>
    </row>
    <row r="6" spans="1:13">
      <c r="A6" s="187">
        <v>26755</v>
      </c>
      <c r="B6">
        <v>197</v>
      </c>
      <c r="C6" s="188">
        <v>0</v>
      </c>
      <c r="D6" s="188">
        <v>0</v>
      </c>
      <c r="F6" s="189">
        <v>41000</v>
      </c>
      <c r="G6">
        <f t="shared" si="0"/>
        <v>1358.5319999999999</v>
      </c>
      <c r="H6" s="188">
        <f>384257*(42/1000000)</f>
        <v>16.138794000000001</v>
      </c>
      <c r="I6" s="190">
        <v>2672.2919999999999</v>
      </c>
      <c r="K6" s="189">
        <v>41000</v>
      </c>
      <c r="L6" s="191">
        <f t="shared" si="1"/>
        <v>-1329.898794</v>
      </c>
    </row>
    <row r="7" spans="1:13">
      <c r="A7" s="187">
        <v>26785</v>
      </c>
      <c r="B7">
        <v>54</v>
      </c>
      <c r="C7" s="188">
        <v>0</v>
      </c>
      <c r="D7" s="188">
        <v>0</v>
      </c>
      <c r="F7" s="189">
        <v>41030</v>
      </c>
      <c r="G7">
        <f t="shared" si="0"/>
        <v>1370.1659999999999</v>
      </c>
      <c r="H7" s="188">
        <f>597851*(42/1000000)</f>
        <v>25.109741999999997</v>
      </c>
      <c r="I7" s="190">
        <v>35.448</v>
      </c>
      <c r="K7" s="189">
        <v>41030</v>
      </c>
      <c r="L7" s="191">
        <f t="shared" si="1"/>
        <v>1309.6082579999998</v>
      </c>
    </row>
    <row r="8" spans="1:13">
      <c r="A8" s="187">
        <v>26816</v>
      </c>
      <c r="B8">
        <v>253</v>
      </c>
      <c r="C8" s="188">
        <v>0</v>
      </c>
      <c r="D8" s="188">
        <v>0</v>
      </c>
      <c r="F8" s="189">
        <v>41061</v>
      </c>
      <c r="G8">
        <f t="shared" si="0"/>
        <v>1368.864</v>
      </c>
      <c r="H8" s="188">
        <f>457725*(42/1000000)</f>
        <v>19.224449999999997</v>
      </c>
      <c r="I8" s="190">
        <v>1302</v>
      </c>
      <c r="K8" s="189">
        <v>41061</v>
      </c>
      <c r="L8" s="191">
        <f t="shared" si="1"/>
        <v>47.639550000000099</v>
      </c>
    </row>
    <row r="9" spans="1:13">
      <c r="A9" s="187">
        <v>26846</v>
      </c>
      <c r="B9">
        <v>105</v>
      </c>
      <c r="C9" s="188">
        <v>0</v>
      </c>
      <c r="D9" s="188">
        <v>0</v>
      </c>
      <c r="F9" s="189">
        <v>41091</v>
      </c>
      <c r="G9">
        <f t="shared" si="0"/>
        <v>1361.85</v>
      </c>
      <c r="H9" s="188">
        <f>533061*(42/1000000)</f>
        <v>22.388562</v>
      </c>
      <c r="I9" s="190">
        <v>160.524</v>
      </c>
      <c r="K9" s="189">
        <v>41091</v>
      </c>
      <c r="L9" s="191">
        <f t="shared" si="1"/>
        <v>1178.9374379999999</v>
      </c>
    </row>
    <row r="10" spans="1:13">
      <c r="A10" s="187">
        <v>26877</v>
      </c>
      <c r="B10">
        <v>264</v>
      </c>
      <c r="C10" s="188">
        <v>0</v>
      </c>
      <c r="D10" s="188">
        <v>0</v>
      </c>
      <c r="F10" s="189">
        <v>41122</v>
      </c>
      <c r="G10">
        <f t="shared" si="0"/>
        <v>1274.7840000000001</v>
      </c>
      <c r="H10" s="188">
        <f>684342*(42/1000000)</f>
        <v>28.742363999999998</v>
      </c>
      <c r="I10" s="190">
        <v>17.681999999999999</v>
      </c>
      <c r="K10" s="189">
        <v>41122</v>
      </c>
      <c r="L10" s="191">
        <f t="shared" si="1"/>
        <v>1228.3596360000001</v>
      </c>
    </row>
    <row r="11" spans="1:13">
      <c r="A11" s="187">
        <v>26908</v>
      </c>
      <c r="B11">
        <v>761</v>
      </c>
      <c r="C11" s="188">
        <v>0</v>
      </c>
      <c r="D11" s="188">
        <v>0</v>
      </c>
      <c r="F11" s="189">
        <v>41153</v>
      </c>
      <c r="G11">
        <f t="shared" si="0"/>
        <v>1264.1579999999999</v>
      </c>
      <c r="H11" s="188">
        <f>638486*(42/1000000)</f>
        <v>26.816412</v>
      </c>
      <c r="I11" s="190">
        <v>1048.7819999999999</v>
      </c>
      <c r="K11" s="189">
        <v>41153</v>
      </c>
      <c r="L11" s="191">
        <f t="shared" si="1"/>
        <v>188.55958800000008</v>
      </c>
    </row>
    <row r="12" spans="1:13">
      <c r="A12" s="187">
        <v>26938</v>
      </c>
      <c r="B12">
        <v>721</v>
      </c>
      <c r="C12" s="188">
        <v>0</v>
      </c>
      <c r="D12" s="188">
        <v>0</v>
      </c>
      <c r="F12" s="189">
        <v>41183</v>
      </c>
      <c r="G12">
        <f t="shared" si="0"/>
        <v>1363.7819999999999</v>
      </c>
      <c r="H12" s="188">
        <f>1382005*(42/1000000)</f>
        <v>58.04421</v>
      </c>
      <c r="I12" s="190">
        <v>27867.966</v>
      </c>
      <c r="K12" s="189">
        <v>41183</v>
      </c>
      <c r="L12" s="191">
        <f t="shared" si="1"/>
        <v>-26562.228210000001</v>
      </c>
    </row>
    <row r="13" spans="1:13">
      <c r="A13" s="187">
        <v>26969</v>
      </c>
      <c r="B13">
        <v>97</v>
      </c>
      <c r="C13" s="188">
        <v>0</v>
      </c>
      <c r="D13" s="188">
        <v>0</v>
      </c>
      <c r="F13" s="189">
        <v>41214</v>
      </c>
      <c r="G13">
        <f t="shared" si="0"/>
        <v>1336.7760000000001</v>
      </c>
      <c r="H13" s="188">
        <f>614453*(42/1000000)</f>
        <v>25.807025999999997</v>
      </c>
      <c r="I13" s="190">
        <v>773.89200000000005</v>
      </c>
      <c r="K13" s="189">
        <v>41214</v>
      </c>
      <c r="L13" s="191">
        <f t="shared" si="1"/>
        <v>537.07697400000006</v>
      </c>
    </row>
    <row r="14" spans="1:13">
      <c r="A14" s="187">
        <v>26999</v>
      </c>
      <c r="B14">
        <v>308</v>
      </c>
      <c r="C14" s="188">
        <v>0</v>
      </c>
      <c r="D14" s="188">
        <v>0</v>
      </c>
      <c r="F14" s="189">
        <v>41244</v>
      </c>
      <c r="G14">
        <f t="shared" si="0"/>
        <v>1332.4079999999999</v>
      </c>
      <c r="H14" s="188">
        <f>1445157*(42/1000000)</f>
        <v>60.696593999999997</v>
      </c>
      <c r="I14" s="190">
        <v>38389.512000000002</v>
      </c>
      <c r="K14" s="189">
        <v>41244</v>
      </c>
      <c r="L14" s="191">
        <f t="shared" si="1"/>
        <v>-37117.800594</v>
      </c>
    </row>
    <row r="15" spans="1:13">
      <c r="A15" s="187">
        <v>27030</v>
      </c>
      <c r="B15">
        <v>125</v>
      </c>
      <c r="C15" s="188">
        <v>0</v>
      </c>
      <c r="D15" s="188">
        <v>0</v>
      </c>
      <c r="F15" s="189">
        <v>41275</v>
      </c>
      <c r="G15">
        <f t="shared" si="0"/>
        <v>1007.832</v>
      </c>
      <c r="H15" s="188">
        <f>395340*(42/1000000)</f>
        <v>16.604279999999999</v>
      </c>
      <c r="I15" s="190">
        <v>1581.384</v>
      </c>
      <c r="K15" s="189">
        <v>41275</v>
      </c>
      <c r="L15" s="191">
        <f t="shared" si="1"/>
        <v>-590.15628000000004</v>
      </c>
    </row>
    <row r="16" spans="1:13">
      <c r="A16" s="187">
        <v>27061</v>
      </c>
      <c r="B16">
        <v>108</v>
      </c>
      <c r="C16" s="188">
        <v>0</v>
      </c>
      <c r="D16" s="188">
        <v>0</v>
      </c>
      <c r="F16" s="189">
        <v>41306</v>
      </c>
      <c r="G16">
        <f t="shared" si="0"/>
        <v>979.81799999999998</v>
      </c>
      <c r="H16" s="188">
        <f>628729*(42/1000000)</f>
        <v>26.406617999999998</v>
      </c>
      <c r="I16" s="190">
        <v>6298.4880000000003</v>
      </c>
      <c r="K16" s="189">
        <v>41306</v>
      </c>
      <c r="L16" s="191">
        <f t="shared" si="1"/>
        <v>-5345.0766180000001</v>
      </c>
    </row>
    <row r="17" spans="1:12">
      <c r="A17" s="187">
        <v>27089</v>
      </c>
      <c r="B17">
        <v>204</v>
      </c>
      <c r="C17" s="188">
        <v>0</v>
      </c>
      <c r="D17" s="188">
        <v>0</v>
      </c>
      <c r="F17" s="189">
        <v>41334</v>
      </c>
      <c r="G17">
        <f t="shared" si="0"/>
        <v>1051.3440000000001</v>
      </c>
      <c r="H17" s="188">
        <f>2093440*(42/1000000)</f>
        <v>87.924479999999988</v>
      </c>
      <c r="I17" s="190">
        <v>61531.091999999997</v>
      </c>
      <c r="K17" s="189">
        <v>41334</v>
      </c>
      <c r="L17" s="191">
        <f t="shared" si="1"/>
        <v>-60567.672479999994</v>
      </c>
    </row>
    <row r="18" spans="1:12">
      <c r="A18" s="187">
        <v>27120</v>
      </c>
      <c r="B18">
        <v>41</v>
      </c>
      <c r="C18" s="188">
        <v>0</v>
      </c>
      <c r="D18" s="188">
        <v>0</v>
      </c>
      <c r="F18" s="189">
        <v>41365</v>
      </c>
      <c r="G18">
        <f t="shared" si="0"/>
        <v>1062.4739999999999</v>
      </c>
      <c r="H18" s="188">
        <f>691515*(42/1000000)</f>
        <v>29.043629999999997</v>
      </c>
      <c r="I18" s="190">
        <v>23.352</v>
      </c>
      <c r="K18" s="189">
        <v>41365</v>
      </c>
      <c r="L18" s="191">
        <f t="shared" si="1"/>
        <v>1010.0783700000001</v>
      </c>
    </row>
    <row r="19" spans="1:12">
      <c r="A19" s="187">
        <v>27150</v>
      </c>
      <c r="B19">
        <v>27</v>
      </c>
      <c r="C19" s="188">
        <v>0</v>
      </c>
      <c r="D19" s="188">
        <v>0</v>
      </c>
      <c r="F19" s="189">
        <v>41395</v>
      </c>
      <c r="G19">
        <f t="shared" si="0"/>
        <v>1462.566</v>
      </c>
      <c r="H19" s="188">
        <f>1064439*(42/1000000)</f>
        <v>44.706437999999999</v>
      </c>
      <c r="I19" s="190">
        <v>20224.554</v>
      </c>
      <c r="K19" s="189">
        <v>41395</v>
      </c>
      <c r="L19" s="191">
        <f t="shared" si="1"/>
        <v>-18806.694437999999</v>
      </c>
    </row>
    <row r="20" spans="1:12">
      <c r="A20" s="187">
        <v>27181</v>
      </c>
      <c r="B20">
        <v>34</v>
      </c>
      <c r="C20" s="188">
        <v>0</v>
      </c>
      <c r="D20" s="188">
        <v>0</v>
      </c>
      <c r="F20" s="189">
        <v>41426</v>
      </c>
      <c r="G20">
        <f t="shared" si="0"/>
        <v>1628.3820000000001</v>
      </c>
      <c r="H20" s="188">
        <f>1351826*(42/1000000)</f>
        <v>56.776691999999997</v>
      </c>
      <c r="I20" s="190">
        <v>21622.44</v>
      </c>
      <c r="K20" s="189">
        <v>41426</v>
      </c>
      <c r="L20" s="191">
        <f t="shared" si="1"/>
        <v>-20050.834691999997</v>
      </c>
    </row>
    <row r="21" spans="1:12">
      <c r="A21" s="187">
        <v>27211</v>
      </c>
      <c r="B21">
        <v>84</v>
      </c>
      <c r="C21" s="188">
        <v>0</v>
      </c>
      <c r="D21" s="188">
        <v>0</v>
      </c>
      <c r="F21" s="189">
        <v>41456</v>
      </c>
      <c r="G21">
        <f t="shared" si="0"/>
        <v>1758.5820000000001</v>
      </c>
      <c r="H21" s="188">
        <f>1347504*(42/1000000)</f>
        <v>56.595167999999994</v>
      </c>
      <c r="I21" s="190">
        <v>1393.35</v>
      </c>
      <c r="K21" s="189">
        <v>41456</v>
      </c>
      <c r="L21" s="191">
        <f t="shared" si="1"/>
        <v>308.63683200000014</v>
      </c>
    </row>
    <row r="22" spans="1:12">
      <c r="A22" s="187">
        <v>27242</v>
      </c>
      <c r="B22">
        <v>17</v>
      </c>
      <c r="C22" s="188">
        <v>0</v>
      </c>
      <c r="D22" s="188">
        <v>0</v>
      </c>
      <c r="F22" s="189">
        <v>41487</v>
      </c>
      <c r="G22">
        <f t="shared" si="0"/>
        <v>1703.0160000000001</v>
      </c>
      <c r="H22" s="188">
        <f>1108792*(42/1000000)</f>
        <v>46.569263999999997</v>
      </c>
      <c r="I22" s="190">
        <v>54.81</v>
      </c>
      <c r="K22" s="189">
        <v>41487</v>
      </c>
      <c r="L22" s="191">
        <f t="shared" si="1"/>
        <v>1601.6367360000002</v>
      </c>
    </row>
    <row r="23" spans="1:12">
      <c r="A23" s="187">
        <v>27273</v>
      </c>
      <c r="B23">
        <v>41</v>
      </c>
      <c r="C23" s="188">
        <v>0</v>
      </c>
      <c r="D23" s="188">
        <v>0</v>
      </c>
      <c r="F23" s="189">
        <v>41518</v>
      </c>
      <c r="G23">
        <f t="shared" si="0"/>
        <v>1702.806</v>
      </c>
      <c r="H23" s="188">
        <f>1340702*(42/1000000)</f>
        <v>56.309483999999998</v>
      </c>
      <c r="I23" s="190">
        <v>32947.404000000002</v>
      </c>
      <c r="K23" s="189">
        <v>41518</v>
      </c>
      <c r="L23" s="191">
        <f t="shared" si="1"/>
        <v>-31300.907484000003</v>
      </c>
    </row>
    <row r="24" spans="1:12">
      <c r="A24" s="187">
        <v>27303</v>
      </c>
      <c r="B24">
        <v>15</v>
      </c>
      <c r="C24" s="188">
        <v>0</v>
      </c>
      <c r="D24" s="188">
        <v>0</v>
      </c>
      <c r="F24" s="189">
        <v>41548</v>
      </c>
      <c r="G24">
        <f t="shared" si="0"/>
        <v>1762.2360000000001</v>
      </c>
      <c r="H24" s="188">
        <f>1902162*(42/1000000)</f>
        <v>79.890803999999989</v>
      </c>
      <c r="I24" s="190">
        <v>49508.004000000001</v>
      </c>
      <c r="K24" s="189">
        <v>41548</v>
      </c>
      <c r="L24" s="191">
        <f t="shared" si="1"/>
        <v>-47825.658803999999</v>
      </c>
    </row>
    <row r="25" spans="1:12">
      <c r="A25" s="187">
        <v>27334</v>
      </c>
      <c r="B25">
        <v>55</v>
      </c>
      <c r="C25" s="188">
        <v>0</v>
      </c>
      <c r="D25" s="188">
        <v>0</v>
      </c>
      <c r="F25" s="189">
        <v>41579</v>
      </c>
      <c r="G25">
        <f t="shared" si="0"/>
        <v>1597.2180000000001</v>
      </c>
      <c r="H25" s="188">
        <f>865483*(42/1000000)</f>
        <v>36.350285999999997</v>
      </c>
      <c r="I25" s="190">
        <v>18530.946</v>
      </c>
      <c r="K25" s="189">
        <v>41579</v>
      </c>
      <c r="L25" s="191">
        <f t="shared" si="1"/>
        <v>-16970.078286</v>
      </c>
    </row>
    <row r="26" spans="1:12">
      <c r="A26" s="187">
        <v>27364</v>
      </c>
      <c r="B26">
        <v>104</v>
      </c>
      <c r="C26" s="188">
        <v>0</v>
      </c>
      <c r="D26" s="188">
        <v>0</v>
      </c>
      <c r="F26" s="189">
        <v>41609</v>
      </c>
      <c r="G26">
        <f t="shared" si="0"/>
        <v>1667.0219999999999</v>
      </c>
      <c r="H26" s="188">
        <f>868861*(42/1000000)</f>
        <v>36.492162</v>
      </c>
      <c r="I26" s="190">
        <v>18210.948</v>
      </c>
      <c r="K26" s="189">
        <v>41609</v>
      </c>
      <c r="L26" s="191">
        <f t="shared" si="1"/>
        <v>-16580.418162000002</v>
      </c>
    </row>
    <row r="27" spans="1:12">
      <c r="A27" s="187">
        <v>27395</v>
      </c>
      <c r="B27">
        <v>2</v>
      </c>
      <c r="C27" s="188">
        <v>0</v>
      </c>
      <c r="D27" s="188">
        <v>0</v>
      </c>
      <c r="F27" s="189">
        <v>41640</v>
      </c>
      <c r="G27">
        <f t="shared" si="0"/>
        <v>1390.1579999999999</v>
      </c>
      <c r="H27" s="188">
        <f>634985*(42/1000000)</f>
        <v>26.669369999999997</v>
      </c>
      <c r="I27" s="190">
        <v>5395.6559999999999</v>
      </c>
      <c r="K27" s="189">
        <v>41640</v>
      </c>
      <c r="L27" s="191">
        <f t="shared" si="1"/>
        <v>-4032.1673700000001</v>
      </c>
    </row>
    <row r="28" spans="1:12">
      <c r="A28" s="187">
        <v>27426</v>
      </c>
      <c r="B28">
        <v>50</v>
      </c>
      <c r="C28" s="188">
        <v>0</v>
      </c>
      <c r="D28" s="188">
        <v>0</v>
      </c>
      <c r="F28" s="189">
        <v>41671</v>
      </c>
      <c r="G28">
        <f t="shared" si="0"/>
        <v>1002.54</v>
      </c>
      <c r="H28" s="188">
        <f>372585*(42/1000000)</f>
        <v>15.648569999999999</v>
      </c>
      <c r="I28" s="190">
        <v>28.896000000000001</v>
      </c>
      <c r="K28" s="189">
        <v>41671</v>
      </c>
      <c r="L28" s="191">
        <f t="shared" si="1"/>
        <v>957.99543000000006</v>
      </c>
    </row>
    <row r="29" spans="1:12">
      <c r="A29" s="187">
        <v>27454</v>
      </c>
      <c r="B29">
        <v>1</v>
      </c>
      <c r="C29" s="188">
        <v>0</v>
      </c>
      <c r="D29" s="188">
        <v>0</v>
      </c>
      <c r="F29" s="189">
        <v>41699</v>
      </c>
      <c r="G29">
        <f t="shared" si="0"/>
        <v>1320.144</v>
      </c>
      <c r="H29" s="188">
        <f>1025680*(42/1000000)</f>
        <v>43.078559999999996</v>
      </c>
      <c r="I29" s="190">
        <v>29392.482</v>
      </c>
      <c r="K29" s="189">
        <v>41699</v>
      </c>
      <c r="L29" s="191">
        <f t="shared" si="1"/>
        <v>-28115.416560000001</v>
      </c>
    </row>
    <row r="30" spans="1:12">
      <c r="A30" s="187">
        <v>27485</v>
      </c>
      <c r="B30">
        <v>51</v>
      </c>
      <c r="C30" s="188">
        <v>0</v>
      </c>
      <c r="D30" s="188">
        <v>0</v>
      </c>
      <c r="F30" s="189">
        <v>41730</v>
      </c>
      <c r="G30">
        <f t="shared" si="0"/>
        <v>1463.7</v>
      </c>
      <c r="H30" s="188">
        <f>279152*(42/1000000)</f>
        <v>11.724383999999999</v>
      </c>
      <c r="I30" s="190">
        <v>27.3</v>
      </c>
      <c r="K30" s="189">
        <v>41730</v>
      </c>
      <c r="L30" s="191">
        <f t="shared" si="1"/>
        <v>1424.675616</v>
      </c>
    </row>
    <row r="31" spans="1:12">
      <c r="A31" s="187">
        <v>27515</v>
      </c>
      <c r="B31">
        <v>7</v>
      </c>
      <c r="C31" s="188">
        <v>0</v>
      </c>
      <c r="D31" s="188">
        <v>0</v>
      </c>
      <c r="F31" s="189">
        <v>41760</v>
      </c>
      <c r="G31">
        <f t="shared" si="0"/>
        <v>1512.3779999999999</v>
      </c>
      <c r="H31" s="188">
        <f>1237081*(42/1000000)</f>
        <v>51.957401999999995</v>
      </c>
      <c r="I31" s="190">
        <v>33625.536</v>
      </c>
      <c r="K31" s="189">
        <v>41760</v>
      </c>
      <c r="L31" s="191">
        <f t="shared" si="1"/>
        <v>-32165.115401999999</v>
      </c>
    </row>
    <row r="32" spans="1:12">
      <c r="A32" s="187">
        <v>27546</v>
      </c>
      <c r="B32">
        <v>48</v>
      </c>
      <c r="C32" s="188">
        <v>0</v>
      </c>
      <c r="D32" s="188">
        <v>0</v>
      </c>
      <c r="F32" s="189">
        <v>41791</v>
      </c>
      <c r="G32">
        <f t="shared" si="0"/>
        <v>1474.452</v>
      </c>
      <c r="H32" s="188">
        <f>289287*(42/1000000)</f>
        <v>12.150053999999999</v>
      </c>
      <c r="I32" s="190">
        <v>183.16200000000001</v>
      </c>
      <c r="K32" s="189">
        <v>41791</v>
      </c>
      <c r="L32" s="191">
        <f t="shared" si="1"/>
        <v>1279.139946</v>
      </c>
    </row>
    <row r="33" spans="1:12">
      <c r="A33" s="187">
        <v>27576</v>
      </c>
      <c r="B33">
        <v>11</v>
      </c>
      <c r="C33" s="188">
        <v>0</v>
      </c>
      <c r="D33" s="188">
        <v>0</v>
      </c>
      <c r="F33" s="189">
        <v>41821</v>
      </c>
      <c r="G33">
        <f t="shared" si="0"/>
        <v>1571.3040000000001</v>
      </c>
      <c r="H33" s="188">
        <f>340828*(42/1000000)</f>
        <v>14.314775999999998</v>
      </c>
      <c r="I33" s="190">
        <v>408.57600000000002</v>
      </c>
      <c r="K33" s="189">
        <v>41821</v>
      </c>
      <c r="L33" s="191">
        <f t="shared" si="1"/>
        <v>1148.4132240000001</v>
      </c>
    </row>
    <row r="34" spans="1:12">
      <c r="A34" s="187">
        <v>27607</v>
      </c>
      <c r="B34">
        <v>49</v>
      </c>
      <c r="C34" s="188">
        <v>0</v>
      </c>
      <c r="D34" s="188">
        <v>0</v>
      </c>
      <c r="F34" s="189">
        <v>41852</v>
      </c>
      <c r="G34">
        <f t="shared" si="0"/>
        <v>1681.3440000000001</v>
      </c>
      <c r="H34" s="188">
        <f>1030428*(42/1000000)</f>
        <v>43.277975999999995</v>
      </c>
      <c r="I34" s="190">
        <v>31401.383999999998</v>
      </c>
      <c r="K34" s="189">
        <v>41852</v>
      </c>
      <c r="L34" s="191">
        <f t="shared" si="1"/>
        <v>-29763.317975999998</v>
      </c>
    </row>
    <row r="35" spans="1:12">
      <c r="A35" s="187">
        <v>27638</v>
      </c>
      <c r="B35">
        <v>1</v>
      </c>
      <c r="C35" s="188">
        <v>0</v>
      </c>
      <c r="D35" s="188">
        <v>0</v>
      </c>
      <c r="F35" s="189">
        <v>41883</v>
      </c>
      <c r="G35">
        <f t="shared" si="0"/>
        <v>1382.1780000000001</v>
      </c>
      <c r="H35" s="188">
        <f>1102902*(42/1000000)</f>
        <v>46.321883999999997</v>
      </c>
      <c r="I35" s="190">
        <v>33375.048000000003</v>
      </c>
      <c r="K35" s="189">
        <v>41883</v>
      </c>
      <c r="L35" s="191">
        <f t="shared" si="1"/>
        <v>-32039.191884000003</v>
      </c>
    </row>
    <row r="36" spans="1:12">
      <c r="A36" s="187">
        <v>27668</v>
      </c>
      <c r="B36">
        <v>1</v>
      </c>
      <c r="C36" s="188">
        <v>0</v>
      </c>
      <c r="D36" s="188">
        <v>0</v>
      </c>
      <c r="F36" s="189">
        <v>41913</v>
      </c>
      <c r="G36">
        <f t="shared" si="0"/>
        <v>1209.7260000000001</v>
      </c>
      <c r="H36" s="188">
        <f>789743*(42/1000000)</f>
        <v>33.169205999999996</v>
      </c>
      <c r="I36" s="190">
        <v>20119.932000000001</v>
      </c>
      <c r="K36" s="189">
        <v>41913</v>
      </c>
      <c r="L36" s="191">
        <f t="shared" si="1"/>
        <v>-18943.375206000001</v>
      </c>
    </row>
    <row r="37" spans="1:12">
      <c r="A37" s="187">
        <v>27699</v>
      </c>
      <c r="B37">
        <v>10</v>
      </c>
      <c r="C37" s="188">
        <v>0</v>
      </c>
      <c r="D37" s="188">
        <v>0</v>
      </c>
      <c r="F37" s="189">
        <v>41944</v>
      </c>
      <c r="G37">
        <f t="shared" si="0"/>
        <v>1387.26</v>
      </c>
      <c r="H37" s="188">
        <f>1505470*(42/1000000)</f>
        <v>63.22974</v>
      </c>
      <c r="I37" s="190">
        <v>52469.843999999997</v>
      </c>
      <c r="K37" s="189">
        <v>41944</v>
      </c>
      <c r="L37" s="191">
        <f t="shared" si="1"/>
        <v>-51145.813739999998</v>
      </c>
    </row>
    <row r="38" spans="1:12">
      <c r="A38" s="187">
        <v>27729</v>
      </c>
      <c r="B38">
        <v>36</v>
      </c>
      <c r="C38" s="188">
        <v>0</v>
      </c>
      <c r="D38" s="188">
        <v>0</v>
      </c>
      <c r="F38" s="189">
        <v>41974</v>
      </c>
      <c r="G38">
        <f t="shared" si="0"/>
        <v>1483.6079999999999</v>
      </c>
      <c r="H38" s="188">
        <f>908266*(42/1000000)</f>
        <v>38.147171999999998</v>
      </c>
      <c r="I38" s="190">
        <v>23432.556</v>
      </c>
      <c r="K38" s="189">
        <v>41974</v>
      </c>
      <c r="L38" s="191">
        <f t="shared" si="1"/>
        <v>-21987.095172000001</v>
      </c>
    </row>
    <row r="39" spans="1:12">
      <c r="A39" s="187">
        <v>27760</v>
      </c>
      <c r="B39">
        <v>7</v>
      </c>
      <c r="C39" s="188">
        <v>0</v>
      </c>
      <c r="D39" s="188">
        <v>0</v>
      </c>
      <c r="F39" s="189">
        <v>42005</v>
      </c>
      <c r="G39">
        <f t="shared" si="0"/>
        <v>1459.4159999999999</v>
      </c>
      <c r="H39" s="188">
        <f>611885*(42/1000000)</f>
        <v>25.699169999999999</v>
      </c>
      <c r="I39" s="190">
        <v>12489.162</v>
      </c>
      <c r="K39" s="189">
        <v>42005</v>
      </c>
      <c r="L39" s="191">
        <f t="shared" si="1"/>
        <v>-11055.445170000001</v>
      </c>
    </row>
    <row r="40" spans="1:12">
      <c r="A40" s="187">
        <v>27791</v>
      </c>
      <c r="B40">
        <v>24</v>
      </c>
      <c r="C40" s="188">
        <v>0</v>
      </c>
      <c r="D40" s="188">
        <v>0</v>
      </c>
      <c r="F40" s="189">
        <v>42036</v>
      </c>
      <c r="G40">
        <f t="shared" si="0"/>
        <v>1109.22</v>
      </c>
      <c r="H40" s="188">
        <f>1166880*(42/1000000)</f>
        <v>49.008959999999995</v>
      </c>
      <c r="I40" s="190">
        <v>35519.442000000003</v>
      </c>
      <c r="K40" s="189">
        <v>42036</v>
      </c>
      <c r="L40" s="191">
        <f t="shared" si="1"/>
        <v>-34459.230960000001</v>
      </c>
    </row>
    <row r="41" spans="1:12">
      <c r="A41" s="187">
        <v>27820</v>
      </c>
      <c r="B41">
        <v>35</v>
      </c>
      <c r="C41" s="188">
        <v>0</v>
      </c>
      <c r="D41" s="188">
        <v>0</v>
      </c>
      <c r="F41" s="189">
        <v>42064</v>
      </c>
      <c r="G41">
        <f t="shared" si="0"/>
        <v>1325.058</v>
      </c>
      <c r="H41" s="188">
        <f>1610845*(42/1000000)</f>
        <v>67.65549</v>
      </c>
      <c r="I41" s="190">
        <v>23405.214</v>
      </c>
      <c r="K41" s="189">
        <v>42064</v>
      </c>
      <c r="L41" s="191">
        <f t="shared" si="1"/>
        <v>-22147.81149</v>
      </c>
    </row>
    <row r="42" spans="1:12">
      <c r="A42" s="187">
        <v>27851</v>
      </c>
      <c r="B42">
        <v>15</v>
      </c>
      <c r="C42" s="188">
        <v>0</v>
      </c>
      <c r="D42" s="188">
        <v>0</v>
      </c>
      <c r="F42" s="189">
        <v>42095</v>
      </c>
      <c r="G42">
        <f t="shared" si="0"/>
        <v>1536.15</v>
      </c>
      <c r="H42" s="188">
        <f>870742*(42/1000000)</f>
        <v>36.571163999999996</v>
      </c>
      <c r="I42" s="190">
        <v>19980.324000000001</v>
      </c>
      <c r="K42" s="189">
        <v>42095</v>
      </c>
      <c r="L42" s="191">
        <f t="shared" si="1"/>
        <v>-18480.745164</v>
      </c>
    </row>
    <row r="43" spans="1:12">
      <c r="A43" s="187">
        <v>27881</v>
      </c>
      <c r="B43">
        <v>21</v>
      </c>
      <c r="C43" s="188">
        <v>0</v>
      </c>
      <c r="D43" s="188">
        <v>0</v>
      </c>
      <c r="F43" s="189">
        <v>42125</v>
      </c>
      <c r="G43">
        <f t="shared" si="0"/>
        <v>1667.1479999999999</v>
      </c>
      <c r="H43" s="188">
        <f>1018473*(42/1000000)</f>
        <v>42.775866000000001</v>
      </c>
      <c r="I43" s="190">
        <v>2539.866</v>
      </c>
      <c r="K43" s="189">
        <v>42125</v>
      </c>
      <c r="L43" s="191">
        <f t="shared" si="1"/>
        <v>-915.49386600000003</v>
      </c>
    </row>
    <row r="44" spans="1:12">
      <c r="A44" s="187">
        <v>27912</v>
      </c>
      <c r="B44">
        <v>26</v>
      </c>
      <c r="C44" s="188">
        <v>0</v>
      </c>
      <c r="D44" s="188">
        <v>0</v>
      </c>
      <c r="F44" s="189">
        <v>42156</v>
      </c>
      <c r="G44">
        <f t="shared" si="0"/>
        <v>1524.306</v>
      </c>
      <c r="H44" s="188">
        <f>1126104*(42/1000000)</f>
        <v>47.296367999999994</v>
      </c>
      <c r="I44" s="190">
        <v>21355.362000000001</v>
      </c>
      <c r="K44" s="189">
        <v>42156</v>
      </c>
      <c r="L44" s="191">
        <f t="shared" si="1"/>
        <v>-19878.352368</v>
      </c>
    </row>
    <row r="45" spans="1:12">
      <c r="A45" s="187">
        <v>27942</v>
      </c>
      <c r="B45">
        <v>15</v>
      </c>
      <c r="C45" s="188">
        <v>0</v>
      </c>
      <c r="D45" s="188">
        <v>0</v>
      </c>
      <c r="F45" s="189">
        <v>42186</v>
      </c>
      <c r="G45">
        <f t="shared" si="0"/>
        <v>1729.3920000000001</v>
      </c>
      <c r="H45" s="188">
        <f>1503999*(42/1000000)</f>
        <v>63.167957999999999</v>
      </c>
      <c r="I45" s="190">
        <v>31238.34</v>
      </c>
      <c r="K45" s="189">
        <v>42186</v>
      </c>
      <c r="L45" s="191">
        <f t="shared" si="1"/>
        <v>-29572.115957999998</v>
      </c>
    </row>
    <row r="46" spans="1:12">
      <c r="A46" s="187">
        <v>27973</v>
      </c>
      <c r="B46">
        <v>125</v>
      </c>
      <c r="C46" s="188">
        <v>0</v>
      </c>
      <c r="D46" s="188">
        <v>0</v>
      </c>
      <c r="F46" s="189">
        <v>42217</v>
      </c>
      <c r="G46">
        <f t="shared" si="0"/>
        <v>1388.1420000000001</v>
      </c>
      <c r="H46" s="188">
        <f>1048393*(42/1000000)</f>
        <v>44.032505999999998</v>
      </c>
      <c r="I46" s="190">
        <v>3718.89</v>
      </c>
      <c r="K46" s="189">
        <v>42217</v>
      </c>
      <c r="L46" s="191">
        <f t="shared" si="1"/>
        <v>-2374.7805060000001</v>
      </c>
    </row>
    <row r="47" spans="1:12">
      <c r="A47" s="187">
        <v>28004</v>
      </c>
      <c r="B47">
        <v>38</v>
      </c>
      <c r="C47" s="188">
        <v>0</v>
      </c>
      <c r="D47" s="188">
        <v>0</v>
      </c>
      <c r="F47" s="189">
        <v>42248</v>
      </c>
      <c r="G47">
        <f t="shared" si="0"/>
        <v>1608.768</v>
      </c>
      <c r="H47" s="188">
        <f>1311677*(42/1000000)</f>
        <v>55.090433999999995</v>
      </c>
      <c r="I47" s="190">
        <v>27118.896000000001</v>
      </c>
      <c r="K47" s="189">
        <v>42248</v>
      </c>
      <c r="L47" s="191">
        <f t="shared" si="1"/>
        <v>-25565.218434000002</v>
      </c>
    </row>
    <row r="48" spans="1:12">
      <c r="A48" s="187">
        <v>28034</v>
      </c>
      <c r="B48">
        <v>28</v>
      </c>
      <c r="C48" s="188">
        <v>0</v>
      </c>
      <c r="D48" s="188">
        <v>0</v>
      </c>
      <c r="F48" s="189">
        <v>42278</v>
      </c>
      <c r="G48">
        <f t="shared" si="0"/>
        <v>1496.88</v>
      </c>
      <c r="H48" s="188">
        <f>848401*(42/1000000)</f>
        <v>35.632841999999997</v>
      </c>
      <c r="I48" s="190">
        <v>36.75</v>
      </c>
      <c r="K48" s="189">
        <v>42278</v>
      </c>
      <c r="L48" s="191">
        <f t="shared" si="1"/>
        <v>1424.4971580000001</v>
      </c>
    </row>
    <row r="49" spans="1:12">
      <c r="A49" s="187">
        <v>28065</v>
      </c>
      <c r="B49">
        <v>43</v>
      </c>
      <c r="C49" s="188">
        <v>0</v>
      </c>
      <c r="D49" s="188">
        <v>0</v>
      </c>
      <c r="F49" s="189">
        <v>42309</v>
      </c>
      <c r="G49">
        <f t="shared" si="0"/>
        <v>1484.3219999999999</v>
      </c>
      <c r="H49" s="188">
        <f>664091*(42/1000000)</f>
        <v>27.891821999999998</v>
      </c>
      <c r="I49" s="190">
        <v>43.386000000000003</v>
      </c>
      <c r="K49" s="189">
        <v>42309</v>
      </c>
      <c r="L49" s="191">
        <f t="shared" si="1"/>
        <v>1413.0441779999999</v>
      </c>
    </row>
    <row r="50" spans="1:12">
      <c r="A50" s="187">
        <v>28095</v>
      </c>
      <c r="B50">
        <v>44</v>
      </c>
      <c r="C50" s="188">
        <v>0</v>
      </c>
      <c r="D50" s="188">
        <v>0</v>
      </c>
      <c r="F50" s="189">
        <v>42339</v>
      </c>
      <c r="G50">
        <f t="shared" si="0"/>
        <v>1692.39</v>
      </c>
      <c r="H50" s="188">
        <f>703084*(42/1000000)</f>
        <v>29.529527999999999</v>
      </c>
      <c r="I50" s="190">
        <v>39.606000000000002</v>
      </c>
      <c r="K50" s="189">
        <v>42339</v>
      </c>
      <c r="L50" s="191">
        <f t="shared" si="1"/>
        <v>1623.2544720000001</v>
      </c>
    </row>
    <row r="51" spans="1:12">
      <c r="A51" s="187">
        <v>28126</v>
      </c>
      <c r="B51">
        <v>35</v>
      </c>
      <c r="C51" s="188">
        <v>0</v>
      </c>
      <c r="D51" s="188">
        <v>0</v>
      </c>
      <c r="F51" s="189">
        <v>42370</v>
      </c>
      <c r="G51">
        <f t="shared" si="0"/>
        <v>1196.1179999999999</v>
      </c>
      <c r="H51" s="188">
        <f>652865*(42/1000000)</f>
        <v>27.42033</v>
      </c>
      <c r="I51" s="190">
        <v>5786.0879999999997</v>
      </c>
      <c r="K51" s="189">
        <v>42370</v>
      </c>
      <c r="L51" s="191">
        <f t="shared" si="1"/>
        <v>-4617.3903300000002</v>
      </c>
    </row>
    <row r="52" spans="1:12">
      <c r="A52" s="187">
        <v>28157</v>
      </c>
      <c r="B52">
        <v>24</v>
      </c>
      <c r="C52" s="188">
        <v>0</v>
      </c>
      <c r="D52" s="188">
        <v>0</v>
      </c>
      <c r="F52" s="189">
        <v>42401</v>
      </c>
      <c r="G52">
        <f t="shared" si="0"/>
        <v>1091.2439999999999</v>
      </c>
      <c r="H52" s="188">
        <f>712805*(42/1000000)</f>
        <v>29.937809999999999</v>
      </c>
      <c r="I52" s="190">
        <v>3757.9920000000002</v>
      </c>
      <c r="K52" s="189">
        <v>42401</v>
      </c>
      <c r="L52" s="191">
        <f t="shared" si="1"/>
        <v>-2696.6858099999999</v>
      </c>
    </row>
    <row r="53" spans="1:12">
      <c r="A53" s="187">
        <v>28185</v>
      </c>
      <c r="B53">
        <v>30</v>
      </c>
      <c r="C53" s="188">
        <v>0</v>
      </c>
      <c r="D53" s="188">
        <v>0</v>
      </c>
      <c r="F53" s="189">
        <v>42430</v>
      </c>
      <c r="G53">
        <f t="shared" si="0"/>
        <v>1549.422</v>
      </c>
      <c r="H53" s="188">
        <f>993833*(42/1000000)</f>
        <v>41.740985999999999</v>
      </c>
      <c r="I53" s="190">
        <v>176.946</v>
      </c>
      <c r="K53" s="189">
        <v>42430</v>
      </c>
      <c r="L53" s="191">
        <f t="shared" si="1"/>
        <v>1330.7350140000001</v>
      </c>
    </row>
    <row r="54" spans="1:12">
      <c r="A54" s="187">
        <v>28216</v>
      </c>
      <c r="B54">
        <v>75</v>
      </c>
      <c r="C54" s="188">
        <v>0</v>
      </c>
      <c r="D54" s="188">
        <v>0</v>
      </c>
      <c r="F54" s="189">
        <v>42461</v>
      </c>
      <c r="G54">
        <f t="shared" si="0"/>
        <v>1615.992</v>
      </c>
      <c r="H54" s="188">
        <f>1630633*(42/1000000)</f>
        <v>68.486586000000003</v>
      </c>
      <c r="I54" s="190">
        <v>19839.204000000002</v>
      </c>
      <c r="K54" s="189">
        <v>42461</v>
      </c>
      <c r="L54" s="191">
        <f t="shared" si="1"/>
        <v>-18291.698586000002</v>
      </c>
    </row>
    <row r="55" spans="1:12">
      <c r="A55" s="187">
        <v>28246</v>
      </c>
      <c r="B55">
        <v>11</v>
      </c>
      <c r="C55" s="188">
        <v>0</v>
      </c>
      <c r="D55" s="188">
        <v>0</v>
      </c>
      <c r="F55" s="189">
        <v>42491</v>
      </c>
      <c r="G55">
        <f t="shared" si="0"/>
        <v>1608.0119999999999</v>
      </c>
      <c r="H55" s="188">
        <f>2203571*(42/1000000)</f>
        <v>92.549982</v>
      </c>
      <c r="I55" s="190">
        <v>15839.544</v>
      </c>
      <c r="K55" s="189">
        <v>42491</v>
      </c>
      <c r="L55" s="191">
        <f t="shared" si="1"/>
        <v>-14324.081982</v>
      </c>
    </row>
    <row r="56" spans="1:12">
      <c r="A56" s="187">
        <v>28277</v>
      </c>
      <c r="B56">
        <v>10</v>
      </c>
      <c r="C56" s="188">
        <v>0</v>
      </c>
      <c r="D56" s="188">
        <v>0</v>
      </c>
      <c r="F56" s="189">
        <v>42522</v>
      </c>
      <c r="G56">
        <f t="shared" si="0"/>
        <v>1818.39</v>
      </c>
      <c r="H56" s="188">
        <f>1459833*(42/1000000)</f>
        <v>61.312985999999995</v>
      </c>
      <c r="I56" s="190">
        <v>6105.2879999999996</v>
      </c>
      <c r="K56" s="189">
        <v>42522</v>
      </c>
      <c r="L56" s="191">
        <f t="shared" si="1"/>
        <v>-4348.2109859999991</v>
      </c>
    </row>
    <row r="57" spans="1:12">
      <c r="A57" s="187">
        <v>28307</v>
      </c>
      <c r="B57">
        <v>0</v>
      </c>
      <c r="C57" s="188">
        <v>0</v>
      </c>
      <c r="D57" s="188">
        <v>0</v>
      </c>
      <c r="F57" s="189">
        <v>42552</v>
      </c>
      <c r="G57">
        <f t="shared" si="0"/>
        <v>1761.9</v>
      </c>
      <c r="H57" s="188">
        <f>1102559*(42/1000000)</f>
        <v>46.307477999999996</v>
      </c>
      <c r="I57" s="190">
        <v>16692.689999999999</v>
      </c>
      <c r="K57" s="189">
        <v>42552</v>
      </c>
      <c r="L57" s="191">
        <f t="shared" si="1"/>
        <v>-14977.097477999998</v>
      </c>
    </row>
    <row r="58" spans="1:12">
      <c r="A58" s="187">
        <v>28338</v>
      </c>
      <c r="B58">
        <v>13</v>
      </c>
      <c r="C58" s="188">
        <v>0</v>
      </c>
      <c r="D58" s="188">
        <v>0</v>
      </c>
      <c r="F58" s="189">
        <v>42583</v>
      </c>
      <c r="G58">
        <f t="shared" si="0"/>
        <v>1577.394</v>
      </c>
      <c r="H58" s="188">
        <f>1711380*(42/1000000)</f>
        <v>71.877960000000002</v>
      </c>
      <c r="I58" s="190">
        <v>32254.991999999998</v>
      </c>
      <c r="K58" s="189">
        <v>42583</v>
      </c>
      <c r="L58" s="191">
        <f t="shared" si="1"/>
        <v>-30749.47596</v>
      </c>
    </row>
    <row r="59" spans="1:12">
      <c r="A59" s="187">
        <v>28369</v>
      </c>
      <c r="B59">
        <v>17</v>
      </c>
      <c r="C59" s="188">
        <v>0</v>
      </c>
      <c r="D59" s="188">
        <v>0</v>
      </c>
      <c r="F59" s="189">
        <v>42614</v>
      </c>
      <c r="G59">
        <f t="shared" si="0"/>
        <v>1526.28</v>
      </c>
      <c r="H59" s="188">
        <f>2524111*(42/1000000)</f>
        <v>106.01266199999999</v>
      </c>
      <c r="I59" s="190">
        <v>39501.377999999997</v>
      </c>
      <c r="K59" s="189">
        <v>42614</v>
      </c>
      <c r="L59" s="191">
        <f t="shared" si="1"/>
        <v>-38081.110661999999</v>
      </c>
    </row>
    <row r="60" spans="1:12">
      <c r="A60" s="187">
        <v>28399</v>
      </c>
      <c r="B60">
        <v>170</v>
      </c>
      <c r="C60" s="188">
        <v>0</v>
      </c>
      <c r="D60" s="188">
        <v>0</v>
      </c>
      <c r="F60" s="189">
        <v>42644</v>
      </c>
      <c r="G60">
        <f t="shared" si="0"/>
        <v>1307.838</v>
      </c>
      <c r="H60" s="188">
        <f>2013884*(42/1000000)</f>
        <v>84.583128000000002</v>
      </c>
      <c r="I60" s="190">
        <v>18098.766</v>
      </c>
      <c r="K60" s="189">
        <v>42644</v>
      </c>
      <c r="L60" s="191">
        <f t="shared" si="1"/>
        <v>-16875.511127999998</v>
      </c>
    </row>
    <row r="61" spans="1:12">
      <c r="A61" s="187">
        <v>28430</v>
      </c>
      <c r="B61">
        <v>83</v>
      </c>
      <c r="C61" s="188">
        <v>0</v>
      </c>
      <c r="D61" s="188">
        <v>0</v>
      </c>
      <c r="F61" s="189">
        <v>42675</v>
      </c>
      <c r="G61">
        <f t="shared" si="0"/>
        <v>1467.354</v>
      </c>
      <c r="H61" s="188">
        <f>2480153*(42/1000000)</f>
        <v>104.166426</v>
      </c>
      <c r="I61" s="190">
        <v>21636.342000000001</v>
      </c>
      <c r="K61" s="189">
        <v>42675</v>
      </c>
      <c r="L61" s="191">
        <f t="shared" si="1"/>
        <v>-20273.154426000001</v>
      </c>
    </row>
    <row r="62" spans="1:12">
      <c r="A62" s="187">
        <v>28460</v>
      </c>
      <c r="B62">
        <v>51</v>
      </c>
      <c r="C62" s="188">
        <v>0</v>
      </c>
      <c r="D62" s="188">
        <v>0</v>
      </c>
      <c r="F62" s="189">
        <v>42705</v>
      </c>
      <c r="G62">
        <f t="shared" si="0"/>
        <v>1601.9639999999999</v>
      </c>
      <c r="H62" s="188">
        <f>2223265*(42/1000000)</f>
        <v>93.377129999999994</v>
      </c>
      <c r="I62" s="190">
        <v>20490.204000000002</v>
      </c>
      <c r="K62" s="189">
        <v>42705</v>
      </c>
      <c r="L62" s="191">
        <f t="shared" si="1"/>
        <v>-18981.617130000002</v>
      </c>
    </row>
    <row r="63" spans="1:12">
      <c r="A63" s="187">
        <v>28491</v>
      </c>
      <c r="B63">
        <v>20</v>
      </c>
      <c r="C63" s="188">
        <v>0</v>
      </c>
      <c r="D63" s="188">
        <v>0</v>
      </c>
      <c r="F63" s="189">
        <v>42736</v>
      </c>
      <c r="G63">
        <f t="shared" si="0"/>
        <v>1504.7339999999999</v>
      </c>
      <c r="H63" s="188">
        <f>3057898*(42/1000000)</f>
        <v>128.43171599999999</v>
      </c>
      <c r="I63" s="190">
        <v>44333.184000000001</v>
      </c>
      <c r="K63" s="189">
        <v>42736</v>
      </c>
      <c r="L63" s="191">
        <f t="shared" si="1"/>
        <v>-42956.881716000004</v>
      </c>
    </row>
    <row r="64" spans="1:12">
      <c r="A64" s="187">
        <v>28522</v>
      </c>
      <c r="B64">
        <v>440</v>
      </c>
      <c r="C64" s="188">
        <v>0</v>
      </c>
      <c r="D64" s="188">
        <v>0</v>
      </c>
      <c r="F64" s="189">
        <v>42767</v>
      </c>
      <c r="G64">
        <f t="shared" si="0"/>
        <v>1454.376</v>
      </c>
      <c r="H64" s="188">
        <f>2944767*(42/1000000)</f>
        <v>123.68021399999999</v>
      </c>
      <c r="I64" s="190">
        <v>36518.286</v>
      </c>
      <c r="K64" s="189">
        <v>42767</v>
      </c>
      <c r="L64" s="191">
        <f t="shared" si="1"/>
        <v>-35187.590214000003</v>
      </c>
    </row>
    <row r="65" spans="1:12">
      <c r="A65" s="187">
        <v>28550</v>
      </c>
      <c r="B65">
        <v>3</v>
      </c>
      <c r="C65" s="188">
        <v>0</v>
      </c>
      <c r="D65" s="188">
        <v>0</v>
      </c>
      <c r="F65" s="189">
        <v>42795</v>
      </c>
      <c r="G65">
        <f t="shared" si="0"/>
        <v>1552.5719999999999</v>
      </c>
      <c r="H65" s="188">
        <f>3264156*(42/1000000)</f>
        <v>137.09455199999999</v>
      </c>
      <c r="I65" s="190">
        <v>47956.271999999997</v>
      </c>
      <c r="K65" s="189">
        <v>42795</v>
      </c>
      <c r="L65" s="191">
        <f t="shared" si="1"/>
        <v>-46540.794551999999</v>
      </c>
    </row>
    <row r="66" spans="1:12">
      <c r="A66" s="187">
        <v>28581</v>
      </c>
      <c r="B66">
        <v>166</v>
      </c>
      <c r="C66" s="188">
        <v>0</v>
      </c>
      <c r="D66" s="188">
        <v>0</v>
      </c>
      <c r="F66" s="189">
        <v>42826</v>
      </c>
      <c r="G66">
        <f t="shared" si="0"/>
        <v>1707.4259999999999</v>
      </c>
      <c r="H66" s="188">
        <f>1904342*(42/1000000)</f>
        <v>79.98236399999999</v>
      </c>
      <c r="I66" s="190">
        <v>13232.183999999999</v>
      </c>
      <c r="K66" s="189">
        <v>42826</v>
      </c>
      <c r="L66" s="191">
        <f t="shared" si="1"/>
        <v>-11604.740363999999</v>
      </c>
    </row>
    <row r="67" spans="1:12">
      <c r="A67" s="187">
        <v>28611</v>
      </c>
      <c r="B67">
        <v>19</v>
      </c>
      <c r="C67" s="188">
        <v>0</v>
      </c>
      <c r="D67" s="188">
        <v>0</v>
      </c>
      <c r="F67" s="189">
        <v>42856</v>
      </c>
      <c r="G67">
        <f t="shared" si="0"/>
        <v>1966.146</v>
      </c>
      <c r="H67" s="188">
        <f>3138955*(42/1000000)</f>
        <v>131.83610999999999</v>
      </c>
      <c r="I67" s="190">
        <v>84828.785999999993</v>
      </c>
      <c r="K67" s="189">
        <v>42856</v>
      </c>
      <c r="L67" s="191">
        <f t="shared" si="1"/>
        <v>-82994.476109999989</v>
      </c>
    </row>
    <row r="68" spans="1:12">
      <c r="A68" s="187">
        <v>28642</v>
      </c>
      <c r="B68">
        <v>4</v>
      </c>
      <c r="C68" s="188">
        <v>0</v>
      </c>
      <c r="D68" s="188">
        <v>0</v>
      </c>
      <c r="F68" s="189">
        <v>42887</v>
      </c>
      <c r="G68">
        <f t="shared" ref="G68:G131" si="2">B536*42/1000</f>
        <v>2021.502</v>
      </c>
      <c r="H68" s="188">
        <f>2726572*(42/1000000)</f>
        <v>114.51602399999999</v>
      </c>
      <c r="I68" s="190">
        <v>28887.263999999999</v>
      </c>
      <c r="K68" s="189">
        <v>42887</v>
      </c>
      <c r="L68" s="191">
        <f t="shared" ref="L68:L131" si="3">G68-H68-I68</f>
        <v>-26980.278023999999</v>
      </c>
    </row>
    <row r="69" spans="1:12">
      <c r="A69" s="187">
        <v>28672</v>
      </c>
      <c r="B69">
        <v>134</v>
      </c>
      <c r="C69" s="188">
        <v>0</v>
      </c>
      <c r="D69" s="188">
        <v>0</v>
      </c>
      <c r="F69" s="189">
        <v>42917</v>
      </c>
      <c r="G69">
        <f t="shared" si="2"/>
        <v>2279.0459999999998</v>
      </c>
      <c r="H69" s="188">
        <f>1860247*(42/1000000)</f>
        <v>78.130373999999989</v>
      </c>
      <c r="I69" s="190">
        <v>17984.777999999998</v>
      </c>
      <c r="K69" s="189">
        <v>42917</v>
      </c>
      <c r="L69" s="191">
        <f t="shared" si="3"/>
        <v>-15783.862373999998</v>
      </c>
    </row>
    <row r="70" spans="1:12">
      <c r="A70" s="187">
        <v>28703</v>
      </c>
      <c r="B70">
        <v>133</v>
      </c>
      <c r="C70" s="188">
        <v>0</v>
      </c>
      <c r="D70" s="188">
        <v>0</v>
      </c>
      <c r="F70" s="189">
        <v>42948</v>
      </c>
      <c r="G70">
        <f t="shared" si="2"/>
        <v>1797.39</v>
      </c>
      <c r="H70" s="188">
        <f>2692452*(42/1000000)</f>
        <v>113.082984</v>
      </c>
      <c r="I70" s="190">
        <v>28181.117999999999</v>
      </c>
      <c r="K70" s="189">
        <v>42948</v>
      </c>
      <c r="L70" s="191">
        <f t="shared" si="3"/>
        <v>-26496.810984</v>
      </c>
    </row>
    <row r="71" spans="1:12">
      <c r="A71" s="187">
        <v>28734</v>
      </c>
      <c r="B71">
        <v>72</v>
      </c>
      <c r="C71" s="188">
        <v>0</v>
      </c>
      <c r="D71" s="188">
        <v>0</v>
      </c>
      <c r="F71" s="189">
        <v>42979</v>
      </c>
      <c r="G71">
        <f t="shared" si="2"/>
        <v>1507.17</v>
      </c>
      <c r="H71" s="188">
        <f>1420824*(42/1000000)</f>
        <v>59.674607999999999</v>
      </c>
      <c r="I71" s="190">
        <v>1376.634</v>
      </c>
      <c r="K71" s="189">
        <v>42979</v>
      </c>
      <c r="L71" s="191">
        <f t="shared" si="3"/>
        <v>70.861392000000023</v>
      </c>
    </row>
    <row r="72" spans="1:12">
      <c r="A72" s="187">
        <v>28764</v>
      </c>
      <c r="B72">
        <v>64</v>
      </c>
      <c r="C72" s="188">
        <v>0</v>
      </c>
      <c r="D72" s="188">
        <v>0</v>
      </c>
      <c r="F72" s="189">
        <v>43009</v>
      </c>
      <c r="G72">
        <f t="shared" si="2"/>
        <v>1839.768</v>
      </c>
      <c r="H72" s="188">
        <f>2412562*(42/1000000)</f>
        <v>101.32760399999999</v>
      </c>
      <c r="I72" s="190">
        <v>55698.887999999999</v>
      </c>
      <c r="K72" s="189">
        <v>43009</v>
      </c>
      <c r="L72" s="191">
        <f t="shared" si="3"/>
        <v>-53960.447604000001</v>
      </c>
    </row>
    <row r="73" spans="1:12">
      <c r="A73" s="187">
        <v>28795</v>
      </c>
      <c r="B73">
        <v>99</v>
      </c>
      <c r="C73" s="188">
        <v>0</v>
      </c>
      <c r="D73" s="188">
        <v>0</v>
      </c>
      <c r="F73" s="189">
        <v>43040</v>
      </c>
      <c r="G73">
        <f t="shared" si="2"/>
        <v>1711.164</v>
      </c>
      <c r="H73" s="188">
        <f>1557993*(42/1000000)</f>
        <v>65.435705999999996</v>
      </c>
      <c r="I73" s="190">
        <v>31641.75</v>
      </c>
      <c r="K73" s="189">
        <v>43040</v>
      </c>
      <c r="L73" s="191">
        <f t="shared" si="3"/>
        <v>-29996.021706</v>
      </c>
    </row>
    <row r="74" spans="1:12">
      <c r="A74" s="187">
        <v>28825</v>
      </c>
      <c r="B74">
        <v>48</v>
      </c>
      <c r="C74" s="188">
        <v>0</v>
      </c>
      <c r="D74" s="188">
        <v>0</v>
      </c>
      <c r="F74" s="189">
        <v>43070</v>
      </c>
      <c r="G74">
        <f t="shared" si="2"/>
        <v>1833.2159999999999</v>
      </c>
      <c r="H74" s="188">
        <f>2219301*(42/1000000)</f>
        <v>93.210641999999993</v>
      </c>
      <c r="I74" s="190">
        <v>41948.802000000003</v>
      </c>
      <c r="K74" s="189">
        <v>43070</v>
      </c>
      <c r="L74" s="191">
        <f t="shared" si="3"/>
        <v>-40208.796642000001</v>
      </c>
    </row>
    <row r="75" spans="1:12">
      <c r="A75" s="187">
        <v>28856</v>
      </c>
      <c r="B75">
        <v>18</v>
      </c>
      <c r="C75" s="188">
        <v>0</v>
      </c>
      <c r="D75" s="188">
        <v>0</v>
      </c>
      <c r="F75" s="189">
        <v>43101</v>
      </c>
      <c r="G75">
        <f t="shared" si="2"/>
        <v>1300.278</v>
      </c>
      <c r="H75" s="188">
        <f>1101878*(42/1000000)</f>
        <v>46.278875999999997</v>
      </c>
      <c r="I75" s="190">
        <v>21082.362000000001</v>
      </c>
      <c r="K75" s="189">
        <v>43101</v>
      </c>
      <c r="L75" s="191">
        <f t="shared" si="3"/>
        <v>-19828.362875999999</v>
      </c>
    </row>
    <row r="76" spans="1:12">
      <c r="A76" s="187">
        <v>28887</v>
      </c>
      <c r="B76">
        <v>196</v>
      </c>
      <c r="C76" s="188">
        <v>0</v>
      </c>
      <c r="D76" s="188">
        <v>0</v>
      </c>
      <c r="F76" s="189">
        <v>43132</v>
      </c>
      <c r="G76">
        <f t="shared" si="2"/>
        <v>1216.068</v>
      </c>
      <c r="H76" s="188">
        <f>933007*(42/1000000)</f>
        <v>39.186293999999997</v>
      </c>
      <c r="I76" s="190">
        <v>12409.11</v>
      </c>
      <c r="K76" s="189">
        <v>43132</v>
      </c>
      <c r="L76" s="191">
        <f t="shared" si="3"/>
        <v>-11232.228294</v>
      </c>
    </row>
    <row r="77" spans="1:12">
      <c r="A77" s="187">
        <v>28915</v>
      </c>
      <c r="B77">
        <v>42</v>
      </c>
      <c r="C77" s="188">
        <v>0</v>
      </c>
      <c r="D77" s="188">
        <v>0</v>
      </c>
      <c r="F77" s="189">
        <v>43160</v>
      </c>
      <c r="G77">
        <f t="shared" si="2"/>
        <v>1468.6559999999999</v>
      </c>
      <c r="H77" s="188">
        <f>1806723*(42/1000000)</f>
        <v>75.88236599999999</v>
      </c>
      <c r="I77" s="190">
        <v>25056.612000000001</v>
      </c>
      <c r="K77" s="189">
        <v>43160</v>
      </c>
      <c r="L77" s="191">
        <f t="shared" si="3"/>
        <v>-23663.838366</v>
      </c>
    </row>
    <row r="78" spans="1:12">
      <c r="A78" s="187">
        <v>28946</v>
      </c>
      <c r="B78">
        <v>67</v>
      </c>
      <c r="C78" s="188">
        <v>0</v>
      </c>
      <c r="D78" s="188">
        <v>0</v>
      </c>
      <c r="F78" s="189">
        <v>43191</v>
      </c>
      <c r="G78">
        <f t="shared" si="2"/>
        <v>1844.598</v>
      </c>
      <c r="H78" s="188">
        <f>2571438*(42/1000000)</f>
        <v>108.00039599999999</v>
      </c>
      <c r="I78" s="190">
        <v>50342.712</v>
      </c>
      <c r="K78" s="189">
        <v>43191</v>
      </c>
      <c r="L78" s="191">
        <f t="shared" si="3"/>
        <v>-48606.114395999997</v>
      </c>
    </row>
    <row r="79" spans="1:12">
      <c r="A79" s="187">
        <v>28976</v>
      </c>
      <c r="B79">
        <v>5</v>
      </c>
      <c r="C79" s="188">
        <v>0</v>
      </c>
      <c r="D79" s="188">
        <v>0</v>
      </c>
      <c r="F79" s="189">
        <v>43221</v>
      </c>
      <c r="G79">
        <f t="shared" si="2"/>
        <v>1786.134</v>
      </c>
      <c r="H79" s="188">
        <f>984110*(42/1000000)</f>
        <v>41.332619999999999</v>
      </c>
      <c r="I79" s="190">
        <v>4805.1360000000004</v>
      </c>
      <c r="K79" s="189">
        <v>43221</v>
      </c>
      <c r="L79" s="191">
        <f t="shared" si="3"/>
        <v>-3060.3346200000005</v>
      </c>
    </row>
    <row r="80" spans="1:12">
      <c r="A80" s="187">
        <v>29007</v>
      </c>
      <c r="B80">
        <v>463</v>
      </c>
      <c r="C80" s="188">
        <v>0</v>
      </c>
      <c r="D80" s="188">
        <v>0</v>
      </c>
      <c r="F80" s="189">
        <v>43252</v>
      </c>
      <c r="G80">
        <f t="shared" si="2"/>
        <v>1848.672</v>
      </c>
      <c r="H80" s="188">
        <f>783767*(42/1000000)</f>
        <v>32.918213999999999</v>
      </c>
      <c r="I80" s="190">
        <v>7994.8680000000004</v>
      </c>
      <c r="K80" s="189">
        <v>43252</v>
      </c>
      <c r="L80" s="191">
        <f t="shared" si="3"/>
        <v>-6179.1142140000002</v>
      </c>
    </row>
    <row r="81" spans="1:12">
      <c r="A81" s="187">
        <v>29037</v>
      </c>
      <c r="B81">
        <v>208</v>
      </c>
      <c r="C81" s="188">
        <v>0</v>
      </c>
      <c r="D81" s="188">
        <v>0</v>
      </c>
      <c r="F81" s="189">
        <v>43282</v>
      </c>
      <c r="G81">
        <f t="shared" si="2"/>
        <v>1695.7919999999999</v>
      </c>
      <c r="H81" s="188">
        <f>1379888*(42/1000000)</f>
        <v>57.955295999999997</v>
      </c>
      <c r="I81" s="190">
        <v>26369.826000000001</v>
      </c>
      <c r="K81" s="189">
        <v>43282</v>
      </c>
      <c r="L81" s="191">
        <f t="shared" si="3"/>
        <v>-24731.989296</v>
      </c>
    </row>
    <row r="82" spans="1:12">
      <c r="A82" s="187">
        <v>29068</v>
      </c>
      <c r="B82">
        <v>5</v>
      </c>
      <c r="C82" s="188">
        <v>0</v>
      </c>
      <c r="D82" s="188">
        <v>0</v>
      </c>
      <c r="F82" s="189">
        <v>43313</v>
      </c>
      <c r="G82">
        <f t="shared" si="2"/>
        <v>1663.41</v>
      </c>
      <c r="H82" s="188">
        <f>1720412*(42/1000000)</f>
        <v>72.257303999999991</v>
      </c>
      <c r="I82" s="190">
        <v>20252.484</v>
      </c>
      <c r="K82" s="189">
        <v>43313</v>
      </c>
      <c r="L82" s="191">
        <f t="shared" si="3"/>
        <v>-18661.331303999999</v>
      </c>
    </row>
    <row r="83" spans="1:12">
      <c r="A83" s="187">
        <v>29099</v>
      </c>
      <c r="B83">
        <v>45</v>
      </c>
      <c r="C83" s="188">
        <v>0</v>
      </c>
      <c r="D83" s="188">
        <v>0</v>
      </c>
      <c r="F83" s="189">
        <v>43344</v>
      </c>
      <c r="G83">
        <f t="shared" si="2"/>
        <v>1635.69</v>
      </c>
      <c r="H83" s="188">
        <f>1685017*(42/1000000)</f>
        <v>70.770713999999998</v>
      </c>
      <c r="I83" s="190">
        <v>15078.672</v>
      </c>
      <c r="K83" s="189">
        <v>43344</v>
      </c>
      <c r="L83" s="191">
        <f t="shared" si="3"/>
        <v>-13513.752714</v>
      </c>
    </row>
    <row r="84" spans="1:12">
      <c r="A84" s="187">
        <v>29129</v>
      </c>
      <c r="B84">
        <v>28</v>
      </c>
      <c r="C84" s="188">
        <v>0</v>
      </c>
      <c r="D84" s="188">
        <v>0</v>
      </c>
      <c r="F84" s="189">
        <v>43374</v>
      </c>
      <c r="G84">
        <f t="shared" si="2"/>
        <v>1737.33</v>
      </c>
      <c r="H84" s="188">
        <f>1914153*(42/1000000)</f>
        <v>80.394425999999996</v>
      </c>
      <c r="I84" s="190">
        <v>51628.71</v>
      </c>
      <c r="K84" s="189">
        <v>43374</v>
      </c>
      <c r="L84" s="191">
        <f t="shared" si="3"/>
        <v>-49971.774425999996</v>
      </c>
    </row>
    <row r="85" spans="1:12">
      <c r="A85" s="187">
        <v>29160</v>
      </c>
      <c r="B85">
        <v>1</v>
      </c>
      <c r="C85" s="188">
        <v>0</v>
      </c>
      <c r="D85" s="188">
        <v>0</v>
      </c>
      <c r="F85" s="189">
        <v>43405</v>
      </c>
      <c r="G85">
        <f t="shared" si="2"/>
        <v>1753.5419999999999</v>
      </c>
      <c r="H85" s="188">
        <f>989729*(42/1000000)</f>
        <v>41.568618000000001</v>
      </c>
      <c r="I85" s="190">
        <v>18429.054</v>
      </c>
      <c r="K85" s="189">
        <v>43405</v>
      </c>
      <c r="L85" s="191">
        <f t="shared" si="3"/>
        <v>-16717.080618</v>
      </c>
    </row>
    <row r="86" spans="1:12">
      <c r="A86" s="187">
        <v>29190</v>
      </c>
      <c r="B86">
        <v>1</v>
      </c>
      <c r="C86" s="188">
        <v>0</v>
      </c>
      <c r="D86" s="188">
        <v>0</v>
      </c>
      <c r="F86" s="189">
        <v>43435</v>
      </c>
      <c r="G86">
        <f t="shared" si="2"/>
        <v>1803.816</v>
      </c>
      <c r="H86" s="188">
        <f>1309764*(42/1000000)</f>
        <v>55.010087999999996</v>
      </c>
      <c r="I86" s="190">
        <v>30523.5</v>
      </c>
      <c r="K86" s="189">
        <v>43435</v>
      </c>
      <c r="L86" s="191">
        <f t="shared" si="3"/>
        <v>-28774.694088</v>
      </c>
    </row>
    <row r="87" spans="1:12">
      <c r="A87" s="187">
        <v>29221</v>
      </c>
      <c r="B87">
        <v>212</v>
      </c>
      <c r="C87" s="188">
        <v>0</v>
      </c>
      <c r="D87" s="188">
        <v>0</v>
      </c>
      <c r="F87" s="189">
        <v>43466</v>
      </c>
      <c r="G87">
        <f t="shared" si="2"/>
        <v>1666.0139999999999</v>
      </c>
      <c r="H87" s="188">
        <f>624301*(42/1000000)</f>
        <v>26.220641999999998</v>
      </c>
      <c r="I87" s="190">
        <v>8418.6479999999992</v>
      </c>
      <c r="K87" s="189">
        <v>43466</v>
      </c>
      <c r="L87" s="191">
        <f t="shared" si="3"/>
        <v>-6778.8546419999993</v>
      </c>
    </row>
    <row r="88" spans="1:12">
      <c r="A88" s="187">
        <v>29252</v>
      </c>
      <c r="B88">
        <v>239</v>
      </c>
      <c r="C88" s="188">
        <v>0</v>
      </c>
      <c r="D88" s="188">
        <v>0</v>
      </c>
      <c r="F88" s="189">
        <v>43497</v>
      </c>
      <c r="G88">
        <f t="shared" si="2"/>
        <v>1364.328</v>
      </c>
      <c r="H88" s="188">
        <f>1359037*(42/1000000)</f>
        <v>57.079553999999995</v>
      </c>
      <c r="I88" s="190">
        <v>22983.534</v>
      </c>
      <c r="K88" s="189">
        <v>43497</v>
      </c>
      <c r="L88" s="191">
        <f t="shared" si="3"/>
        <v>-21676.285553999998</v>
      </c>
    </row>
    <row r="89" spans="1:12">
      <c r="A89" s="187">
        <v>29281</v>
      </c>
      <c r="B89">
        <v>575</v>
      </c>
      <c r="C89" s="188">
        <v>0</v>
      </c>
      <c r="D89" s="188">
        <v>0</v>
      </c>
      <c r="F89" s="189">
        <v>43525</v>
      </c>
      <c r="G89">
        <f t="shared" si="2"/>
        <v>1526.8679999999999</v>
      </c>
      <c r="H89" s="188">
        <f>1304491*(42/1000000)</f>
        <v>54.788621999999997</v>
      </c>
      <c r="I89" s="190">
        <v>4969.1040000000003</v>
      </c>
      <c r="K89" s="189">
        <v>43525</v>
      </c>
      <c r="L89" s="191">
        <f t="shared" si="3"/>
        <v>-3497.0246220000004</v>
      </c>
    </row>
    <row r="90" spans="1:12">
      <c r="A90" s="187">
        <v>29312</v>
      </c>
      <c r="B90">
        <v>73</v>
      </c>
      <c r="C90" s="188">
        <v>0</v>
      </c>
      <c r="D90" s="188">
        <v>0</v>
      </c>
      <c r="F90" s="189">
        <v>43556</v>
      </c>
      <c r="G90">
        <f t="shared" si="2"/>
        <v>1589.1959999999999</v>
      </c>
      <c r="H90" s="188">
        <f>2393628*(42/1000000)</f>
        <v>100.532376</v>
      </c>
      <c r="I90" s="190">
        <v>68013.834000000003</v>
      </c>
      <c r="K90" s="189">
        <v>43556</v>
      </c>
      <c r="L90" s="191">
        <f t="shared" si="3"/>
        <v>-66525.170376000009</v>
      </c>
    </row>
    <row r="91" spans="1:12">
      <c r="A91" s="187">
        <v>29342</v>
      </c>
      <c r="B91">
        <v>18</v>
      </c>
      <c r="C91" s="188">
        <v>0</v>
      </c>
      <c r="D91" s="188">
        <v>0</v>
      </c>
      <c r="F91" s="189">
        <v>43586</v>
      </c>
      <c r="G91">
        <f t="shared" si="2"/>
        <v>1676.0940000000001</v>
      </c>
      <c r="H91" s="188">
        <f>851873*(42/1000000)</f>
        <v>35.778666000000001</v>
      </c>
      <c r="I91" s="190">
        <v>8843.3940000000002</v>
      </c>
      <c r="K91" s="189">
        <v>43586</v>
      </c>
      <c r="L91" s="191">
        <f t="shared" si="3"/>
        <v>-7203.0786660000003</v>
      </c>
    </row>
    <row r="92" spans="1:12">
      <c r="A92" s="187">
        <v>29373</v>
      </c>
      <c r="B92">
        <v>1</v>
      </c>
      <c r="C92" s="188">
        <v>0</v>
      </c>
      <c r="D92" s="188">
        <v>0</v>
      </c>
      <c r="F92" s="189">
        <v>43617</v>
      </c>
      <c r="G92">
        <f t="shared" si="2"/>
        <v>1909.992</v>
      </c>
      <c r="H92" s="188">
        <f>3511418*(42/1000000)</f>
        <v>147.479556</v>
      </c>
      <c r="I92" s="190">
        <v>30324.63</v>
      </c>
      <c r="K92" s="189">
        <v>43617</v>
      </c>
      <c r="L92" s="191">
        <f t="shared" si="3"/>
        <v>-28562.117556000001</v>
      </c>
    </row>
    <row r="93" spans="1:12">
      <c r="A93" s="187">
        <v>29403</v>
      </c>
      <c r="B93">
        <v>87</v>
      </c>
      <c r="C93" s="188">
        <v>0</v>
      </c>
      <c r="D93" s="188">
        <v>0</v>
      </c>
      <c r="F93" s="189">
        <v>43647</v>
      </c>
      <c r="G93">
        <f t="shared" si="2"/>
        <v>1788.864</v>
      </c>
      <c r="H93" s="188">
        <f>2708355*(42/1000000)</f>
        <v>113.75090999999999</v>
      </c>
      <c r="I93" s="190">
        <v>15566.291999999999</v>
      </c>
      <c r="K93" s="189">
        <v>43647</v>
      </c>
      <c r="L93" s="191">
        <f t="shared" si="3"/>
        <v>-13891.178909999999</v>
      </c>
    </row>
    <row r="94" spans="1:12">
      <c r="A94" s="187">
        <v>29434</v>
      </c>
      <c r="B94">
        <v>1</v>
      </c>
      <c r="C94" s="188">
        <v>0</v>
      </c>
      <c r="D94" s="188">
        <v>0</v>
      </c>
      <c r="F94" s="189">
        <v>43678</v>
      </c>
      <c r="G94">
        <f t="shared" si="2"/>
        <v>1992.06</v>
      </c>
      <c r="H94" s="188">
        <f>2595526*(42/1000000)</f>
        <v>109.012092</v>
      </c>
      <c r="I94" s="190">
        <v>34054.146000000001</v>
      </c>
      <c r="K94" s="189">
        <v>43678</v>
      </c>
      <c r="L94" s="191">
        <f t="shared" si="3"/>
        <v>-32171.098092</v>
      </c>
    </row>
    <row r="95" spans="1:12">
      <c r="A95" s="187">
        <v>29465</v>
      </c>
      <c r="B95">
        <v>3</v>
      </c>
      <c r="C95" s="188">
        <v>0</v>
      </c>
      <c r="D95" s="188">
        <v>0</v>
      </c>
      <c r="F95" s="189">
        <v>43709</v>
      </c>
      <c r="G95">
        <f t="shared" si="2"/>
        <v>1798.0619999999999</v>
      </c>
      <c r="H95" s="188">
        <f>3858648*(42/1000000)</f>
        <v>162.06321599999998</v>
      </c>
      <c r="I95" s="190">
        <v>54164.417999999998</v>
      </c>
      <c r="K95" s="189">
        <v>43709</v>
      </c>
      <c r="L95" s="191">
        <f t="shared" si="3"/>
        <v>-52528.419215999995</v>
      </c>
    </row>
    <row r="96" spans="1:12">
      <c r="A96" s="187">
        <v>29495</v>
      </c>
      <c r="B96">
        <v>7</v>
      </c>
      <c r="C96" s="188">
        <v>0</v>
      </c>
      <c r="D96" s="188">
        <v>0</v>
      </c>
      <c r="F96" s="189">
        <v>43739</v>
      </c>
      <c r="G96">
        <f t="shared" si="2"/>
        <v>1568.7840000000001</v>
      </c>
      <c r="H96" s="188">
        <f>6106148*(42/1000000)</f>
        <v>256.45821599999999</v>
      </c>
      <c r="I96" s="190">
        <v>78233.903999999995</v>
      </c>
      <c r="K96" s="189">
        <v>43739</v>
      </c>
      <c r="L96" s="191">
        <f t="shared" si="3"/>
        <v>-76921.578215999994</v>
      </c>
    </row>
    <row r="97" spans="1:12">
      <c r="A97" s="187">
        <v>29526</v>
      </c>
      <c r="B97">
        <v>2</v>
      </c>
      <c r="C97" s="188">
        <v>0</v>
      </c>
      <c r="D97" s="188">
        <v>0</v>
      </c>
      <c r="F97" s="189">
        <v>43770</v>
      </c>
      <c r="G97">
        <f t="shared" si="2"/>
        <v>1445.9760000000001</v>
      </c>
      <c r="H97" s="188">
        <f>2194138*(42/1000000)</f>
        <v>92.153796</v>
      </c>
      <c r="I97" s="190">
        <v>82.74</v>
      </c>
      <c r="K97" s="189">
        <v>43770</v>
      </c>
      <c r="L97" s="191">
        <f t="shared" si="3"/>
        <v>1271.082204</v>
      </c>
    </row>
    <row r="98" spans="1:12">
      <c r="A98" s="187">
        <v>29556</v>
      </c>
      <c r="B98">
        <v>2</v>
      </c>
      <c r="C98" s="188">
        <v>0</v>
      </c>
      <c r="D98" s="188">
        <v>0</v>
      </c>
      <c r="F98" s="189">
        <v>43800</v>
      </c>
      <c r="G98">
        <f t="shared" si="2"/>
        <v>1693.2719999999999</v>
      </c>
      <c r="H98" s="188">
        <f>4058267*(42/1000000)</f>
        <v>170.447214</v>
      </c>
      <c r="I98" s="190">
        <v>17238.48</v>
      </c>
      <c r="K98" s="189">
        <v>43800</v>
      </c>
      <c r="L98" s="191">
        <f t="shared" si="3"/>
        <v>-15715.655214</v>
      </c>
    </row>
    <row r="99" spans="1:12">
      <c r="A99" s="187">
        <v>29587</v>
      </c>
      <c r="B99">
        <v>5</v>
      </c>
      <c r="C99" s="188">
        <v>0</v>
      </c>
      <c r="D99" s="188">
        <v>0</v>
      </c>
      <c r="F99" s="189">
        <v>43831</v>
      </c>
      <c r="G99">
        <f t="shared" si="2"/>
        <v>1609.944</v>
      </c>
      <c r="H99" s="188">
        <f>3199640*(42/1000000)</f>
        <v>134.38487999999998</v>
      </c>
      <c r="I99" s="190">
        <v>23148.93</v>
      </c>
      <c r="K99" s="189">
        <v>43831</v>
      </c>
      <c r="L99" s="191">
        <f t="shared" si="3"/>
        <v>-21673.370880000002</v>
      </c>
    </row>
    <row r="100" spans="1:12">
      <c r="A100" s="187">
        <v>29618</v>
      </c>
      <c r="B100">
        <v>465</v>
      </c>
      <c r="C100" s="188">
        <v>0</v>
      </c>
      <c r="D100" s="188">
        <v>0</v>
      </c>
      <c r="F100" s="189">
        <v>43862</v>
      </c>
      <c r="G100">
        <f t="shared" si="2"/>
        <v>1601.6279999999999</v>
      </c>
      <c r="H100" s="188">
        <f>2654777*(42/1000000)</f>
        <v>111.50063399999999</v>
      </c>
      <c r="I100" s="190">
        <v>416.346</v>
      </c>
      <c r="K100" s="189">
        <v>43862</v>
      </c>
      <c r="L100" s="191">
        <f t="shared" si="3"/>
        <v>1073.7813659999999</v>
      </c>
    </row>
    <row r="101" spans="1:12">
      <c r="A101" s="187">
        <v>29646</v>
      </c>
      <c r="B101">
        <v>6</v>
      </c>
      <c r="C101" s="188">
        <v>0</v>
      </c>
      <c r="D101" s="188">
        <v>0</v>
      </c>
      <c r="F101" s="189">
        <v>43891</v>
      </c>
      <c r="G101">
        <f t="shared" si="2"/>
        <v>1857.5340000000001</v>
      </c>
      <c r="H101" s="188">
        <f>4674165*(42/1000000)</f>
        <v>196.31492999999998</v>
      </c>
      <c r="I101" s="190">
        <v>27585.348000000002</v>
      </c>
      <c r="K101" s="189">
        <v>43891</v>
      </c>
      <c r="L101" s="191">
        <f t="shared" si="3"/>
        <v>-25924.128930000003</v>
      </c>
    </row>
    <row r="102" spans="1:12">
      <c r="A102" s="187">
        <v>29677</v>
      </c>
      <c r="B102">
        <v>101</v>
      </c>
      <c r="C102" s="188">
        <v>0</v>
      </c>
      <c r="D102" s="188">
        <v>0</v>
      </c>
      <c r="F102" s="189">
        <v>43922</v>
      </c>
      <c r="G102">
        <f t="shared" si="2"/>
        <v>1315.9860000000001</v>
      </c>
      <c r="H102" s="188">
        <f>4954565*(42/1000000)</f>
        <v>208.09172999999998</v>
      </c>
      <c r="I102" s="190">
        <v>2317.98</v>
      </c>
      <c r="K102" s="189">
        <v>43922</v>
      </c>
      <c r="L102" s="191">
        <f t="shared" si="3"/>
        <v>-1210.0857299999998</v>
      </c>
    </row>
    <row r="103" spans="1:12">
      <c r="A103" s="187">
        <v>29707</v>
      </c>
      <c r="B103">
        <v>3</v>
      </c>
      <c r="C103" s="188">
        <v>0</v>
      </c>
      <c r="D103" s="188">
        <v>0</v>
      </c>
      <c r="F103" s="189">
        <v>43952</v>
      </c>
      <c r="G103">
        <f t="shared" si="2"/>
        <v>1040.424</v>
      </c>
      <c r="H103" s="188">
        <f>2923746*(42/1000000)</f>
        <v>122.797332</v>
      </c>
      <c r="I103" s="190">
        <v>239.48400000000001</v>
      </c>
      <c r="K103" s="189">
        <v>43952</v>
      </c>
      <c r="L103" s="191">
        <f t="shared" si="3"/>
        <v>678.14266799999996</v>
      </c>
    </row>
    <row r="104" spans="1:12">
      <c r="A104" s="187">
        <v>29738</v>
      </c>
      <c r="B104">
        <v>15</v>
      </c>
      <c r="C104" s="188">
        <v>0</v>
      </c>
      <c r="D104" s="188">
        <v>0</v>
      </c>
      <c r="F104" s="189">
        <v>43983</v>
      </c>
      <c r="G104">
        <f t="shared" si="2"/>
        <v>1644.636</v>
      </c>
      <c r="H104" s="188">
        <f>3931638*(42/1000000)</f>
        <v>165.12879599999999</v>
      </c>
      <c r="I104" s="190">
        <v>266.86799999999999</v>
      </c>
      <c r="K104" s="189">
        <v>43983</v>
      </c>
      <c r="L104" s="191">
        <f t="shared" si="3"/>
        <v>1212.6392040000001</v>
      </c>
    </row>
    <row r="105" spans="1:12">
      <c r="A105" s="187">
        <v>29768</v>
      </c>
      <c r="B105">
        <v>72</v>
      </c>
      <c r="C105" s="188">
        <v>0</v>
      </c>
      <c r="D105" s="188">
        <v>0</v>
      </c>
      <c r="F105" s="189">
        <v>44013</v>
      </c>
      <c r="G105">
        <f t="shared" si="2"/>
        <v>1785.84</v>
      </c>
      <c r="H105" s="188">
        <f>2938399*(42/1000000)</f>
        <v>123.412758</v>
      </c>
      <c r="I105" s="190">
        <v>178.626</v>
      </c>
      <c r="K105" s="189">
        <v>44013</v>
      </c>
      <c r="L105" s="191">
        <f t="shared" si="3"/>
        <v>1483.801242</v>
      </c>
    </row>
    <row r="106" spans="1:12">
      <c r="A106" s="187">
        <v>29799</v>
      </c>
      <c r="B106">
        <v>7</v>
      </c>
      <c r="C106" s="188">
        <v>0</v>
      </c>
      <c r="D106" s="188">
        <v>0</v>
      </c>
      <c r="F106" s="189">
        <v>44044</v>
      </c>
      <c r="G106">
        <f t="shared" si="2"/>
        <v>1752.0719999999999</v>
      </c>
      <c r="H106" s="188">
        <f>3881886*(42/1000000)</f>
        <v>163.03921199999999</v>
      </c>
      <c r="I106" s="190">
        <v>40900.019999999997</v>
      </c>
      <c r="K106" s="189">
        <v>44044</v>
      </c>
      <c r="L106" s="191">
        <f t="shared" si="3"/>
        <v>-39310.987212</v>
      </c>
    </row>
    <row r="107" spans="1:12">
      <c r="A107" s="187">
        <v>29830</v>
      </c>
      <c r="B107">
        <v>32</v>
      </c>
      <c r="C107" s="188">
        <v>0</v>
      </c>
      <c r="D107" s="188">
        <v>0</v>
      </c>
      <c r="F107" s="189">
        <v>44075</v>
      </c>
      <c r="G107">
        <f t="shared" si="2"/>
        <v>1491.5039999999999</v>
      </c>
      <c r="H107" s="188">
        <f>4324208*(42/1000000)</f>
        <v>181.616736</v>
      </c>
      <c r="I107" s="190">
        <v>189.16800000000001</v>
      </c>
      <c r="K107" s="189">
        <v>44075</v>
      </c>
      <c r="L107" s="191">
        <f t="shared" si="3"/>
        <v>1120.7192639999998</v>
      </c>
    </row>
    <row r="108" spans="1:12">
      <c r="A108" s="187">
        <v>29860</v>
      </c>
      <c r="B108">
        <v>167</v>
      </c>
      <c r="C108" s="188">
        <v>0</v>
      </c>
      <c r="D108" s="188">
        <v>0</v>
      </c>
      <c r="F108" s="189">
        <v>44105</v>
      </c>
      <c r="G108">
        <f t="shared" si="2"/>
        <v>1367.4780000000001</v>
      </c>
      <c r="H108" s="188">
        <f>2983359*(42/1000000)</f>
        <v>125.30107799999999</v>
      </c>
      <c r="I108" s="190">
        <v>7900.0739999999996</v>
      </c>
      <c r="K108" s="189">
        <v>44105</v>
      </c>
      <c r="L108" s="191">
        <f t="shared" si="3"/>
        <v>-6657.897078</v>
      </c>
    </row>
    <row r="109" spans="1:12">
      <c r="A109" s="187">
        <v>29891</v>
      </c>
      <c r="B109">
        <v>193</v>
      </c>
      <c r="C109" s="188">
        <v>0</v>
      </c>
      <c r="D109" s="188">
        <v>0</v>
      </c>
      <c r="F109" s="189">
        <v>44136</v>
      </c>
      <c r="G109">
        <f t="shared" si="2"/>
        <v>1253.616</v>
      </c>
      <c r="H109" s="188">
        <f>3329418*(42/1000000)</f>
        <v>139.835556</v>
      </c>
      <c r="I109" s="190">
        <v>93.281999999999996</v>
      </c>
      <c r="K109" s="189">
        <v>44136</v>
      </c>
      <c r="L109" s="191">
        <f t="shared" si="3"/>
        <v>1020.4984439999999</v>
      </c>
    </row>
    <row r="110" spans="1:12">
      <c r="A110" s="187">
        <v>29921</v>
      </c>
      <c r="B110">
        <v>820</v>
      </c>
      <c r="C110" s="188">
        <v>0</v>
      </c>
      <c r="D110" s="188">
        <v>0</v>
      </c>
      <c r="F110" s="189">
        <v>44166</v>
      </c>
      <c r="G110">
        <f t="shared" si="2"/>
        <v>1522.1220000000001</v>
      </c>
      <c r="H110" s="188">
        <f>2466236*(42/1000000)</f>
        <v>103.58191199999999</v>
      </c>
      <c r="I110" s="190">
        <v>166.95</v>
      </c>
      <c r="K110" s="189">
        <v>44166</v>
      </c>
      <c r="L110" s="191">
        <f t="shared" si="3"/>
        <v>1251.5900880000002</v>
      </c>
    </row>
    <row r="111" spans="1:12">
      <c r="A111" s="187">
        <v>29952</v>
      </c>
      <c r="B111">
        <v>2793</v>
      </c>
      <c r="C111" s="188">
        <v>0</v>
      </c>
      <c r="D111" s="188">
        <v>0</v>
      </c>
      <c r="F111" s="189">
        <v>44197</v>
      </c>
      <c r="G111">
        <f t="shared" si="2"/>
        <v>1173.8579999999999</v>
      </c>
      <c r="H111" s="188">
        <f>1992088*(42/1000000)</f>
        <v>83.667695999999992</v>
      </c>
      <c r="I111" s="190">
        <v>278.92200000000003</v>
      </c>
      <c r="K111" s="189">
        <v>44197</v>
      </c>
      <c r="L111" s="191">
        <f t="shared" si="3"/>
        <v>811.26830399999994</v>
      </c>
    </row>
    <row r="112" spans="1:12">
      <c r="A112" s="187">
        <v>29983</v>
      </c>
      <c r="B112">
        <v>2511</v>
      </c>
      <c r="C112" s="188">
        <v>0</v>
      </c>
      <c r="D112" s="188">
        <v>0</v>
      </c>
      <c r="F112" s="189">
        <v>44228</v>
      </c>
      <c r="G112">
        <f t="shared" si="2"/>
        <v>1037.19</v>
      </c>
      <c r="H112" s="188">
        <f>2871949*(42/1000000)</f>
        <v>120.62185799999999</v>
      </c>
      <c r="I112" s="190">
        <v>505.17599999999999</v>
      </c>
      <c r="K112" s="189">
        <v>44228</v>
      </c>
      <c r="L112" s="191">
        <f t="shared" si="3"/>
        <v>411.39214200000009</v>
      </c>
    </row>
    <row r="113" spans="1:12">
      <c r="A113" s="187">
        <v>30011</v>
      </c>
      <c r="B113">
        <v>2607</v>
      </c>
      <c r="C113" s="188">
        <v>0</v>
      </c>
      <c r="D113" s="188">
        <v>0</v>
      </c>
      <c r="F113" s="189">
        <v>44256</v>
      </c>
      <c r="G113">
        <f t="shared" si="2"/>
        <v>1101.4079999999999</v>
      </c>
      <c r="H113" s="188">
        <f>2484337*(42/1000000)</f>
        <v>104.34215399999999</v>
      </c>
      <c r="I113" s="190">
        <v>625.75800000000004</v>
      </c>
      <c r="K113" s="189">
        <v>44256</v>
      </c>
      <c r="L113" s="191">
        <f t="shared" si="3"/>
        <v>371.30784599999993</v>
      </c>
    </row>
    <row r="114" spans="1:12">
      <c r="A114" s="187">
        <v>30042</v>
      </c>
      <c r="B114">
        <v>1919</v>
      </c>
      <c r="C114" s="188">
        <v>0</v>
      </c>
      <c r="D114" s="188">
        <v>0</v>
      </c>
      <c r="F114" s="189">
        <v>44287</v>
      </c>
      <c r="G114">
        <f t="shared" si="2"/>
        <v>1311.492</v>
      </c>
      <c r="H114" s="188">
        <f>2985676*(42/1000000)</f>
        <v>125.39839199999999</v>
      </c>
      <c r="I114" s="190">
        <v>25054.511999999999</v>
      </c>
      <c r="K114" s="189">
        <v>44287</v>
      </c>
      <c r="L114" s="191">
        <f t="shared" si="3"/>
        <v>-23868.418392</v>
      </c>
    </row>
    <row r="115" spans="1:12">
      <c r="A115" s="187">
        <v>30072</v>
      </c>
      <c r="B115">
        <v>2315</v>
      </c>
      <c r="C115" s="188">
        <v>0</v>
      </c>
      <c r="D115" s="188">
        <v>0</v>
      </c>
      <c r="F115" s="189">
        <v>44317</v>
      </c>
      <c r="G115">
        <f t="shared" si="2"/>
        <v>1354.5840000000001</v>
      </c>
      <c r="H115" s="188">
        <f>3152955*(42/1000000)</f>
        <v>132.42410999999998</v>
      </c>
      <c r="I115" s="190">
        <v>4753.098</v>
      </c>
      <c r="K115" s="189">
        <v>44317</v>
      </c>
      <c r="L115" s="191">
        <f t="shared" si="3"/>
        <v>-3530.9381100000001</v>
      </c>
    </row>
    <row r="116" spans="1:12">
      <c r="A116" s="187">
        <v>30103</v>
      </c>
      <c r="B116">
        <v>1650</v>
      </c>
      <c r="C116" s="188">
        <v>0</v>
      </c>
      <c r="D116" s="188">
        <v>0</v>
      </c>
      <c r="F116" s="189">
        <v>44348</v>
      </c>
      <c r="G116">
        <f t="shared" si="2"/>
        <v>1584.3240000000001</v>
      </c>
      <c r="H116" s="188">
        <f>3545340*(42/1000000)</f>
        <v>148.90428</v>
      </c>
      <c r="I116" s="190">
        <v>56271.81</v>
      </c>
      <c r="K116" s="189">
        <v>44348</v>
      </c>
      <c r="L116" s="191">
        <f t="shared" si="3"/>
        <v>-54836.39028</v>
      </c>
    </row>
    <row r="117" spans="1:12">
      <c r="A117" s="187">
        <v>30133</v>
      </c>
      <c r="B117">
        <v>738</v>
      </c>
      <c r="C117" s="188">
        <v>0</v>
      </c>
      <c r="D117" s="188">
        <v>0</v>
      </c>
      <c r="F117" s="189">
        <v>44378</v>
      </c>
      <c r="G117">
        <f t="shared" si="2"/>
        <v>1668.4079999999999</v>
      </c>
      <c r="H117" s="188">
        <f>4183223*(42/1000000)</f>
        <v>175.69536599999998</v>
      </c>
      <c r="I117" s="190">
        <v>56785.89</v>
      </c>
      <c r="K117" s="189">
        <v>44378</v>
      </c>
      <c r="L117" s="191">
        <f t="shared" si="3"/>
        <v>-55293.177365999996</v>
      </c>
    </row>
    <row r="118" spans="1:12">
      <c r="A118" s="187">
        <v>30164</v>
      </c>
      <c r="B118">
        <v>1242</v>
      </c>
      <c r="C118" s="188">
        <v>0</v>
      </c>
      <c r="D118" s="188">
        <v>0</v>
      </c>
      <c r="F118" s="189">
        <v>44409</v>
      </c>
      <c r="G118">
        <f t="shared" si="2"/>
        <v>1509.732</v>
      </c>
      <c r="H118" s="188">
        <f>1593569*(42/1000000)</f>
        <v>66.929897999999994</v>
      </c>
      <c r="I118" s="190">
        <v>9243.6119999999992</v>
      </c>
      <c r="K118" s="189">
        <v>44409</v>
      </c>
      <c r="L118" s="191">
        <f t="shared" si="3"/>
        <v>-7800.8098979999995</v>
      </c>
    </row>
    <row r="119" spans="1:12">
      <c r="A119" s="187">
        <v>30195</v>
      </c>
      <c r="B119">
        <v>4155</v>
      </c>
      <c r="C119" s="188">
        <v>0</v>
      </c>
      <c r="D119" s="188">
        <v>0</v>
      </c>
      <c r="F119" s="189">
        <v>44440</v>
      </c>
      <c r="G119">
        <f t="shared" si="2"/>
        <v>1174.53</v>
      </c>
      <c r="H119" s="188">
        <f>3206236*(42/1000000)</f>
        <v>134.661912</v>
      </c>
      <c r="I119" s="190">
        <v>27172.151999999998</v>
      </c>
      <c r="K119" s="189">
        <v>44440</v>
      </c>
      <c r="L119" s="191">
        <f t="shared" si="3"/>
        <v>-26132.283911999999</v>
      </c>
    </row>
    <row r="120" spans="1:12">
      <c r="A120" s="187">
        <v>30225</v>
      </c>
      <c r="B120">
        <v>2042</v>
      </c>
      <c r="C120" s="188">
        <v>0</v>
      </c>
      <c r="D120" s="188">
        <v>0</v>
      </c>
      <c r="F120" s="189">
        <v>44470</v>
      </c>
      <c r="G120">
        <f t="shared" si="2"/>
        <v>1337.952</v>
      </c>
      <c r="H120" s="188">
        <f>3158348*(42/1000000)</f>
        <v>132.65061599999999</v>
      </c>
      <c r="I120" s="190">
        <v>20324.808000000001</v>
      </c>
      <c r="K120" s="189">
        <v>44470</v>
      </c>
      <c r="L120" s="191">
        <f t="shared" si="3"/>
        <v>-19119.506616000002</v>
      </c>
    </row>
    <row r="121" spans="1:12">
      <c r="A121" s="187">
        <v>30256</v>
      </c>
      <c r="B121">
        <v>715</v>
      </c>
      <c r="C121" s="188">
        <v>0</v>
      </c>
      <c r="D121" s="188">
        <v>0</v>
      </c>
      <c r="F121" s="189">
        <v>44501</v>
      </c>
      <c r="G121">
        <f t="shared" si="2"/>
        <v>1420.566</v>
      </c>
      <c r="H121" s="188">
        <f>2273634*(42/1000000)</f>
        <v>95.492627999999996</v>
      </c>
      <c r="I121" s="190">
        <v>15107.736000000001</v>
      </c>
      <c r="K121" s="189">
        <v>44501</v>
      </c>
      <c r="L121" s="191">
        <f t="shared" si="3"/>
        <v>-13782.662628</v>
      </c>
    </row>
    <row r="122" spans="1:12">
      <c r="A122" s="187">
        <v>30286</v>
      </c>
      <c r="B122">
        <v>4436</v>
      </c>
      <c r="C122" s="188">
        <v>0</v>
      </c>
      <c r="D122" s="188">
        <v>0</v>
      </c>
      <c r="F122" s="189">
        <v>44531</v>
      </c>
      <c r="G122">
        <f t="shared" si="2"/>
        <v>1719.9</v>
      </c>
      <c r="H122" s="188">
        <f>2088617*(42/1000000)</f>
        <v>87.721913999999998</v>
      </c>
      <c r="I122" s="190">
        <v>17267.585999999999</v>
      </c>
      <c r="K122" s="189">
        <v>44531</v>
      </c>
      <c r="L122" s="191">
        <f t="shared" si="3"/>
        <v>-15635.407913999999</v>
      </c>
    </row>
    <row r="123" spans="1:12">
      <c r="A123" s="187">
        <v>30317</v>
      </c>
      <c r="B123">
        <v>5361</v>
      </c>
      <c r="C123" s="188">
        <v>0</v>
      </c>
      <c r="D123" s="188">
        <v>0</v>
      </c>
      <c r="F123" s="189">
        <v>44562</v>
      </c>
      <c r="G123">
        <f t="shared" si="2"/>
        <v>1219.848</v>
      </c>
      <c r="H123" s="188">
        <f>2518998*(42/1000000)</f>
        <v>105.797916</v>
      </c>
      <c r="I123" s="190">
        <v>24718.637999999999</v>
      </c>
      <c r="K123" s="189">
        <v>44562</v>
      </c>
      <c r="L123" s="191">
        <f t="shared" si="3"/>
        <v>-23604.587916</v>
      </c>
    </row>
    <row r="124" spans="1:12">
      <c r="A124" s="187">
        <v>30348</v>
      </c>
      <c r="B124">
        <v>2931</v>
      </c>
      <c r="C124" s="188">
        <v>0</v>
      </c>
      <c r="D124" s="188">
        <v>0</v>
      </c>
      <c r="F124" s="189">
        <v>44593</v>
      </c>
      <c r="G124">
        <f t="shared" si="2"/>
        <v>1038.8699999999999</v>
      </c>
      <c r="H124" s="188">
        <f>1593909*(42/1000000)</f>
        <v>66.944177999999994</v>
      </c>
      <c r="I124" s="190">
        <v>26750.178</v>
      </c>
      <c r="K124" s="189">
        <v>44593</v>
      </c>
      <c r="L124" s="191">
        <f t="shared" si="3"/>
        <v>-25778.252177999999</v>
      </c>
    </row>
    <row r="125" spans="1:12">
      <c r="A125" s="187">
        <v>30376</v>
      </c>
      <c r="B125">
        <v>1832</v>
      </c>
      <c r="C125" s="188">
        <v>0</v>
      </c>
      <c r="D125" s="188">
        <v>0</v>
      </c>
      <c r="F125" s="189">
        <v>44621</v>
      </c>
      <c r="G125">
        <f t="shared" si="2"/>
        <v>1564.7940000000001</v>
      </c>
      <c r="H125" s="188">
        <f>2289983*(42/1000000)</f>
        <v>96.179285999999991</v>
      </c>
      <c r="I125" s="190">
        <v>32603.55</v>
      </c>
      <c r="K125" s="189">
        <v>44621</v>
      </c>
      <c r="L125" s="191">
        <f t="shared" si="3"/>
        <v>-31134.935286</v>
      </c>
    </row>
    <row r="126" spans="1:12">
      <c r="A126" s="187">
        <v>30407</v>
      </c>
      <c r="B126">
        <v>1408</v>
      </c>
      <c r="C126" s="188">
        <v>0</v>
      </c>
      <c r="D126" s="188">
        <v>0</v>
      </c>
      <c r="F126" s="189">
        <v>44652</v>
      </c>
      <c r="G126">
        <f t="shared" si="2"/>
        <v>1596.63</v>
      </c>
      <c r="H126" s="188">
        <f>2179172*(42/1000000)</f>
        <v>91.525223999999994</v>
      </c>
      <c r="I126" s="190">
        <v>21960.078000000001</v>
      </c>
      <c r="K126" s="189">
        <v>44652</v>
      </c>
      <c r="L126" s="191">
        <f t="shared" si="3"/>
        <v>-20454.973224000001</v>
      </c>
    </row>
    <row r="127" spans="1:12">
      <c r="A127" s="187">
        <v>30437</v>
      </c>
      <c r="B127">
        <v>1559</v>
      </c>
      <c r="C127" s="188">
        <v>0</v>
      </c>
      <c r="D127" s="188">
        <v>0</v>
      </c>
      <c r="F127" s="189">
        <v>44682</v>
      </c>
      <c r="G127">
        <f t="shared" si="2"/>
        <v>1538.3340000000001</v>
      </c>
      <c r="H127" s="188">
        <f>1954200*(42/1000000)</f>
        <v>82.076399999999992</v>
      </c>
      <c r="I127" s="190">
        <v>30525.18</v>
      </c>
      <c r="K127" s="189">
        <v>44682</v>
      </c>
      <c r="L127" s="191">
        <f t="shared" si="3"/>
        <v>-29068.922399999999</v>
      </c>
    </row>
    <row r="128" spans="1:12">
      <c r="A128" s="187">
        <v>30468</v>
      </c>
      <c r="B128">
        <v>1203</v>
      </c>
      <c r="C128" s="188">
        <v>0</v>
      </c>
      <c r="D128" s="188">
        <v>0</v>
      </c>
      <c r="F128" s="189">
        <v>44713</v>
      </c>
      <c r="G128">
        <f t="shared" si="2"/>
        <v>1524.768</v>
      </c>
      <c r="H128" s="188">
        <f>1066843*(42/1000000)</f>
        <v>44.807406</v>
      </c>
      <c r="I128" s="190">
        <v>103.488</v>
      </c>
      <c r="K128" s="189">
        <v>44713</v>
      </c>
      <c r="L128" s="191">
        <f t="shared" si="3"/>
        <v>1376.4725940000001</v>
      </c>
    </row>
    <row r="129" spans="1:12">
      <c r="A129" s="187">
        <v>30498</v>
      </c>
      <c r="B129">
        <v>1695</v>
      </c>
      <c r="C129" s="188">
        <v>0</v>
      </c>
      <c r="D129" s="188">
        <v>0</v>
      </c>
      <c r="F129" s="189">
        <v>44743</v>
      </c>
      <c r="G129">
        <f t="shared" si="2"/>
        <v>1994.6220000000001</v>
      </c>
      <c r="H129" s="188">
        <f>1813117*(42/1000000)</f>
        <v>76.150914</v>
      </c>
      <c r="I129" s="190">
        <v>8197.77</v>
      </c>
      <c r="K129" s="189">
        <v>44743</v>
      </c>
      <c r="L129" s="191">
        <f t="shared" si="3"/>
        <v>-6279.2989140000009</v>
      </c>
    </row>
    <row r="130" spans="1:12">
      <c r="A130" s="187">
        <v>30529</v>
      </c>
      <c r="B130">
        <v>1324</v>
      </c>
      <c r="C130" s="188">
        <v>0</v>
      </c>
      <c r="D130" s="188">
        <v>0</v>
      </c>
      <c r="F130" s="189">
        <v>44774</v>
      </c>
      <c r="G130">
        <f t="shared" si="2"/>
        <v>1771.8119999999999</v>
      </c>
      <c r="H130" s="188">
        <f>2681535*(42/1000000)</f>
        <v>112.62446999999999</v>
      </c>
      <c r="I130" s="190">
        <v>36722.951999999997</v>
      </c>
      <c r="K130" s="189">
        <v>44774</v>
      </c>
      <c r="L130" s="191">
        <f t="shared" si="3"/>
        <v>-35063.764469999995</v>
      </c>
    </row>
    <row r="131" spans="1:12">
      <c r="A131" s="187">
        <v>30560</v>
      </c>
      <c r="B131">
        <v>1097</v>
      </c>
      <c r="C131" s="188">
        <v>0</v>
      </c>
      <c r="D131" s="188">
        <v>0</v>
      </c>
      <c r="F131" s="189">
        <v>44805</v>
      </c>
      <c r="G131">
        <f t="shared" si="2"/>
        <v>1649.55</v>
      </c>
      <c r="H131" s="188">
        <f>1620647*(42/1000000)</f>
        <v>68.067173999999994</v>
      </c>
      <c r="I131" s="190">
        <v>33231.660000000003</v>
      </c>
      <c r="K131" s="189">
        <v>44805</v>
      </c>
      <c r="L131" s="191">
        <f t="shared" si="3"/>
        <v>-31650.177174000004</v>
      </c>
    </row>
    <row r="132" spans="1:12">
      <c r="A132" s="187">
        <v>30590</v>
      </c>
      <c r="B132">
        <v>1701</v>
      </c>
      <c r="C132" s="188">
        <v>0</v>
      </c>
      <c r="D132" s="188">
        <v>0</v>
      </c>
      <c r="F132" s="189">
        <v>44835</v>
      </c>
      <c r="G132">
        <f t="shared" ref="G132:G149" si="4">B600*42/1000</f>
        <v>1329.72</v>
      </c>
      <c r="H132" s="188">
        <f>1584918*(42/1000000)</f>
        <v>66.566555999999991</v>
      </c>
      <c r="I132" s="190">
        <v>8880.9</v>
      </c>
      <c r="K132" s="189">
        <v>44835</v>
      </c>
      <c r="L132" s="191">
        <f t="shared" ref="L132:L139" si="5">G132-H132-I132</f>
        <v>-7617.7465560000001</v>
      </c>
    </row>
    <row r="133" spans="1:12">
      <c r="A133" s="187">
        <v>30621</v>
      </c>
      <c r="B133">
        <v>1614</v>
      </c>
      <c r="C133" s="188">
        <v>0</v>
      </c>
      <c r="D133" s="188">
        <v>0</v>
      </c>
      <c r="F133" s="189">
        <v>44866</v>
      </c>
      <c r="G133">
        <f t="shared" si="4"/>
        <v>1473.4860000000001</v>
      </c>
      <c r="H133" s="188">
        <f>2625776*(42/1000000)</f>
        <v>110.28259199999999</v>
      </c>
      <c r="I133" s="190">
        <v>12958.218000000001</v>
      </c>
      <c r="K133" s="189">
        <v>44866</v>
      </c>
      <c r="L133" s="191">
        <f t="shared" si="5"/>
        <v>-11595.014592000001</v>
      </c>
    </row>
    <row r="134" spans="1:12">
      <c r="A134" s="187">
        <v>30651</v>
      </c>
      <c r="B134">
        <v>1669</v>
      </c>
      <c r="C134" s="188">
        <v>0</v>
      </c>
      <c r="D134" s="188">
        <v>0</v>
      </c>
      <c r="F134" s="189">
        <v>44896</v>
      </c>
      <c r="G134">
        <f t="shared" si="4"/>
        <v>1752.87</v>
      </c>
      <c r="H134" s="188">
        <f>1510631*(42/1000000)</f>
        <v>63.446501999999995</v>
      </c>
      <c r="I134" s="190">
        <v>16244.843999999999</v>
      </c>
      <c r="K134" s="189">
        <v>44896</v>
      </c>
      <c r="L134" s="191">
        <f t="shared" si="5"/>
        <v>-14555.420501999999</v>
      </c>
    </row>
    <row r="135" spans="1:12">
      <c r="A135" s="187">
        <v>30682</v>
      </c>
      <c r="B135">
        <v>1248</v>
      </c>
      <c r="C135" s="188">
        <v>0</v>
      </c>
      <c r="D135" s="188">
        <v>0</v>
      </c>
      <c r="F135" s="189">
        <v>44927</v>
      </c>
      <c r="G135">
        <f t="shared" si="4"/>
        <v>1223.712</v>
      </c>
      <c r="H135" s="188">
        <f>1083894*(42/1000000)</f>
        <v>45.523547999999998</v>
      </c>
      <c r="I135" s="190">
        <v>21616.223999999998</v>
      </c>
      <c r="K135" s="189">
        <v>44927</v>
      </c>
      <c r="L135" s="191">
        <f t="shared" si="5"/>
        <v>-20438.035548</v>
      </c>
    </row>
    <row r="136" spans="1:12">
      <c r="A136" s="187">
        <v>30713</v>
      </c>
      <c r="B136">
        <v>1203</v>
      </c>
      <c r="C136" s="188">
        <v>0</v>
      </c>
      <c r="D136" s="188">
        <v>0</v>
      </c>
      <c r="F136" s="189">
        <v>44958</v>
      </c>
      <c r="G136">
        <f t="shared" si="4"/>
        <v>1073.8979999999999</v>
      </c>
      <c r="H136" s="188">
        <f>1955599*(42/1000000)</f>
        <v>82.13515799999999</v>
      </c>
      <c r="I136" s="190">
        <v>19226.214</v>
      </c>
      <c r="K136" s="189">
        <v>44958</v>
      </c>
      <c r="L136" s="191">
        <f t="shared" si="5"/>
        <v>-18234.451158</v>
      </c>
    </row>
    <row r="137" spans="1:12">
      <c r="A137" s="187">
        <v>30742</v>
      </c>
      <c r="B137">
        <v>2036</v>
      </c>
      <c r="C137" s="188">
        <v>0</v>
      </c>
      <c r="D137" s="188">
        <v>0</v>
      </c>
      <c r="F137" s="189">
        <v>44986</v>
      </c>
      <c r="G137">
        <f t="shared" si="4"/>
        <v>1486.086</v>
      </c>
      <c r="H137" s="188">
        <f>2332835*(42/1000000)</f>
        <v>97.979069999999993</v>
      </c>
      <c r="I137" s="190">
        <v>38391.654000000002</v>
      </c>
      <c r="K137" s="189">
        <v>44986</v>
      </c>
      <c r="L137" s="191">
        <f t="shared" si="5"/>
        <v>-37003.547070000001</v>
      </c>
    </row>
    <row r="138" spans="1:12">
      <c r="A138" s="187">
        <v>30773</v>
      </c>
      <c r="B138">
        <v>959</v>
      </c>
      <c r="C138" s="188">
        <v>0</v>
      </c>
      <c r="D138" s="188">
        <v>0</v>
      </c>
      <c r="F138" s="189">
        <v>45017</v>
      </c>
      <c r="G138">
        <f t="shared" si="4"/>
        <v>1285.0740000000001</v>
      </c>
      <c r="H138" s="188">
        <f>2236362*(42/1000000)</f>
        <v>93.927203999999989</v>
      </c>
      <c r="I138" s="190">
        <v>33645.192000000003</v>
      </c>
      <c r="K138" s="189">
        <v>45017</v>
      </c>
      <c r="L138" s="191">
        <f t="shared" si="5"/>
        <v>-32454.045204000002</v>
      </c>
    </row>
    <row r="139" spans="1:12">
      <c r="A139" s="187">
        <v>30803</v>
      </c>
      <c r="B139">
        <v>1498</v>
      </c>
      <c r="C139" s="188">
        <v>0</v>
      </c>
      <c r="D139" s="188">
        <v>0</v>
      </c>
      <c r="F139" s="189">
        <v>45047</v>
      </c>
      <c r="G139">
        <f t="shared" si="4"/>
        <v>1523.172</v>
      </c>
      <c r="H139" s="188">
        <f>1090651*(42/1000000)</f>
        <v>45.807341999999998</v>
      </c>
      <c r="I139" s="190">
        <v>1139.9639999999999</v>
      </c>
      <c r="K139" s="189">
        <v>45047</v>
      </c>
      <c r="L139" s="191">
        <f t="shared" si="5"/>
        <v>337.40065800000002</v>
      </c>
    </row>
    <row r="140" spans="1:12">
      <c r="A140" s="187">
        <v>30834</v>
      </c>
      <c r="B140">
        <v>1589</v>
      </c>
      <c r="C140" s="188">
        <v>0</v>
      </c>
      <c r="D140" s="188">
        <v>0</v>
      </c>
      <c r="F140" s="189">
        <v>45078</v>
      </c>
      <c r="G140">
        <f t="shared" si="4"/>
        <v>1504.3140000000001</v>
      </c>
      <c r="H140" s="188"/>
      <c r="I140" s="190"/>
      <c r="K140" s="189">
        <v>45078</v>
      </c>
      <c r="L140" s="191"/>
    </row>
    <row r="141" spans="1:12">
      <c r="A141" s="187">
        <v>30864</v>
      </c>
      <c r="B141">
        <v>1245</v>
      </c>
      <c r="C141" s="188">
        <v>0</v>
      </c>
      <c r="D141" s="188">
        <v>0</v>
      </c>
      <c r="F141" s="189">
        <v>45108</v>
      </c>
      <c r="G141">
        <f t="shared" si="4"/>
        <v>1588.566</v>
      </c>
      <c r="H141" s="188"/>
      <c r="I141" s="190"/>
      <c r="K141" s="189">
        <v>45108</v>
      </c>
      <c r="L141" s="191"/>
    </row>
    <row r="142" spans="1:12">
      <c r="A142" s="187">
        <v>30895</v>
      </c>
      <c r="B142">
        <v>2305</v>
      </c>
      <c r="C142" s="188">
        <v>0</v>
      </c>
      <c r="D142" s="188">
        <v>0</v>
      </c>
      <c r="F142" s="189">
        <v>45139</v>
      </c>
      <c r="G142">
        <f t="shared" si="4"/>
        <v>1489.2360000000001</v>
      </c>
      <c r="H142" s="188"/>
      <c r="I142" s="190"/>
      <c r="K142" s="189">
        <v>45139</v>
      </c>
      <c r="L142" s="191"/>
    </row>
    <row r="143" spans="1:12">
      <c r="A143" s="187">
        <v>30926</v>
      </c>
      <c r="B143">
        <v>655</v>
      </c>
      <c r="C143" s="188">
        <v>0</v>
      </c>
      <c r="D143" s="188">
        <v>0</v>
      </c>
      <c r="F143" s="189">
        <v>45170</v>
      </c>
      <c r="G143">
        <f t="shared" si="4"/>
        <v>1317.162</v>
      </c>
      <c r="H143" s="188"/>
      <c r="I143" s="190"/>
      <c r="K143" s="189">
        <v>45170</v>
      </c>
      <c r="L143" s="191"/>
    </row>
    <row r="144" spans="1:12">
      <c r="A144" s="187">
        <v>30956</v>
      </c>
      <c r="B144">
        <v>1460</v>
      </c>
      <c r="C144" s="188">
        <v>0</v>
      </c>
      <c r="D144" s="188">
        <v>0</v>
      </c>
      <c r="F144" s="189">
        <v>45200</v>
      </c>
      <c r="G144">
        <f t="shared" si="4"/>
        <v>1389.9059999999999</v>
      </c>
      <c r="H144" s="188"/>
      <c r="I144" s="190"/>
      <c r="K144" s="189">
        <v>45200</v>
      </c>
      <c r="L144" s="191"/>
    </row>
    <row r="145" spans="1:12">
      <c r="A145" s="187">
        <v>30987</v>
      </c>
      <c r="B145">
        <v>715</v>
      </c>
      <c r="C145" s="188">
        <v>0</v>
      </c>
      <c r="D145" s="188">
        <v>0</v>
      </c>
      <c r="F145" s="189">
        <v>45231</v>
      </c>
      <c r="G145">
        <f t="shared" si="4"/>
        <v>1417.08</v>
      </c>
      <c r="H145" s="188"/>
      <c r="I145" s="190"/>
      <c r="K145" s="189">
        <v>45231</v>
      </c>
      <c r="L145" s="191"/>
    </row>
    <row r="146" spans="1:12">
      <c r="A146" s="187">
        <v>31017</v>
      </c>
      <c r="B146">
        <v>3724</v>
      </c>
      <c r="C146" s="188">
        <v>0</v>
      </c>
      <c r="D146" s="188">
        <v>0</v>
      </c>
      <c r="F146" s="189">
        <v>45261</v>
      </c>
      <c r="G146">
        <f t="shared" si="4"/>
        <v>1704.066</v>
      </c>
      <c r="H146" s="188"/>
      <c r="I146" s="190"/>
      <c r="K146" s="189">
        <v>45261</v>
      </c>
      <c r="L146" s="191"/>
    </row>
    <row r="147" spans="1:12">
      <c r="A147" s="187">
        <v>31048</v>
      </c>
      <c r="B147">
        <v>1260</v>
      </c>
      <c r="C147" s="188">
        <v>0</v>
      </c>
      <c r="D147" s="188">
        <v>0</v>
      </c>
      <c r="F147" s="189">
        <v>45292</v>
      </c>
      <c r="G147">
        <f t="shared" si="4"/>
        <v>1336.7760000000001</v>
      </c>
      <c r="H147" s="188"/>
      <c r="I147" s="190"/>
      <c r="K147" s="189">
        <v>45292</v>
      </c>
      <c r="L147" s="191"/>
    </row>
    <row r="148" spans="1:12">
      <c r="A148" s="187">
        <v>31079</v>
      </c>
      <c r="B148">
        <v>1800</v>
      </c>
      <c r="C148" s="188">
        <v>0</v>
      </c>
      <c r="D148" s="188">
        <v>0</v>
      </c>
      <c r="F148" s="189">
        <v>45323</v>
      </c>
      <c r="G148">
        <f t="shared" si="4"/>
        <v>1157.604</v>
      </c>
      <c r="H148" s="188"/>
      <c r="I148" s="190"/>
      <c r="K148" s="189">
        <v>45323</v>
      </c>
      <c r="L148" s="191"/>
    </row>
    <row r="149" spans="1:12">
      <c r="A149" s="187">
        <v>31107</v>
      </c>
      <c r="B149">
        <v>1354</v>
      </c>
      <c r="C149" s="188">
        <v>0</v>
      </c>
      <c r="D149" s="188">
        <v>0</v>
      </c>
      <c r="F149" s="189">
        <v>45352</v>
      </c>
      <c r="G149">
        <f t="shared" si="4"/>
        <v>1467.3119999999999</v>
      </c>
      <c r="H149" s="188"/>
      <c r="I149" s="190"/>
      <c r="K149" s="189">
        <v>45352</v>
      </c>
      <c r="L149" s="191"/>
    </row>
    <row r="150" spans="1:12">
      <c r="A150" s="187">
        <v>31138</v>
      </c>
      <c r="B150">
        <v>808</v>
      </c>
      <c r="C150" s="188">
        <v>0</v>
      </c>
      <c r="D150" s="188">
        <v>0</v>
      </c>
    </row>
    <row r="151" spans="1:12">
      <c r="A151" s="187">
        <v>31168</v>
      </c>
      <c r="B151">
        <v>957</v>
      </c>
      <c r="C151" s="188">
        <v>0</v>
      </c>
      <c r="D151" s="188">
        <v>0</v>
      </c>
    </row>
    <row r="152" spans="1:12">
      <c r="A152" s="187">
        <v>31199</v>
      </c>
      <c r="B152">
        <v>894</v>
      </c>
      <c r="C152" s="188">
        <v>0</v>
      </c>
      <c r="D152" s="188">
        <v>0</v>
      </c>
    </row>
    <row r="153" spans="1:12">
      <c r="A153" s="187">
        <v>31229</v>
      </c>
      <c r="B153">
        <v>3460</v>
      </c>
      <c r="C153" s="188">
        <v>0</v>
      </c>
      <c r="D153" s="188">
        <v>0</v>
      </c>
    </row>
    <row r="154" spans="1:12">
      <c r="A154" s="187">
        <v>31260</v>
      </c>
      <c r="B154">
        <v>3087</v>
      </c>
      <c r="C154" s="188">
        <v>0</v>
      </c>
      <c r="D154" s="188">
        <v>0</v>
      </c>
    </row>
    <row r="155" spans="1:12">
      <c r="A155" s="187">
        <v>31291</v>
      </c>
      <c r="B155">
        <v>3619</v>
      </c>
      <c r="C155" s="188">
        <v>0</v>
      </c>
      <c r="D155" s="188">
        <v>0</v>
      </c>
    </row>
    <row r="156" spans="1:12">
      <c r="A156" s="187">
        <v>31321</v>
      </c>
      <c r="B156">
        <v>2085</v>
      </c>
      <c r="C156" s="188">
        <v>0</v>
      </c>
      <c r="D156" s="188">
        <v>0</v>
      </c>
    </row>
    <row r="157" spans="1:12">
      <c r="A157" s="187">
        <v>31352</v>
      </c>
      <c r="B157">
        <v>2765</v>
      </c>
      <c r="C157" s="188">
        <v>0</v>
      </c>
      <c r="D157" s="188">
        <v>0</v>
      </c>
    </row>
    <row r="158" spans="1:12">
      <c r="A158" s="187">
        <v>31382</v>
      </c>
      <c r="B158">
        <v>2508</v>
      </c>
      <c r="C158" s="188">
        <v>0</v>
      </c>
      <c r="D158" s="188">
        <v>0</v>
      </c>
    </row>
    <row r="159" spans="1:12">
      <c r="A159" s="187">
        <v>31413</v>
      </c>
      <c r="B159">
        <v>3891</v>
      </c>
      <c r="C159" s="188">
        <v>0</v>
      </c>
      <c r="D159" s="188">
        <v>0</v>
      </c>
    </row>
    <row r="160" spans="1:12">
      <c r="A160" s="187">
        <v>31444</v>
      </c>
      <c r="B160">
        <v>4927</v>
      </c>
      <c r="C160" s="188">
        <v>0</v>
      </c>
      <c r="D160" s="188">
        <v>0</v>
      </c>
    </row>
    <row r="161" spans="1:4">
      <c r="A161" s="187">
        <v>31472</v>
      </c>
      <c r="B161">
        <v>4049</v>
      </c>
      <c r="C161" s="188">
        <v>0</v>
      </c>
      <c r="D161" s="188">
        <v>0</v>
      </c>
    </row>
    <row r="162" spans="1:4">
      <c r="A162" s="187">
        <v>31503</v>
      </c>
      <c r="B162">
        <v>3836</v>
      </c>
      <c r="C162" s="188">
        <v>0</v>
      </c>
      <c r="D162" s="188">
        <v>0</v>
      </c>
    </row>
    <row r="163" spans="1:4">
      <c r="A163" s="187">
        <v>31533</v>
      </c>
      <c r="B163">
        <v>4634</v>
      </c>
      <c r="C163" s="188">
        <v>0</v>
      </c>
      <c r="D163" s="188">
        <v>0</v>
      </c>
    </row>
    <row r="164" spans="1:4">
      <c r="A164" s="187">
        <v>31564</v>
      </c>
      <c r="B164">
        <v>1587</v>
      </c>
      <c r="C164" s="188">
        <v>0</v>
      </c>
      <c r="D164" s="188">
        <v>0</v>
      </c>
    </row>
    <row r="165" spans="1:4">
      <c r="A165" s="187">
        <v>31594</v>
      </c>
      <c r="B165">
        <v>2337</v>
      </c>
      <c r="C165" s="188">
        <v>0</v>
      </c>
      <c r="D165" s="188">
        <v>0</v>
      </c>
    </row>
    <row r="166" spans="1:4">
      <c r="A166" s="187">
        <v>31625</v>
      </c>
      <c r="B166">
        <v>1989</v>
      </c>
      <c r="C166" s="188">
        <v>0</v>
      </c>
      <c r="D166" s="188">
        <v>0</v>
      </c>
    </row>
    <row r="167" spans="1:4">
      <c r="A167" s="187">
        <v>31656</v>
      </c>
      <c r="B167">
        <v>2940</v>
      </c>
      <c r="C167" s="188">
        <v>0</v>
      </c>
      <c r="D167" s="188">
        <v>0</v>
      </c>
    </row>
    <row r="168" spans="1:4">
      <c r="A168" s="187">
        <v>31686</v>
      </c>
      <c r="B168">
        <v>2285</v>
      </c>
      <c r="C168" s="188">
        <v>0</v>
      </c>
      <c r="D168" s="188">
        <v>0</v>
      </c>
    </row>
    <row r="169" spans="1:4">
      <c r="A169" s="187">
        <v>31717</v>
      </c>
      <c r="B169">
        <v>2165</v>
      </c>
      <c r="C169" s="188">
        <v>0</v>
      </c>
      <c r="D169" s="188">
        <v>0</v>
      </c>
    </row>
    <row r="170" spans="1:4">
      <c r="A170" s="187">
        <v>31747</v>
      </c>
      <c r="B170">
        <v>1716</v>
      </c>
      <c r="C170" s="188">
        <v>0</v>
      </c>
      <c r="D170" s="188">
        <v>0</v>
      </c>
    </row>
    <row r="171" spans="1:4">
      <c r="A171" s="187">
        <v>31778</v>
      </c>
      <c r="B171">
        <v>3562</v>
      </c>
      <c r="C171" s="188">
        <v>0</v>
      </c>
      <c r="D171" s="188">
        <v>0</v>
      </c>
    </row>
    <row r="172" spans="1:4">
      <c r="A172" s="187">
        <v>31809</v>
      </c>
      <c r="B172">
        <v>2593</v>
      </c>
      <c r="C172" s="188">
        <v>0</v>
      </c>
      <c r="D172" s="188">
        <v>0</v>
      </c>
    </row>
    <row r="173" spans="1:4">
      <c r="A173" s="187">
        <v>31837</v>
      </c>
      <c r="B173">
        <v>2073</v>
      </c>
      <c r="C173" s="188">
        <v>0</v>
      </c>
      <c r="D173" s="188">
        <v>0</v>
      </c>
    </row>
    <row r="174" spans="1:4">
      <c r="A174" s="187">
        <v>31868</v>
      </c>
      <c r="B174">
        <v>1588</v>
      </c>
      <c r="C174" s="188">
        <v>0</v>
      </c>
      <c r="D174" s="188">
        <v>0</v>
      </c>
    </row>
    <row r="175" spans="1:4">
      <c r="A175" s="187">
        <v>31898</v>
      </c>
      <c r="B175">
        <v>1595</v>
      </c>
      <c r="C175" s="188">
        <v>0</v>
      </c>
      <c r="D175" s="188">
        <v>0</v>
      </c>
    </row>
    <row r="176" spans="1:4">
      <c r="A176" s="187">
        <v>31929</v>
      </c>
      <c r="B176">
        <v>1834</v>
      </c>
      <c r="C176" s="188">
        <v>0</v>
      </c>
      <c r="D176" s="188">
        <v>0</v>
      </c>
    </row>
    <row r="177" spans="1:4">
      <c r="A177" s="187">
        <v>31959</v>
      </c>
      <c r="B177">
        <v>1189</v>
      </c>
      <c r="C177" s="188">
        <v>0</v>
      </c>
      <c r="D177" s="188">
        <v>0</v>
      </c>
    </row>
    <row r="178" spans="1:4">
      <c r="A178" s="187">
        <v>31990</v>
      </c>
      <c r="B178">
        <v>1466</v>
      </c>
      <c r="C178" s="188">
        <v>0</v>
      </c>
      <c r="D178" s="188">
        <v>0</v>
      </c>
    </row>
    <row r="179" spans="1:4">
      <c r="A179" s="187">
        <v>32021</v>
      </c>
      <c r="B179">
        <v>1924</v>
      </c>
      <c r="C179" s="188">
        <v>0</v>
      </c>
      <c r="D179" s="188">
        <v>0</v>
      </c>
    </row>
    <row r="180" spans="1:4">
      <c r="A180" s="187">
        <v>32051</v>
      </c>
      <c r="B180">
        <v>1640</v>
      </c>
      <c r="C180" s="188">
        <v>0</v>
      </c>
      <c r="D180" s="188">
        <v>0</v>
      </c>
    </row>
    <row r="181" spans="1:4">
      <c r="A181" s="187">
        <v>32082</v>
      </c>
      <c r="B181">
        <v>1686</v>
      </c>
      <c r="C181" s="188">
        <v>0</v>
      </c>
      <c r="D181" s="188">
        <v>0</v>
      </c>
    </row>
    <row r="182" spans="1:4">
      <c r="A182" s="187">
        <v>32112</v>
      </c>
      <c r="B182">
        <v>2859</v>
      </c>
      <c r="C182" s="188">
        <v>0</v>
      </c>
      <c r="D182" s="188">
        <v>0</v>
      </c>
    </row>
    <row r="183" spans="1:4">
      <c r="A183" s="187">
        <v>32143</v>
      </c>
      <c r="B183">
        <v>2541</v>
      </c>
      <c r="C183" s="188">
        <v>0</v>
      </c>
      <c r="D183" s="188">
        <v>0</v>
      </c>
    </row>
    <row r="184" spans="1:4">
      <c r="A184" s="187">
        <v>32174</v>
      </c>
      <c r="B184">
        <v>3095</v>
      </c>
      <c r="C184" s="188">
        <v>0</v>
      </c>
      <c r="D184" s="188">
        <v>0</v>
      </c>
    </row>
    <row r="185" spans="1:4">
      <c r="A185" s="187">
        <v>32203</v>
      </c>
      <c r="B185">
        <v>2309</v>
      </c>
      <c r="C185" s="188">
        <v>0</v>
      </c>
      <c r="D185" s="188">
        <v>0</v>
      </c>
    </row>
    <row r="186" spans="1:4">
      <c r="A186" s="187">
        <v>32234</v>
      </c>
      <c r="B186">
        <v>1268</v>
      </c>
      <c r="C186" s="188">
        <v>0</v>
      </c>
      <c r="D186" s="188">
        <v>0</v>
      </c>
    </row>
    <row r="187" spans="1:4">
      <c r="A187" s="187">
        <v>32264</v>
      </c>
      <c r="B187">
        <v>2295</v>
      </c>
      <c r="C187" s="188">
        <v>0</v>
      </c>
      <c r="D187" s="188">
        <v>0</v>
      </c>
    </row>
    <row r="188" spans="1:4">
      <c r="A188" s="187">
        <v>32295</v>
      </c>
      <c r="B188">
        <v>2267</v>
      </c>
      <c r="C188" s="188">
        <v>0</v>
      </c>
      <c r="D188" s="188">
        <v>0</v>
      </c>
    </row>
    <row r="189" spans="1:4">
      <c r="A189" s="187">
        <v>32325</v>
      </c>
      <c r="B189">
        <v>1796</v>
      </c>
      <c r="C189" s="188">
        <v>0</v>
      </c>
      <c r="D189" s="188">
        <v>0</v>
      </c>
    </row>
    <row r="190" spans="1:4">
      <c r="A190" s="187">
        <v>32356</v>
      </c>
      <c r="B190">
        <v>2158</v>
      </c>
      <c r="C190" s="188">
        <v>0</v>
      </c>
      <c r="D190" s="188">
        <v>0</v>
      </c>
    </row>
    <row r="191" spans="1:4">
      <c r="A191" s="187">
        <v>32387</v>
      </c>
      <c r="B191">
        <v>2156</v>
      </c>
      <c r="C191" s="188">
        <v>0</v>
      </c>
      <c r="D191" s="188">
        <v>0</v>
      </c>
    </row>
    <row r="192" spans="1:4">
      <c r="A192" s="187">
        <v>32417</v>
      </c>
      <c r="B192">
        <v>1489</v>
      </c>
      <c r="C192" s="188">
        <v>0</v>
      </c>
      <c r="D192" s="188">
        <v>0</v>
      </c>
    </row>
    <row r="193" spans="1:4">
      <c r="A193" s="187">
        <v>32448</v>
      </c>
      <c r="B193">
        <v>1033</v>
      </c>
      <c r="C193" s="188">
        <v>0</v>
      </c>
      <c r="D193" s="188">
        <v>0</v>
      </c>
    </row>
    <row r="194" spans="1:4">
      <c r="A194" s="187">
        <v>32478</v>
      </c>
      <c r="B194">
        <v>2694</v>
      </c>
      <c r="C194" s="188">
        <v>0</v>
      </c>
      <c r="D194" s="188">
        <v>0</v>
      </c>
    </row>
    <row r="195" spans="1:4">
      <c r="A195" s="187">
        <v>32509</v>
      </c>
      <c r="B195">
        <v>3410</v>
      </c>
      <c r="C195" s="188">
        <v>0</v>
      </c>
      <c r="D195" s="188">
        <v>0</v>
      </c>
    </row>
    <row r="196" spans="1:4">
      <c r="A196" s="187">
        <v>32540</v>
      </c>
      <c r="B196">
        <v>4581</v>
      </c>
      <c r="C196" s="188">
        <v>0</v>
      </c>
      <c r="D196" s="188">
        <v>0</v>
      </c>
    </row>
    <row r="197" spans="1:4">
      <c r="A197" s="187">
        <v>32568</v>
      </c>
      <c r="B197">
        <v>2357</v>
      </c>
      <c r="C197" s="188">
        <v>0</v>
      </c>
      <c r="D197" s="188">
        <v>0</v>
      </c>
    </row>
    <row r="198" spans="1:4">
      <c r="A198" s="187">
        <v>32599</v>
      </c>
      <c r="B198">
        <v>1671</v>
      </c>
      <c r="C198" s="188">
        <v>0</v>
      </c>
      <c r="D198" s="188">
        <v>0</v>
      </c>
    </row>
    <row r="199" spans="1:4">
      <c r="A199" s="187">
        <v>32629</v>
      </c>
      <c r="B199">
        <v>1576</v>
      </c>
      <c r="C199" s="188">
        <v>0</v>
      </c>
      <c r="D199" s="188">
        <v>0</v>
      </c>
    </row>
    <row r="200" spans="1:4">
      <c r="A200" s="187">
        <v>32660</v>
      </c>
      <c r="B200">
        <v>1183</v>
      </c>
      <c r="C200" s="188">
        <v>0</v>
      </c>
      <c r="D200" s="188">
        <v>0</v>
      </c>
    </row>
    <row r="201" spans="1:4">
      <c r="A201" s="187">
        <v>32690</v>
      </c>
      <c r="B201">
        <v>2744</v>
      </c>
      <c r="C201" s="188">
        <v>0</v>
      </c>
      <c r="D201" s="188">
        <v>0</v>
      </c>
    </row>
    <row r="202" spans="1:4">
      <c r="A202" s="187">
        <v>32721</v>
      </c>
      <c r="B202">
        <v>4788</v>
      </c>
      <c r="C202" s="188">
        <v>0</v>
      </c>
      <c r="D202" s="188">
        <v>0</v>
      </c>
    </row>
    <row r="203" spans="1:4">
      <c r="A203" s="187">
        <v>32752</v>
      </c>
      <c r="B203">
        <v>2425</v>
      </c>
      <c r="C203" s="188">
        <v>0</v>
      </c>
      <c r="D203" s="188">
        <v>0</v>
      </c>
    </row>
    <row r="204" spans="1:4">
      <c r="A204" s="187">
        <v>32782</v>
      </c>
      <c r="B204">
        <v>2785</v>
      </c>
      <c r="C204" s="188">
        <v>0</v>
      </c>
      <c r="D204" s="188">
        <v>0</v>
      </c>
    </row>
    <row r="205" spans="1:4">
      <c r="A205" s="187">
        <v>32813</v>
      </c>
      <c r="B205">
        <v>3692</v>
      </c>
      <c r="C205" s="188">
        <v>0</v>
      </c>
      <c r="D205" s="188">
        <v>0</v>
      </c>
    </row>
    <row r="206" spans="1:4">
      <c r="A206" s="187">
        <v>32843</v>
      </c>
      <c r="B206">
        <v>4030</v>
      </c>
      <c r="C206" s="188">
        <v>0</v>
      </c>
      <c r="D206" s="188">
        <v>0</v>
      </c>
    </row>
    <row r="207" spans="1:4">
      <c r="A207" s="187">
        <v>32874</v>
      </c>
      <c r="B207">
        <v>1922</v>
      </c>
      <c r="C207" s="188">
        <v>0</v>
      </c>
      <c r="D207" s="188">
        <v>0</v>
      </c>
    </row>
    <row r="208" spans="1:4">
      <c r="A208" s="187">
        <v>32905</v>
      </c>
      <c r="B208">
        <v>1815</v>
      </c>
      <c r="C208" s="188">
        <v>0</v>
      </c>
      <c r="D208" s="188">
        <v>0</v>
      </c>
    </row>
    <row r="209" spans="1:4">
      <c r="A209" s="187">
        <v>32933</v>
      </c>
      <c r="B209">
        <v>2334</v>
      </c>
      <c r="C209" s="188">
        <v>0</v>
      </c>
      <c r="D209" s="188">
        <v>0</v>
      </c>
    </row>
    <row r="210" spans="1:4">
      <c r="A210" s="187">
        <v>32964</v>
      </c>
      <c r="B210">
        <v>1768</v>
      </c>
      <c r="C210" s="188">
        <v>0</v>
      </c>
      <c r="D210" s="188">
        <v>0</v>
      </c>
    </row>
    <row r="211" spans="1:4">
      <c r="A211" s="187">
        <v>32994</v>
      </c>
      <c r="B211">
        <v>2311</v>
      </c>
      <c r="C211" s="188">
        <v>0</v>
      </c>
      <c r="D211" s="188">
        <v>0</v>
      </c>
    </row>
    <row r="212" spans="1:4">
      <c r="A212" s="187">
        <v>33025</v>
      </c>
      <c r="B212">
        <v>2511</v>
      </c>
      <c r="C212" s="188">
        <v>0</v>
      </c>
      <c r="D212" s="188">
        <v>0</v>
      </c>
    </row>
    <row r="213" spans="1:4">
      <c r="A213" s="187">
        <v>33055</v>
      </c>
      <c r="B213">
        <v>945</v>
      </c>
      <c r="C213" s="188">
        <v>0</v>
      </c>
      <c r="D213" s="188">
        <v>0</v>
      </c>
    </row>
    <row r="214" spans="1:4">
      <c r="A214" s="187">
        <v>33086</v>
      </c>
      <c r="B214">
        <v>1590</v>
      </c>
      <c r="C214" s="188">
        <v>0</v>
      </c>
      <c r="D214" s="188">
        <v>0</v>
      </c>
    </row>
    <row r="215" spans="1:4">
      <c r="A215" s="187">
        <v>33117</v>
      </c>
      <c r="B215">
        <v>3688</v>
      </c>
      <c r="C215" s="188">
        <v>0</v>
      </c>
      <c r="D215" s="188">
        <v>0</v>
      </c>
    </row>
    <row r="216" spans="1:4">
      <c r="A216" s="187">
        <v>33147</v>
      </c>
      <c r="B216">
        <v>4646</v>
      </c>
      <c r="C216" s="188">
        <v>0</v>
      </c>
      <c r="D216" s="188">
        <v>0</v>
      </c>
    </row>
    <row r="217" spans="1:4">
      <c r="A217" s="187">
        <v>33178</v>
      </c>
      <c r="B217">
        <v>5646</v>
      </c>
      <c r="C217" s="188">
        <v>0</v>
      </c>
      <c r="D217" s="188">
        <v>0</v>
      </c>
    </row>
    <row r="218" spans="1:4">
      <c r="A218" s="187">
        <v>33208</v>
      </c>
      <c r="B218">
        <v>10756</v>
      </c>
      <c r="C218" s="188">
        <v>0</v>
      </c>
      <c r="D218" s="188">
        <v>0</v>
      </c>
    </row>
    <row r="219" spans="1:4">
      <c r="A219" s="187">
        <v>33239</v>
      </c>
      <c r="B219">
        <v>10299</v>
      </c>
      <c r="C219" s="188">
        <v>0</v>
      </c>
      <c r="D219" s="188">
        <v>0</v>
      </c>
    </row>
    <row r="220" spans="1:4">
      <c r="A220" s="187">
        <v>33270</v>
      </c>
      <c r="B220">
        <v>10991</v>
      </c>
      <c r="C220" s="188">
        <v>0</v>
      </c>
      <c r="D220" s="188">
        <v>0</v>
      </c>
    </row>
    <row r="221" spans="1:4">
      <c r="A221" s="187">
        <v>33298</v>
      </c>
      <c r="B221">
        <v>6137</v>
      </c>
      <c r="C221" s="188">
        <v>0</v>
      </c>
      <c r="D221" s="188">
        <v>0</v>
      </c>
    </row>
    <row r="222" spans="1:4">
      <c r="A222" s="187">
        <v>33329</v>
      </c>
      <c r="B222">
        <v>2428</v>
      </c>
      <c r="C222" s="188">
        <v>0</v>
      </c>
      <c r="D222" s="188">
        <v>0</v>
      </c>
    </row>
    <row r="223" spans="1:4">
      <c r="A223" s="187">
        <v>33359</v>
      </c>
      <c r="B223">
        <v>6771</v>
      </c>
      <c r="C223" s="188">
        <v>0</v>
      </c>
      <c r="D223" s="188">
        <v>0</v>
      </c>
    </row>
    <row r="224" spans="1:4">
      <c r="A224" s="187">
        <v>33390</v>
      </c>
      <c r="B224">
        <v>4500</v>
      </c>
      <c r="C224" s="188">
        <v>0</v>
      </c>
      <c r="D224" s="188">
        <v>0</v>
      </c>
    </row>
    <row r="225" spans="1:4">
      <c r="A225" s="187">
        <v>33420</v>
      </c>
      <c r="B225">
        <v>4618</v>
      </c>
      <c r="C225" s="188">
        <v>0</v>
      </c>
      <c r="D225" s="188">
        <v>0</v>
      </c>
    </row>
    <row r="226" spans="1:4">
      <c r="A226" s="187">
        <v>33451</v>
      </c>
      <c r="B226">
        <v>4479</v>
      </c>
      <c r="C226" s="188">
        <v>0</v>
      </c>
      <c r="D226" s="188">
        <v>0</v>
      </c>
    </row>
    <row r="227" spans="1:4">
      <c r="A227" s="187">
        <v>33482</v>
      </c>
      <c r="B227">
        <v>4081</v>
      </c>
      <c r="C227" s="188">
        <v>0</v>
      </c>
      <c r="D227" s="188">
        <v>0</v>
      </c>
    </row>
    <row r="228" spans="1:4">
      <c r="A228" s="187">
        <v>33512</v>
      </c>
      <c r="B228">
        <v>8015</v>
      </c>
      <c r="C228" s="188">
        <v>0</v>
      </c>
      <c r="D228" s="188">
        <v>0</v>
      </c>
    </row>
    <row r="229" spans="1:4">
      <c r="A229" s="187">
        <v>33543</v>
      </c>
      <c r="B229">
        <v>6734</v>
      </c>
      <c r="C229" s="188">
        <v>0</v>
      </c>
      <c r="D229" s="188">
        <v>0</v>
      </c>
    </row>
    <row r="230" spans="1:4">
      <c r="A230" s="187">
        <v>33573</v>
      </c>
      <c r="B230">
        <v>9350</v>
      </c>
      <c r="C230" s="188">
        <v>0</v>
      </c>
      <c r="D230" s="188">
        <v>0</v>
      </c>
    </row>
    <row r="231" spans="1:4">
      <c r="A231" s="187">
        <v>33604</v>
      </c>
      <c r="B231">
        <v>11162</v>
      </c>
      <c r="C231" s="188">
        <v>0</v>
      </c>
      <c r="D231" s="188">
        <v>0</v>
      </c>
    </row>
    <row r="232" spans="1:4">
      <c r="A232" s="187">
        <v>33635</v>
      </c>
      <c r="B232">
        <v>8075</v>
      </c>
      <c r="C232" s="188">
        <v>0</v>
      </c>
      <c r="D232" s="188">
        <v>0</v>
      </c>
    </row>
    <row r="233" spans="1:4">
      <c r="A233" s="187">
        <v>33664</v>
      </c>
      <c r="B233">
        <v>4264</v>
      </c>
      <c r="C233" s="188">
        <v>0</v>
      </c>
      <c r="D233" s="188">
        <v>0</v>
      </c>
    </row>
    <row r="234" spans="1:4">
      <c r="A234" s="187">
        <v>33695</v>
      </c>
      <c r="B234">
        <v>8344</v>
      </c>
      <c r="C234" s="188">
        <v>0</v>
      </c>
      <c r="D234" s="188">
        <v>0</v>
      </c>
    </row>
    <row r="235" spans="1:4">
      <c r="A235" s="187">
        <v>33725</v>
      </c>
      <c r="B235">
        <v>6867</v>
      </c>
      <c r="C235" s="188">
        <v>0</v>
      </c>
      <c r="D235" s="188">
        <v>0</v>
      </c>
    </row>
    <row r="236" spans="1:4">
      <c r="A236" s="187">
        <v>33756</v>
      </c>
      <c r="B236">
        <v>6140</v>
      </c>
      <c r="C236" s="188">
        <v>0</v>
      </c>
      <c r="D236" s="188">
        <v>0</v>
      </c>
    </row>
    <row r="237" spans="1:4">
      <c r="A237" s="187">
        <v>33786</v>
      </c>
      <c r="B237">
        <v>6244</v>
      </c>
      <c r="C237" s="188">
        <v>0</v>
      </c>
      <c r="D237" s="188">
        <v>0</v>
      </c>
    </row>
    <row r="238" spans="1:4">
      <c r="A238" s="187">
        <v>33817</v>
      </c>
      <c r="B238">
        <v>3941</v>
      </c>
      <c r="C238" s="188">
        <v>0</v>
      </c>
      <c r="D238" s="188">
        <v>0</v>
      </c>
    </row>
    <row r="239" spans="1:4">
      <c r="A239" s="187">
        <v>33848</v>
      </c>
      <c r="B239">
        <v>4343</v>
      </c>
      <c r="C239" s="188">
        <v>0</v>
      </c>
      <c r="D239" s="188">
        <v>0</v>
      </c>
    </row>
    <row r="240" spans="1:4">
      <c r="A240" s="187">
        <v>33878</v>
      </c>
      <c r="B240">
        <v>5228</v>
      </c>
      <c r="C240" s="188">
        <v>0</v>
      </c>
      <c r="D240" s="188">
        <v>0</v>
      </c>
    </row>
    <row r="241" spans="1:4">
      <c r="A241" s="187">
        <v>33909</v>
      </c>
      <c r="B241">
        <v>6888</v>
      </c>
      <c r="C241" s="188">
        <v>0</v>
      </c>
      <c r="D241" s="188">
        <v>0</v>
      </c>
    </row>
    <row r="242" spans="1:4">
      <c r="A242" s="187">
        <v>33939</v>
      </c>
      <c r="B242">
        <v>8542</v>
      </c>
      <c r="C242" s="188">
        <v>0</v>
      </c>
      <c r="D242" s="188">
        <v>0</v>
      </c>
    </row>
    <row r="243" spans="1:4">
      <c r="A243" s="187">
        <v>33970</v>
      </c>
      <c r="B243">
        <v>8883</v>
      </c>
      <c r="C243" s="188">
        <v>0</v>
      </c>
      <c r="D243" s="188">
        <v>0</v>
      </c>
    </row>
    <row r="244" spans="1:4">
      <c r="A244" s="187">
        <v>34001</v>
      </c>
      <c r="B244">
        <v>8433</v>
      </c>
      <c r="C244" s="188">
        <v>0</v>
      </c>
      <c r="D244" s="188">
        <v>0</v>
      </c>
    </row>
    <row r="245" spans="1:4">
      <c r="A245" s="187">
        <v>34029</v>
      </c>
      <c r="B245">
        <v>4778</v>
      </c>
      <c r="C245" s="188">
        <v>0</v>
      </c>
      <c r="D245" s="188">
        <v>0</v>
      </c>
    </row>
    <row r="246" spans="1:4">
      <c r="A246" s="187">
        <v>34060</v>
      </c>
      <c r="B246">
        <v>7243</v>
      </c>
      <c r="C246" s="188">
        <v>0</v>
      </c>
      <c r="D246" s="188">
        <v>0</v>
      </c>
    </row>
    <row r="247" spans="1:4">
      <c r="A247" s="187">
        <v>34090</v>
      </c>
      <c r="B247">
        <v>11006</v>
      </c>
      <c r="C247" s="188">
        <v>0</v>
      </c>
      <c r="D247" s="188">
        <v>0</v>
      </c>
    </row>
    <row r="248" spans="1:4">
      <c r="A248" s="187">
        <v>34121</v>
      </c>
      <c r="B248">
        <v>4726</v>
      </c>
      <c r="C248" s="188">
        <v>0</v>
      </c>
      <c r="D248" s="188">
        <v>0</v>
      </c>
    </row>
    <row r="249" spans="1:4">
      <c r="A249" s="187">
        <v>34151</v>
      </c>
      <c r="B249">
        <v>9180</v>
      </c>
      <c r="C249" s="188">
        <v>0</v>
      </c>
      <c r="D249" s="188">
        <v>0</v>
      </c>
    </row>
    <row r="250" spans="1:4">
      <c r="A250" s="187">
        <v>34182</v>
      </c>
      <c r="B250">
        <v>6063</v>
      </c>
      <c r="C250" s="188">
        <v>0</v>
      </c>
      <c r="D250" s="188">
        <v>0</v>
      </c>
    </row>
    <row r="251" spans="1:4">
      <c r="A251" s="187">
        <v>34213</v>
      </c>
      <c r="B251">
        <v>7997</v>
      </c>
      <c r="C251" s="188">
        <v>0</v>
      </c>
      <c r="D251" s="188">
        <v>0</v>
      </c>
    </row>
    <row r="252" spans="1:4">
      <c r="A252" s="187">
        <v>34243</v>
      </c>
      <c r="B252">
        <v>7336</v>
      </c>
      <c r="C252" s="188">
        <v>0</v>
      </c>
      <c r="D252" s="188">
        <v>0</v>
      </c>
    </row>
    <row r="253" spans="1:4">
      <c r="A253" s="187">
        <v>34274</v>
      </c>
      <c r="B253">
        <v>10266</v>
      </c>
      <c r="C253" s="188">
        <v>0</v>
      </c>
      <c r="D253" s="188">
        <v>0</v>
      </c>
    </row>
    <row r="254" spans="1:4">
      <c r="A254" s="187">
        <v>34304</v>
      </c>
      <c r="B254">
        <v>14045</v>
      </c>
      <c r="C254" s="188">
        <v>0</v>
      </c>
      <c r="D254" s="188">
        <v>0</v>
      </c>
    </row>
    <row r="255" spans="1:4">
      <c r="A255" s="187">
        <v>34335</v>
      </c>
      <c r="B255">
        <v>10281</v>
      </c>
      <c r="C255" s="188">
        <v>0</v>
      </c>
      <c r="D255" s="188">
        <v>0</v>
      </c>
    </row>
    <row r="256" spans="1:4">
      <c r="A256" s="187">
        <v>34366</v>
      </c>
      <c r="B256">
        <v>6568</v>
      </c>
      <c r="C256" s="188">
        <v>0</v>
      </c>
      <c r="D256" s="188">
        <v>0</v>
      </c>
    </row>
    <row r="257" spans="1:4">
      <c r="A257" s="187">
        <v>34394</v>
      </c>
      <c r="B257">
        <v>6827</v>
      </c>
      <c r="C257" s="188">
        <v>0</v>
      </c>
      <c r="D257" s="188">
        <v>0</v>
      </c>
    </row>
    <row r="258" spans="1:4">
      <c r="A258" s="187">
        <v>34425</v>
      </c>
      <c r="B258">
        <v>7573</v>
      </c>
      <c r="C258" s="188">
        <v>0</v>
      </c>
      <c r="D258" s="188">
        <v>0</v>
      </c>
    </row>
    <row r="259" spans="1:4">
      <c r="A259" s="187">
        <v>34455</v>
      </c>
      <c r="B259">
        <v>8967</v>
      </c>
      <c r="C259" s="188">
        <v>0</v>
      </c>
      <c r="D259" s="188">
        <v>0</v>
      </c>
    </row>
    <row r="260" spans="1:4">
      <c r="A260" s="187">
        <v>34486</v>
      </c>
      <c r="B260">
        <v>5044</v>
      </c>
      <c r="C260" s="188">
        <v>0</v>
      </c>
      <c r="D260" s="188">
        <v>0</v>
      </c>
    </row>
    <row r="261" spans="1:4">
      <c r="A261" s="187">
        <v>34516</v>
      </c>
      <c r="B261">
        <v>6827</v>
      </c>
      <c r="C261" s="188">
        <v>0</v>
      </c>
      <c r="D261" s="188">
        <v>0</v>
      </c>
    </row>
    <row r="262" spans="1:4">
      <c r="A262" s="187">
        <v>34547</v>
      </c>
      <c r="B262">
        <v>5977</v>
      </c>
      <c r="C262" s="188">
        <v>0</v>
      </c>
      <c r="D262" s="188">
        <v>0</v>
      </c>
    </row>
    <row r="263" spans="1:4">
      <c r="A263" s="187">
        <v>34578</v>
      </c>
      <c r="B263">
        <v>4189</v>
      </c>
      <c r="C263" s="188">
        <v>0</v>
      </c>
      <c r="D263" s="188">
        <v>0</v>
      </c>
    </row>
    <row r="264" spans="1:4">
      <c r="A264" s="187">
        <v>34608</v>
      </c>
      <c r="B264">
        <v>7934</v>
      </c>
      <c r="C264" s="188">
        <v>0</v>
      </c>
      <c r="D264" s="188">
        <v>0</v>
      </c>
    </row>
    <row r="265" spans="1:4">
      <c r="A265" s="187">
        <v>34639</v>
      </c>
      <c r="B265">
        <v>6319</v>
      </c>
      <c r="C265" s="188">
        <v>0</v>
      </c>
      <c r="D265" s="188">
        <v>0</v>
      </c>
    </row>
    <row r="266" spans="1:4">
      <c r="A266" s="187">
        <v>34669</v>
      </c>
      <c r="B266">
        <v>8805</v>
      </c>
      <c r="C266" s="188">
        <v>0</v>
      </c>
      <c r="D266" s="188">
        <v>0</v>
      </c>
    </row>
    <row r="267" spans="1:4">
      <c r="A267" s="187">
        <v>34700</v>
      </c>
      <c r="B267">
        <v>4365</v>
      </c>
      <c r="C267" s="188">
        <v>0</v>
      </c>
      <c r="D267" s="188">
        <v>0</v>
      </c>
    </row>
    <row r="268" spans="1:4">
      <c r="A268" s="187">
        <v>34731</v>
      </c>
      <c r="B268">
        <v>5947</v>
      </c>
      <c r="C268" s="188">
        <v>0</v>
      </c>
      <c r="D268" s="188">
        <v>0</v>
      </c>
    </row>
    <row r="269" spans="1:4">
      <c r="A269" s="187">
        <v>34759</v>
      </c>
      <c r="B269">
        <v>6706</v>
      </c>
      <c r="C269" s="188">
        <v>0</v>
      </c>
      <c r="D269" s="188">
        <v>0</v>
      </c>
    </row>
    <row r="270" spans="1:4">
      <c r="A270" s="187">
        <v>34790</v>
      </c>
      <c r="B270">
        <v>5158</v>
      </c>
      <c r="C270" s="188">
        <v>0</v>
      </c>
      <c r="D270" s="188">
        <v>0</v>
      </c>
    </row>
    <row r="271" spans="1:4">
      <c r="A271" s="187">
        <v>34820</v>
      </c>
      <c r="B271">
        <v>6252</v>
      </c>
      <c r="C271" s="188">
        <v>0</v>
      </c>
      <c r="D271" s="188">
        <v>0</v>
      </c>
    </row>
    <row r="272" spans="1:4">
      <c r="A272" s="187">
        <v>34851</v>
      </c>
      <c r="B272">
        <v>4117</v>
      </c>
      <c r="C272" s="188">
        <v>0</v>
      </c>
      <c r="D272" s="188">
        <v>0</v>
      </c>
    </row>
    <row r="273" spans="1:4">
      <c r="A273" s="187">
        <v>34881</v>
      </c>
      <c r="B273">
        <v>4588</v>
      </c>
      <c r="C273" s="188">
        <v>0</v>
      </c>
      <c r="D273" s="188">
        <v>0</v>
      </c>
    </row>
    <row r="274" spans="1:4">
      <c r="A274" s="187">
        <v>34912</v>
      </c>
      <c r="B274">
        <v>2611</v>
      </c>
      <c r="C274" s="188">
        <v>0</v>
      </c>
      <c r="D274" s="188">
        <v>0</v>
      </c>
    </row>
    <row r="275" spans="1:4">
      <c r="A275" s="187">
        <v>34943</v>
      </c>
      <c r="B275">
        <v>3484</v>
      </c>
      <c r="C275" s="188">
        <v>0</v>
      </c>
      <c r="D275" s="188">
        <v>0</v>
      </c>
    </row>
    <row r="276" spans="1:4">
      <c r="A276" s="187">
        <v>34973</v>
      </c>
      <c r="B276">
        <v>7382</v>
      </c>
      <c r="C276" s="188">
        <v>0</v>
      </c>
      <c r="D276" s="188">
        <v>0</v>
      </c>
    </row>
    <row r="277" spans="1:4">
      <c r="A277" s="187">
        <v>35004</v>
      </c>
      <c r="B277">
        <v>7069</v>
      </c>
      <c r="C277" s="188">
        <v>0</v>
      </c>
      <c r="D277" s="188">
        <v>0</v>
      </c>
    </row>
    <row r="278" spans="1:4">
      <c r="A278" s="187">
        <v>35034</v>
      </c>
      <c r="B278">
        <v>9244</v>
      </c>
      <c r="C278" s="188">
        <v>0</v>
      </c>
      <c r="D278" s="188">
        <v>0</v>
      </c>
    </row>
    <row r="279" spans="1:4">
      <c r="A279" s="187">
        <v>35065</v>
      </c>
      <c r="B279">
        <v>6707</v>
      </c>
      <c r="C279" s="188">
        <v>0</v>
      </c>
      <c r="D279" s="188">
        <v>0</v>
      </c>
    </row>
    <row r="280" spans="1:4">
      <c r="A280" s="187">
        <v>35096</v>
      </c>
      <c r="B280">
        <v>7414</v>
      </c>
      <c r="C280" s="188">
        <v>0</v>
      </c>
      <c r="D280" s="188">
        <v>0</v>
      </c>
    </row>
    <row r="281" spans="1:4">
      <c r="A281" s="187">
        <v>35125</v>
      </c>
      <c r="B281">
        <v>4314</v>
      </c>
      <c r="C281" s="188">
        <v>0</v>
      </c>
      <c r="D281" s="188">
        <v>0</v>
      </c>
    </row>
    <row r="282" spans="1:4">
      <c r="A282" s="187">
        <v>35156</v>
      </c>
      <c r="B282">
        <v>4991</v>
      </c>
      <c r="C282" s="188">
        <v>0</v>
      </c>
      <c r="D282" s="188">
        <v>0</v>
      </c>
    </row>
    <row r="283" spans="1:4">
      <c r="A283" s="187">
        <v>35186</v>
      </c>
      <c r="B283">
        <v>5455</v>
      </c>
      <c r="C283" s="188">
        <v>0</v>
      </c>
      <c r="D283" s="188">
        <v>0</v>
      </c>
    </row>
    <row r="284" spans="1:4">
      <c r="A284" s="187">
        <v>35217</v>
      </c>
      <c r="B284">
        <v>2422</v>
      </c>
      <c r="C284" s="188">
        <v>0</v>
      </c>
      <c r="D284" s="188">
        <v>0</v>
      </c>
    </row>
    <row r="285" spans="1:4">
      <c r="A285" s="187">
        <v>35247</v>
      </c>
      <c r="B285">
        <v>4160</v>
      </c>
      <c r="C285" s="188">
        <v>0</v>
      </c>
      <c r="D285" s="188">
        <v>0</v>
      </c>
    </row>
    <row r="286" spans="1:4">
      <c r="A286" s="187">
        <v>35278</v>
      </c>
      <c r="B286">
        <v>5649</v>
      </c>
      <c r="C286" s="188">
        <v>0</v>
      </c>
      <c r="D286" s="188">
        <v>0</v>
      </c>
    </row>
    <row r="287" spans="1:4">
      <c r="A287" s="187">
        <v>35309</v>
      </c>
      <c r="B287">
        <v>7684</v>
      </c>
      <c r="C287" s="188">
        <v>0</v>
      </c>
      <c r="D287" s="188">
        <v>0</v>
      </c>
    </row>
    <row r="288" spans="1:4">
      <c r="A288" s="187">
        <v>35339</v>
      </c>
      <c r="B288">
        <v>9297</v>
      </c>
      <c r="C288" s="188">
        <v>0</v>
      </c>
      <c r="D288" s="188">
        <v>0</v>
      </c>
    </row>
    <row r="289" spans="1:4">
      <c r="A289" s="187">
        <v>35370</v>
      </c>
      <c r="B289">
        <v>5132</v>
      </c>
      <c r="C289" s="188">
        <v>0</v>
      </c>
      <c r="D289" s="188">
        <v>0</v>
      </c>
    </row>
    <row r="290" spans="1:4">
      <c r="A290" s="187">
        <v>35400</v>
      </c>
      <c r="B290">
        <v>6380</v>
      </c>
      <c r="C290" s="188">
        <v>0</v>
      </c>
      <c r="D290" s="188">
        <v>0</v>
      </c>
    </row>
    <row r="291" spans="1:4">
      <c r="A291" s="187">
        <v>35431</v>
      </c>
      <c r="B291">
        <v>4137</v>
      </c>
      <c r="C291" s="188">
        <v>0</v>
      </c>
      <c r="D291" s="188">
        <v>0</v>
      </c>
    </row>
    <row r="292" spans="1:4">
      <c r="A292" s="187">
        <v>35462</v>
      </c>
      <c r="B292">
        <v>2982</v>
      </c>
      <c r="C292" s="188">
        <v>0</v>
      </c>
      <c r="D292" s="188">
        <v>0</v>
      </c>
    </row>
    <row r="293" spans="1:4">
      <c r="A293" s="187">
        <v>35490</v>
      </c>
      <c r="B293">
        <v>3719</v>
      </c>
      <c r="C293" s="188">
        <v>0</v>
      </c>
      <c r="D293" s="188">
        <v>0</v>
      </c>
    </row>
    <row r="294" spans="1:4">
      <c r="A294" s="187">
        <v>35521</v>
      </c>
      <c r="B294">
        <v>4968</v>
      </c>
      <c r="C294" s="188">
        <v>0</v>
      </c>
      <c r="D294" s="188">
        <v>0</v>
      </c>
    </row>
    <row r="295" spans="1:4">
      <c r="A295" s="187">
        <v>35551</v>
      </c>
      <c r="B295">
        <v>4742</v>
      </c>
      <c r="C295" s="188">
        <v>0</v>
      </c>
      <c r="D295" s="188">
        <v>0</v>
      </c>
    </row>
    <row r="296" spans="1:4">
      <c r="A296" s="187">
        <v>35582</v>
      </c>
      <c r="B296">
        <v>5206</v>
      </c>
      <c r="C296" s="188">
        <v>0</v>
      </c>
      <c r="D296" s="188">
        <v>0</v>
      </c>
    </row>
    <row r="297" spans="1:4">
      <c r="A297" s="187">
        <v>35612</v>
      </c>
      <c r="B297">
        <v>4687</v>
      </c>
      <c r="C297" s="188">
        <v>0</v>
      </c>
      <c r="D297" s="188">
        <v>0</v>
      </c>
    </row>
    <row r="298" spans="1:4">
      <c r="A298" s="187">
        <v>35643</v>
      </c>
      <c r="B298">
        <v>5745</v>
      </c>
      <c r="C298" s="188">
        <v>0</v>
      </c>
      <c r="D298" s="188">
        <v>0</v>
      </c>
    </row>
    <row r="299" spans="1:4">
      <c r="A299" s="187">
        <v>35674</v>
      </c>
      <c r="B299">
        <v>4788</v>
      </c>
      <c r="C299" s="188">
        <v>0</v>
      </c>
      <c r="D299" s="188">
        <v>0</v>
      </c>
    </row>
    <row r="300" spans="1:4">
      <c r="A300" s="187">
        <v>35704</v>
      </c>
      <c r="B300">
        <v>4109</v>
      </c>
      <c r="C300" s="188">
        <v>0</v>
      </c>
      <c r="D300" s="188">
        <v>0</v>
      </c>
    </row>
    <row r="301" spans="1:4">
      <c r="A301" s="187">
        <v>35735</v>
      </c>
      <c r="B301">
        <v>4468</v>
      </c>
      <c r="C301" s="188">
        <v>0</v>
      </c>
      <c r="D301" s="188">
        <v>0</v>
      </c>
    </row>
    <row r="302" spans="1:4">
      <c r="A302" s="187">
        <v>35765</v>
      </c>
      <c r="B302">
        <v>5957</v>
      </c>
      <c r="C302" s="188">
        <v>0</v>
      </c>
      <c r="D302" s="188">
        <v>0</v>
      </c>
    </row>
    <row r="303" spans="1:4">
      <c r="A303" s="187">
        <v>35796</v>
      </c>
      <c r="B303">
        <v>4123</v>
      </c>
      <c r="C303" s="188">
        <v>0</v>
      </c>
      <c r="D303" s="188">
        <v>0</v>
      </c>
    </row>
    <row r="304" spans="1:4">
      <c r="A304" s="187">
        <v>35827</v>
      </c>
      <c r="B304">
        <v>2208</v>
      </c>
      <c r="C304" s="188">
        <v>0</v>
      </c>
      <c r="D304" s="188">
        <v>0</v>
      </c>
    </row>
    <row r="305" spans="1:4">
      <c r="A305" s="187">
        <v>35855</v>
      </c>
      <c r="B305">
        <v>3989</v>
      </c>
      <c r="C305" s="188">
        <v>0</v>
      </c>
      <c r="D305" s="188">
        <v>0</v>
      </c>
    </row>
    <row r="306" spans="1:4">
      <c r="A306" s="187">
        <v>35886</v>
      </c>
      <c r="B306">
        <v>5585</v>
      </c>
      <c r="C306" s="188">
        <v>0</v>
      </c>
      <c r="D306" s="188">
        <v>0</v>
      </c>
    </row>
    <row r="307" spans="1:4">
      <c r="A307" s="187">
        <v>35916</v>
      </c>
      <c r="B307">
        <v>3748</v>
      </c>
      <c r="C307" s="188">
        <v>0</v>
      </c>
      <c r="D307" s="188">
        <v>0</v>
      </c>
    </row>
    <row r="308" spans="1:4">
      <c r="A308" s="187">
        <v>35947</v>
      </c>
      <c r="B308">
        <v>4455</v>
      </c>
      <c r="C308" s="188">
        <v>0</v>
      </c>
      <c r="D308" s="188">
        <v>0</v>
      </c>
    </row>
    <row r="309" spans="1:4">
      <c r="A309" s="187">
        <v>35977</v>
      </c>
      <c r="B309">
        <v>4984</v>
      </c>
      <c r="C309" s="188">
        <v>0</v>
      </c>
      <c r="D309" s="188">
        <v>0</v>
      </c>
    </row>
    <row r="310" spans="1:4">
      <c r="A310" s="187">
        <v>36008</v>
      </c>
      <c r="B310">
        <v>4639</v>
      </c>
      <c r="C310" s="188">
        <v>0</v>
      </c>
      <c r="D310" s="188">
        <v>0</v>
      </c>
    </row>
    <row r="311" spans="1:4">
      <c r="A311" s="187">
        <v>36039</v>
      </c>
      <c r="B311">
        <v>3221</v>
      </c>
      <c r="C311" s="188">
        <v>0</v>
      </c>
      <c r="D311" s="188">
        <v>0</v>
      </c>
    </row>
    <row r="312" spans="1:4">
      <c r="A312" s="187">
        <v>36069</v>
      </c>
      <c r="B312">
        <v>2331</v>
      </c>
      <c r="C312" s="188">
        <v>0</v>
      </c>
      <c r="D312" s="188">
        <v>0</v>
      </c>
    </row>
    <row r="313" spans="1:4">
      <c r="A313" s="187">
        <v>36100</v>
      </c>
      <c r="B313">
        <v>1634</v>
      </c>
      <c r="C313" s="188">
        <v>0</v>
      </c>
      <c r="D313" s="188">
        <v>0</v>
      </c>
    </row>
    <row r="314" spans="1:4">
      <c r="A314" s="187">
        <v>36130</v>
      </c>
      <c r="B314">
        <v>4506</v>
      </c>
      <c r="C314" s="188">
        <v>0</v>
      </c>
      <c r="D314" s="188">
        <v>0</v>
      </c>
    </row>
    <row r="315" spans="1:4">
      <c r="A315" s="187">
        <v>36161</v>
      </c>
      <c r="B315">
        <v>3642</v>
      </c>
      <c r="C315" s="188">
        <v>0</v>
      </c>
      <c r="D315" s="188">
        <v>0</v>
      </c>
    </row>
    <row r="316" spans="1:4">
      <c r="A316" s="187">
        <v>36192</v>
      </c>
      <c r="B316">
        <v>3256</v>
      </c>
      <c r="C316" s="188">
        <v>0</v>
      </c>
      <c r="D316" s="188">
        <v>0</v>
      </c>
    </row>
    <row r="317" spans="1:4">
      <c r="A317" s="187">
        <v>36220</v>
      </c>
      <c r="B317">
        <v>4914</v>
      </c>
      <c r="C317" s="188">
        <v>0</v>
      </c>
      <c r="D317" s="188">
        <v>0</v>
      </c>
    </row>
    <row r="318" spans="1:4">
      <c r="A318" s="187">
        <v>36251</v>
      </c>
      <c r="B318">
        <v>5735</v>
      </c>
      <c r="C318" s="188">
        <v>0</v>
      </c>
      <c r="D318" s="188">
        <v>0</v>
      </c>
    </row>
    <row r="319" spans="1:4">
      <c r="A319" s="187">
        <v>36281</v>
      </c>
      <c r="B319">
        <v>5789</v>
      </c>
      <c r="C319" s="188">
        <v>0</v>
      </c>
      <c r="D319" s="188">
        <v>0</v>
      </c>
    </row>
    <row r="320" spans="1:4">
      <c r="A320" s="187">
        <v>36312</v>
      </c>
      <c r="B320">
        <v>5394</v>
      </c>
      <c r="C320" s="188">
        <v>0</v>
      </c>
      <c r="D320" s="188">
        <v>0</v>
      </c>
    </row>
    <row r="321" spans="1:4">
      <c r="A321" s="187">
        <v>36342</v>
      </c>
      <c r="B321">
        <v>3809</v>
      </c>
      <c r="C321" s="188">
        <v>0</v>
      </c>
      <c r="D321" s="188">
        <v>0</v>
      </c>
    </row>
    <row r="322" spans="1:4">
      <c r="A322" s="187">
        <v>36373</v>
      </c>
      <c r="B322">
        <v>4023</v>
      </c>
      <c r="C322" s="188">
        <v>0</v>
      </c>
      <c r="D322" s="188">
        <v>0</v>
      </c>
    </row>
    <row r="323" spans="1:4">
      <c r="A323" s="187">
        <v>36404</v>
      </c>
      <c r="B323">
        <v>4851</v>
      </c>
      <c r="C323" s="188">
        <v>0</v>
      </c>
      <c r="D323" s="188">
        <v>0</v>
      </c>
    </row>
    <row r="324" spans="1:4">
      <c r="A324" s="187">
        <v>36434</v>
      </c>
      <c r="B324">
        <v>5944</v>
      </c>
      <c r="C324" s="188">
        <v>0</v>
      </c>
      <c r="D324" s="188">
        <v>0</v>
      </c>
    </row>
    <row r="325" spans="1:4">
      <c r="A325" s="187">
        <v>36465</v>
      </c>
      <c r="B325">
        <v>5103</v>
      </c>
      <c r="C325" s="188">
        <v>0</v>
      </c>
      <c r="D325" s="188">
        <v>0</v>
      </c>
    </row>
    <row r="326" spans="1:4">
      <c r="A326" s="187">
        <v>36495</v>
      </c>
      <c r="B326">
        <v>6583</v>
      </c>
      <c r="C326" s="188">
        <v>0</v>
      </c>
      <c r="D326" s="188">
        <v>0</v>
      </c>
    </row>
    <row r="327" spans="1:4">
      <c r="A327" s="187">
        <v>36526</v>
      </c>
      <c r="B327">
        <v>4098</v>
      </c>
      <c r="C327" s="188">
        <v>0</v>
      </c>
      <c r="D327" s="188">
        <v>0</v>
      </c>
    </row>
    <row r="328" spans="1:4">
      <c r="A328" s="187">
        <v>36557</v>
      </c>
      <c r="B328">
        <v>3249</v>
      </c>
      <c r="C328" s="188">
        <v>0</v>
      </c>
      <c r="D328" s="188">
        <v>0</v>
      </c>
    </row>
    <row r="329" spans="1:4">
      <c r="A329" s="187">
        <v>36586</v>
      </c>
      <c r="B329">
        <v>6532</v>
      </c>
      <c r="C329" s="188">
        <v>0</v>
      </c>
      <c r="D329" s="188">
        <v>0</v>
      </c>
    </row>
    <row r="330" spans="1:4">
      <c r="A330" s="187">
        <v>36617</v>
      </c>
      <c r="B330">
        <v>5336</v>
      </c>
      <c r="C330" s="188">
        <v>0</v>
      </c>
      <c r="D330" s="188">
        <v>0</v>
      </c>
    </row>
    <row r="331" spans="1:4">
      <c r="A331" s="187">
        <v>36647</v>
      </c>
      <c r="B331">
        <v>3948</v>
      </c>
      <c r="C331" s="188">
        <v>0</v>
      </c>
      <c r="D331" s="188">
        <v>0</v>
      </c>
    </row>
    <row r="332" spans="1:4">
      <c r="A332" s="187">
        <v>36678</v>
      </c>
      <c r="B332">
        <v>4468</v>
      </c>
      <c r="C332" s="188">
        <v>0</v>
      </c>
      <c r="D332" s="188">
        <v>0</v>
      </c>
    </row>
    <row r="333" spans="1:4">
      <c r="A333" s="187">
        <v>36708</v>
      </c>
      <c r="B333">
        <v>4100</v>
      </c>
      <c r="C333" s="188">
        <v>0</v>
      </c>
      <c r="D333" s="188">
        <v>0</v>
      </c>
    </row>
    <row r="334" spans="1:4">
      <c r="A334" s="187">
        <v>36739</v>
      </c>
      <c r="B334">
        <v>7837</v>
      </c>
      <c r="C334" s="188">
        <v>0</v>
      </c>
      <c r="D334" s="188">
        <v>0</v>
      </c>
    </row>
    <row r="335" spans="1:4">
      <c r="A335" s="187">
        <v>36770</v>
      </c>
      <c r="B335">
        <v>5814</v>
      </c>
      <c r="C335" s="188">
        <v>0</v>
      </c>
      <c r="D335" s="188">
        <v>0</v>
      </c>
    </row>
    <row r="336" spans="1:4">
      <c r="A336" s="187">
        <v>36800</v>
      </c>
      <c r="B336">
        <v>7896</v>
      </c>
      <c r="C336" s="188">
        <v>0</v>
      </c>
      <c r="D336" s="188">
        <v>0</v>
      </c>
    </row>
    <row r="337" spans="1:4">
      <c r="A337" s="187">
        <v>36831</v>
      </c>
      <c r="B337">
        <v>5738</v>
      </c>
      <c r="C337" s="188">
        <v>0</v>
      </c>
      <c r="D337" s="188">
        <v>0</v>
      </c>
    </row>
    <row r="338" spans="1:4">
      <c r="A338" s="187">
        <v>36861</v>
      </c>
      <c r="B338">
        <v>4183</v>
      </c>
      <c r="C338" s="188">
        <v>0</v>
      </c>
      <c r="D338" s="188">
        <v>0</v>
      </c>
    </row>
    <row r="339" spans="1:4">
      <c r="A339" s="187">
        <v>36892</v>
      </c>
      <c r="B339">
        <v>2077</v>
      </c>
      <c r="C339" s="188">
        <v>0</v>
      </c>
      <c r="D339" s="188">
        <v>0</v>
      </c>
    </row>
    <row r="340" spans="1:4">
      <c r="A340" s="187">
        <v>36923</v>
      </c>
      <c r="B340">
        <v>2149</v>
      </c>
      <c r="C340" s="188">
        <v>0</v>
      </c>
      <c r="D340" s="188">
        <v>0</v>
      </c>
    </row>
    <row r="341" spans="1:4">
      <c r="A341" s="187">
        <v>36951</v>
      </c>
      <c r="B341">
        <v>2333</v>
      </c>
      <c r="C341" s="188">
        <v>0</v>
      </c>
      <c r="D341" s="188">
        <v>0</v>
      </c>
    </row>
    <row r="342" spans="1:4">
      <c r="A342" s="187">
        <v>36982</v>
      </c>
      <c r="B342">
        <v>3196</v>
      </c>
      <c r="C342" s="188">
        <v>0</v>
      </c>
      <c r="D342" s="188">
        <v>0</v>
      </c>
    </row>
    <row r="343" spans="1:4">
      <c r="A343" s="187">
        <v>37012</v>
      </c>
      <c r="B343">
        <v>4515</v>
      </c>
      <c r="C343" s="188">
        <v>0</v>
      </c>
      <c r="D343" s="188">
        <v>0</v>
      </c>
    </row>
    <row r="344" spans="1:4">
      <c r="A344" s="187">
        <v>37043</v>
      </c>
      <c r="B344">
        <v>3613</v>
      </c>
      <c r="C344" s="188">
        <v>0</v>
      </c>
      <c r="D344" s="188">
        <v>0</v>
      </c>
    </row>
    <row r="345" spans="1:4">
      <c r="A345" s="187">
        <v>37073</v>
      </c>
      <c r="B345">
        <v>3499</v>
      </c>
      <c r="C345" s="188">
        <v>0</v>
      </c>
      <c r="D345" s="188">
        <v>0</v>
      </c>
    </row>
    <row r="346" spans="1:4">
      <c r="A346" s="187">
        <v>37104</v>
      </c>
      <c r="B346">
        <v>4325</v>
      </c>
      <c r="C346" s="188">
        <v>0</v>
      </c>
      <c r="D346" s="188">
        <v>0</v>
      </c>
    </row>
    <row r="347" spans="1:4">
      <c r="A347" s="187">
        <v>37135</v>
      </c>
      <c r="B347">
        <v>4547</v>
      </c>
      <c r="C347" s="188">
        <v>0</v>
      </c>
      <c r="D347" s="188">
        <v>0</v>
      </c>
    </row>
    <row r="348" spans="1:4">
      <c r="A348" s="187">
        <v>37165</v>
      </c>
      <c r="B348">
        <v>3080</v>
      </c>
      <c r="C348" s="188">
        <v>0</v>
      </c>
      <c r="D348" s="188">
        <v>0</v>
      </c>
    </row>
    <row r="349" spans="1:4">
      <c r="A349" s="187">
        <v>37196</v>
      </c>
      <c r="B349">
        <v>3957</v>
      </c>
      <c r="C349" s="188">
        <v>0</v>
      </c>
      <c r="D349" s="188">
        <v>0</v>
      </c>
    </row>
    <row r="350" spans="1:4">
      <c r="A350" s="187">
        <v>37226</v>
      </c>
      <c r="B350">
        <v>6251</v>
      </c>
      <c r="C350" s="188">
        <v>0</v>
      </c>
      <c r="D350" s="188">
        <v>0</v>
      </c>
    </row>
    <row r="351" spans="1:4">
      <c r="A351" s="187">
        <v>37257</v>
      </c>
      <c r="B351">
        <v>3392</v>
      </c>
      <c r="C351" s="188">
        <v>0</v>
      </c>
      <c r="D351" s="188">
        <v>0</v>
      </c>
    </row>
    <row r="352" spans="1:4">
      <c r="A352" s="187">
        <v>37288</v>
      </c>
      <c r="B352">
        <v>7818</v>
      </c>
      <c r="C352" s="188">
        <v>0</v>
      </c>
      <c r="D352" s="188">
        <v>0</v>
      </c>
    </row>
    <row r="353" spans="1:4">
      <c r="A353" s="187">
        <v>37316</v>
      </c>
      <c r="B353">
        <v>2090</v>
      </c>
      <c r="C353" s="188">
        <v>0</v>
      </c>
      <c r="D353" s="188">
        <v>0</v>
      </c>
    </row>
    <row r="354" spans="1:4">
      <c r="A354" s="187">
        <v>37347</v>
      </c>
      <c r="B354">
        <v>2051</v>
      </c>
      <c r="C354" s="188">
        <v>0</v>
      </c>
      <c r="D354" s="188">
        <v>0</v>
      </c>
    </row>
    <row r="355" spans="1:4">
      <c r="A355" s="187">
        <v>37377</v>
      </c>
      <c r="B355">
        <v>2282</v>
      </c>
      <c r="C355" s="188">
        <v>0</v>
      </c>
      <c r="D355" s="188">
        <v>0</v>
      </c>
    </row>
    <row r="356" spans="1:4">
      <c r="A356" s="187">
        <v>37408</v>
      </c>
      <c r="B356">
        <v>2781</v>
      </c>
      <c r="C356" s="188">
        <v>0</v>
      </c>
      <c r="D356" s="188">
        <v>0</v>
      </c>
    </row>
    <row r="357" spans="1:4">
      <c r="A357" s="187">
        <v>37438</v>
      </c>
      <c r="B357">
        <v>1377</v>
      </c>
      <c r="C357" s="188">
        <v>0</v>
      </c>
      <c r="D357" s="188">
        <v>0</v>
      </c>
    </row>
    <row r="358" spans="1:4">
      <c r="A358" s="187">
        <v>37469</v>
      </c>
      <c r="B358">
        <v>3685</v>
      </c>
      <c r="C358" s="188">
        <v>0</v>
      </c>
      <c r="D358" s="188">
        <v>0</v>
      </c>
    </row>
    <row r="359" spans="1:4">
      <c r="A359" s="187">
        <v>37500</v>
      </c>
      <c r="B359">
        <v>3799</v>
      </c>
      <c r="C359" s="188">
        <v>0</v>
      </c>
      <c r="D359" s="188">
        <v>0</v>
      </c>
    </row>
    <row r="360" spans="1:4">
      <c r="A360" s="187">
        <v>37530</v>
      </c>
      <c r="B360">
        <v>2985</v>
      </c>
      <c r="C360" s="188">
        <v>0</v>
      </c>
      <c r="D360" s="188">
        <v>0</v>
      </c>
    </row>
    <row r="361" spans="1:4">
      <c r="A361" s="187">
        <v>37561</v>
      </c>
      <c r="B361">
        <v>3407</v>
      </c>
      <c r="C361" s="188">
        <v>0</v>
      </c>
      <c r="D361" s="188">
        <v>0</v>
      </c>
    </row>
    <row r="362" spans="1:4">
      <c r="A362" s="187">
        <v>37591</v>
      </c>
      <c r="B362">
        <v>5309</v>
      </c>
      <c r="C362" s="188">
        <v>0</v>
      </c>
      <c r="D362" s="188">
        <v>0</v>
      </c>
    </row>
    <row r="363" spans="1:4">
      <c r="A363" s="187">
        <v>37622</v>
      </c>
      <c r="B363">
        <v>3701</v>
      </c>
      <c r="C363" s="188">
        <v>0</v>
      </c>
      <c r="D363" s="188">
        <v>0</v>
      </c>
    </row>
    <row r="364" spans="1:4">
      <c r="A364" s="187">
        <v>37653</v>
      </c>
      <c r="B364">
        <v>3702</v>
      </c>
      <c r="C364" s="188">
        <v>0</v>
      </c>
      <c r="D364" s="188">
        <v>0</v>
      </c>
    </row>
    <row r="365" spans="1:4">
      <c r="A365" s="187">
        <v>37681</v>
      </c>
      <c r="B365">
        <v>4977</v>
      </c>
      <c r="C365" s="188">
        <v>0</v>
      </c>
      <c r="D365" s="188">
        <v>0</v>
      </c>
    </row>
    <row r="366" spans="1:4">
      <c r="A366" s="187">
        <v>37712</v>
      </c>
      <c r="B366">
        <v>4171</v>
      </c>
      <c r="C366" s="188">
        <v>0</v>
      </c>
      <c r="D366" s="188">
        <v>0</v>
      </c>
    </row>
    <row r="367" spans="1:4">
      <c r="A367" s="187">
        <v>37742</v>
      </c>
      <c r="B367">
        <v>5012</v>
      </c>
      <c r="C367" s="188">
        <v>0</v>
      </c>
      <c r="D367" s="188">
        <v>0</v>
      </c>
    </row>
    <row r="368" spans="1:4">
      <c r="A368" s="187">
        <v>37773</v>
      </c>
      <c r="B368">
        <v>3022</v>
      </c>
      <c r="C368" s="188">
        <v>0</v>
      </c>
      <c r="D368" s="188">
        <v>0</v>
      </c>
    </row>
    <row r="369" spans="1:4">
      <c r="A369" s="187">
        <v>37803</v>
      </c>
      <c r="B369">
        <v>3191</v>
      </c>
      <c r="C369" s="188">
        <v>0</v>
      </c>
      <c r="D369" s="188">
        <v>0</v>
      </c>
    </row>
    <row r="370" spans="1:4">
      <c r="A370" s="187">
        <v>37834</v>
      </c>
      <c r="B370">
        <v>2481</v>
      </c>
      <c r="C370" s="188">
        <v>0</v>
      </c>
      <c r="D370" s="188">
        <v>0</v>
      </c>
    </row>
    <row r="371" spans="1:4">
      <c r="A371" s="187">
        <v>37865</v>
      </c>
      <c r="B371">
        <v>1281</v>
      </c>
      <c r="C371" s="188">
        <v>0</v>
      </c>
      <c r="D371" s="188">
        <v>0</v>
      </c>
    </row>
    <row r="372" spans="1:4">
      <c r="A372" s="187">
        <v>37895</v>
      </c>
      <c r="B372">
        <v>1921</v>
      </c>
      <c r="C372" s="188">
        <v>0</v>
      </c>
      <c r="D372" s="188">
        <v>0</v>
      </c>
    </row>
    <row r="373" spans="1:4">
      <c r="A373" s="187">
        <v>37926</v>
      </c>
      <c r="B373">
        <v>2435</v>
      </c>
      <c r="C373" s="188">
        <v>0</v>
      </c>
      <c r="D373" s="188">
        <v>0</v>
      </c>
    </row>
    <row r="374" spans="1:4">
      <c r="A374" s="187">
        <v>37956</v>
      </c>
      <c r="B374">
        <v>3086</v>
      </c>
      <c r="C374" s="188">
        <v>0</v>
      </c>
      <c r="D374" s="188">
        <v>0</v>
      </c>
    </row>
    <row r="375" spans="1:4">
      <c r="A375" s="187">
        <v>37987</v>
      </c>
      <c r="B375">
        <v>2241</v>
      </c>
      <c r="C375" s="188">
        <v>0</v>
      </c>
      <c r="D375" s="188">
        <v>0</v>
      </c>
    </row>
    <row r="376" spans="1:4">
      <c r="A376" s="187">
        <v>38018</v>
      </c>
      <c r="B376">
        <v>2495</v>
      </c>
      <c r="C376" s="188">
        <v>0</v>
      </c>
      <c r="D376" s="188">
        <v>0</v>
      </c>
    </row>
    <row r="377" spans="1:4">
      <c r="A377" s="187">
        <v>38047</v>
      </c>
      <c r="B377">
        <v>3078</v>
      </c>
      <c r="C377" s="188">
        <v>0</v>
      </c>
      <c r="D377" s="188">
        <v>0</v>
      </c>
    </row>
    <row r="378" spans="1:4">
      <c r="A378" s="187">
        <v>38078</v>
      </c>
      <c r="B378">
        <v>2746</v>
      </c>
      <c r="C378" s="188">
        <v>0</v>
      </c>
      <c r="D378" s="188">
        <v>0</v>
      </c>
    </row>
    <row r="379" spans="1:4">
      <c r="A379" s="187">
        <v>38108</v>
      </c>
      <c r="B379">
        <v>3105</v>
      </c>
      <c r="C379" s="188">
        <v>0</v>
      </c>
      <c r="D379" s="188">
        <v>0</v>
      </c>
    </row>
    <row r="380" spans="1:4">
      <c r="A380" s="187">
        <v>38139</v>
      </c>
      <c r="B380">
        <v>4905</v>
      </c>
      <c r="C380" s="188">
        <v>0</v>
      </c>
      <c r="D380" s="188">
        <v>0</v>
      </c>
    </row>
    <row r="381" spans="1:4">
      <c r="A381" s="187">
        <v>38169</v>
      </c>
      <c r="B381">
        <v>3513</v>
      </c>
      <c r="C381" s="188">
        <v>0</v>
      </c>
      <c r="D381" s="188">
        <v>0</v>
      </c>
    </row>
    <row r="382" spans="1:4">
      <c r="A382" s="187">
        <v>38200</v>
      </c>
      <c r="B382">
        <v>3732</v>
      </c>
      <c r="C382" s="188">
        <v>0</v>
      </c>
      <c r="D382" s="188">
        <v>0</v>
      </c>
    </row>
    <row r="383" spans="1:4">
      <c r="A383" s="187">
        <v>38231</v>
      </c>
      <c r="B383">
        <v>2633</v>
      </c>
      <c r="C383" s="188">
        <v>0</v>
      </c>
      <c r="D383" s="188">
        <v>0</v>
      </c>
    </row>
    <row r="384" spans="1:4">
      <c r="A384" s="187">
        <v>38261</v>
      </c>
      <c r="B384">
        <v>3129</v>
      </c>
      <c r="C384" s="188">
        <v>0</v>
      </c>
      <c r="D384" s="188">
        <v>0</v>
      </c>
    </row>
    <row r="385" spans="1:4">
      <c r="A385" s="187">
        <v>38292</v>
      </c>
      <c r="B385">
        <v>3056</v>
      </c>
      <c r="C385" s="188">
        <v>0</v>
      </c>
      <c r="D385" s="188">
        <v>0</v>
      </c>
    </row>
    <row r="386" spans="1:4">
      <c r="A386" s="187">
        <v>38322</v>
      </c>
      <c r="B386">
        <v>5468</v>
      </c>
      <c r="C386" s="188">
        <v>0</v>
      </c>
      <c r="D386" s="188">
        <v>0</v>
      </c>
    </row>
    <row r="387" spans="1:4">
      <c r="A387" s="187">
        <v>38353</v>
      </c>
      <c r="B387">
        <v>1521</v>
      </c>
      <c r="C387" s="188">
        <v>0</v>
      </c>
      <c r="D387" s="188">
        <v>0</v>
      </c>
    </row>
    <row r="388" spans="1:4">
      <c r="A388" s="187">
        <v>38384</v>
      </c>
      <c r="B388">
        <v>2866</v>
      </c>
      <c r="C388" s="188">
        <v>0</v>
      </c>
      <c r="D388" s="188">
        <v>0</v>
      </c>
    </row>
    <row r="389" spans="1:4">
      <c r="A389" s="187">
        <v>38412</v>
      </c>
      <c r="B389">
        <v>5122</v>
      </c>
      <c r="C389" s="188">
        <v>0</v>
      </c>
      <c r="D389" s="188">
        <v>0</v>
      </c>
    </row>
    <row r="390" spans="1:4">
      <c r="A390" s="187">
        <v>38443</v>
      </c>
      <c r="B390">
        <v>5751</v>
      </c>
      <c r="C390" s="188">
        <v>0</v>
      </c>
      <c r="D390" s="188">
        <v>0</v>
      </c>
    </row>
    <row r="391" spans="1:4">
      <c r="A391" s="187">
        <v>38473</v>
      </c>
      <c r="B391">
        <v>6161</v>
      </c>
      <c r="C391" s="188">
        <v>0</v>
      </c>
      <c r="D391" s="188">
        <v>0</v>
      </c>
    </row>
    <row r="392" spans="1:4">
      <c r="A392" s="187">
        <v>38504</v>
      </c>
      <c r="B392">
        <v>6813</v>
      </c>
      <c r="C392" s="188">
        <v>0</v>
      </c>
      <c r="D392" s="188">
        <v>0</v>
      </c>
    </row>
    <row r="393" spans="1:4">
      <c r="A393" s="187">
        <v>38534</v>
      </c>
      <c r="B393">
        <v>5860</v>
      </c>
      <c r="C393" s="188">
        <v>0</v>
      </c>
      <c r="D393" s="188">
        <v>0</v>
      </c>
    </row>
    <row r="394" spans="1:4">
      <c r="A394" s="187">
        <v>38565</v>
      </c>
      <c r="B394">
        <v>5062</v>
      </c>
      <c r="C394" s="188">
        <v>0</v>
      </c>
      <c r="D394" s="188">
        <v>0</v>
      </c>
    </row>
    <row r="395" spans="1:4">
      <c r="A395" s="187">
        <v>38596</v>
      </c>
      <c r="B395">
        <v>3233</v>
      </c>
      <c r="C395" s="188">
        <v>0</v>
      </c>
      <c r="D395" s="188">
        <v>0</v>
      </c>
    </row>
    <row r="396" spans="1:4">
      <c r="A396" s="187">
        <v>38626</v>
      </c>
      <c r="B396">
        <v>3388</v>
      </c>
      <c r="C396" s="188">
        <v>0</v>
      </c>
      <c r="D396" s="188">
        <v>0</v>
      </c>
    </row>
    <row r="397" spans="1:4">
      <c r="A397" s="187">
        <v>38657</v>
      </c>
      <c r="B397">
        <v>2752</v>
      </c>
      <c r="C397" s="188">
        <v>0</v>
      </c>
      <c r="D397" s="188">
        <v>0</v>
      </c>
    </row>
    <row r="398" spans="1:4">
      <c r="A398" s="187">
        <v>38687</v>
      </c>
      <c r="B398">
        <v>2003</v>
      </c>
      <c r="C398" s="188">
        <v>0</v>
      </c>
      <c r="D398" s="188">
        <v>0</v>
      </c>
    </row>
    <row r="399" spans="1:4">
      <c r="A399" s="187">
        <v>38718</v>
      </c>
      <c r="B399">
        <v>3814</v>
      </c>
      <c r="C399" s="188">
        <v>0</v>
      </c>
      <c r="D399" s="188">
        <v>0</v>
      </c>
    </row>
    <row r="400" spans="1:4">
      <c r="A400" s="187">
        <v>38749</v>
      </c>
      <c r="B400">
        <v>4371</v>
      </c>
      <c r="C400" s="188">
        <v>0</v>
      </c>
      <c r="D400" s="188">
        <v>0</v>
      </c>
    </row>
    <row r="401" spans="1:4">
      <c r="A401" s="187">
        <v>38777</v>
      </c>
      <c r="B401">
        <v>3715</v>
      </c>
      <c r="C401" s="188">
        <v>0</v>
      </c>
      <c r="D401" s="188">
        <v>0</v>
      </c>
    </row>
    <row r="402" spans="1:4">
      <c r="A402" s="187">
        <v>38808</v>
      </c>
      <c r="B402">
        <v>6001</v>
      </c>
      <c r="C402" s="188">
        <v>0</v>
      </c>
      <c r="D402" s="188">
        <v>0</v>
      </c>
    </row>
    <row r="403" spans="1:4">
      <c r="A403" s="187">
        <v>38838</v>
      </c>
      <c r="B403">
        <v>7090</v>
      </c>
      <c r="C403" s="188">
        <v>0</v>
      </c>
      <c r="D403" s="188">
        <v>0</v>
      </c>
    </row>
    <row r="404" spans="1:4">
      <c r="A404" s="187">
        <v>38869</v>
      </c>
      <c r="B404">
        <v>5599</v>
      </c>
      <c r="C404" s="188">
        <v>0</v>
      </c>
      <c r="D404" s="188">
        <v>0</v>
      </c>
    </row>
    <row r="405" spans="1:4">
      <c r="A405" s="187">
        <v>38899</v>
      </c>
      <c r="B405">
        <v>7163</v>
      </c>
      <c r="C405" s="188">
        <v>0</v>
      </c>
      <c r="D405" s="188">
        <v>0</v>
      </c>
    </row>
    <row r="406" spans="1:4">
      <c r="A406" s="187">
        <v>38930</v>
      </c>
      <c r="B406">
        <v>5908</v>
      </c>
      <c r="C406" s="188">
        <v>0</v>
      </c>
      <c r="D406" s="188">
        <v>0</v>
      </c>
    </row>
    <row r="407" spans="1:4">
      <c r="A407" s="187">
        <v>38961</v>
      </c>
      <c r="B407">
        <v>13672</v>
      </c>
      <c r="C407" s="188">
        <v>0</v>
      </c>
      <c r="D407" s="188">
        <v>0</v>
      </c>
    </row>
    <row r="408" spans="1:4">
      <c r="A408" s="187">
        <v>38991</v>
      </c>
      <c r="B408">
        <v>9015</v>
      </c>
      <c r="C408" s="188">
        <v>0</v>
      </c>
      <c r="D408" s="188">
        <v>0</v>
      </c>
    </row>
    <row r="409" spans="1:4">
      <c r="A409" s="187">
        <v>39022</v>
      </c>
      <c r="B409">
        <v>7545</v>
      </c>
      <c r="C409" s="188">
        <v>0</v>
      </c>
      <c r="D409" s="188">
        <v>0</v>
      </c>
    </row>
    <row r="410" spans="1:4">
      <c r="A410" s="187">
        <v>39052</v>
      </c>
      <c r="B410">
        <v>4614</v>
      </c>
      <c r="C410" s="188">
        <v>0</v>
      </c>
      <c r="D410" s="188">
        <v>0</v>
      </c>
    </row>
    <row r="411" spans="1:4">
      <c r="A411" s="187">
        <v>39083</v>
      </c>
      <c r="B411">
        <v>7847</v>
      </c>
      <c r="C411" s="188">
        <v>0</v>
      </c>
      <c r="D411" s="188">
        <v>0</v>
      </c>
    </row>
    <row r="412" spans="1:4">
      <c r="A412" s="187">
        <v>39114</v>
      </c>
      <c r="B412">
        <v>5665</v>
      </c>
      <c r="C412" s="188">
        <v>0</v>
      </c>
      <c r="D412" s="188">
        <v>0</v>
      </c>
    </row>
    <row r="413" spans="1:4">
      <c r="A413" s="187">
        <v>39142</v>
      </c>
      <c r="B413">
        <v>4791</v>
      </c>
      <c r="C413" s="188">
        <v>0</v>
      </c>
      <c r="D413" s="188">
        <v>0</v>
      </c>
    </row>
    <row r="414" spans="1:4">
      <c r="A414" s="187">
        <v>39173</v>
      </c>
      <c r="B414">
        <v>5016</v>
      </c>
      <c r="C414" s="188">
        <v>0</v>
      </c>
      <c r="D414" s="188">
        <v>0</v>
      </c>
    </row>
    <row r="415" spans="1:4">
      <c r="A415" s="187">
        <v>39203</v>
      </c>
      <c r="B415">
        <v>7028</v>
      </c>
      <c r="C415" s="188">
        <v>0</v>
      </c>
      <c r="D415" s="188">
        <v>0</v>
      </c>
    </row>
    <row r="416" spans="1:4">
      <c r="A416" s="187">
        <v>39234</v>
      </c>
      <c r="B416">
        <v>7541</v>
      </c>
      <c r="C416" s="188">
        <v>0</v>
      </c>
      <c r="D416" s="188">
        <v>0</v>
      </c>
    </row>
    <row r="417" spans="1:4">
      <c r="A417" s="187">
        <v>39264</v>
      </c>
      <c r="B417">
        <v>7583</v>
      </c>
      <c r="C417" s="188">
        <v>0</v>
      </c>
      <c r="D417" s="188">
        <v>0</v>
      </c>
    </row>
    <row r="418" spans="1:4">
      <c r="A418" s="187">
        <v>39295</v>
      </c>
      <c r="B418">
        <v>9749</v>
      </c>
      <c r="C418" s="188">
        <v>0</v>
      </c>
      <c r="D418" s="188">
        <v>0</v>
      </c>
    </row>
    <row r="419" spans="1:4">
      <c r="A419" s="187">
        <v>39326</v>
      </c>
      <c r="B419">
        <v>8345</v>
      </c>
      <c r="C419" s="188">
        <v>0</v>
      </c>
      <c r="D419" s="188">
        <v>0</v>
      </c>
    </row>
    <row r="420" spans="1:4">
      <c r="A420" s="187">
        <v>39356</v>
      </c>
      <c r="B420">
        <v>8593</v>
      </c>
      <c r="C420" s="188">
        <v>0</v>
      </c>
      <c r="D420" s="188">
        <v>0</v>
      </c>
    </row>
    <row r="421" spans="1:4">
      <c r="A421" s="187">
        <v>39387</v>
      </c>
      <c r="B421">
        <v>13105</v>
      </c>
      <c r="C421" s="188">
        <v>0</v>
      </c>
      <c r="D421" s="188">
        <v>0</v>
      </c>
    </row>
    <row r="422" spans="1:4">
      <c r="A422" s="187">
        <v>39417</v>
      </c>
      <c r="B422">
        <v>12463</v>
      </c>
      <c r="C422" s="188">
        <v>0</v>
      </c>
      <c r="D422" s="188">
        <v>0</v>
      </c>
    </row>
    <row r="423" spans="1:4">
      <c r="A423" s="187">
        <v>39448</v>
      </c>
      <c r="B423">
        <v>10632</v>
      </c>
      <c r="C423" s="188">
        <v>0</v>
      </c>
      <c r="D423" s="188">
        <v>0</v>
      </c>
    </row>
    <row r="424" spans="1:4">
      <c r="A424" s="187">
        <v>39479</v>
      </c>
      <c r="B424">
        <v>11808</v>
      </c>
      <c r="C424" s="188">
        <v>0</v>
      </c>
      <c r="D424" s="188">
        <v>0</v>
      </c>
    </row>
    <row r="425" spans="1:4">
      <c r="A425" s="187">
        <v>39508</v>
      </c>
      <c r="B425">
        <v>11110</v>
      </c>
      <c r="C425" s="188">
        <v>0</v>
      </c>
      <c r="D425" s="188">
        <v>0</v>
      </c>
    </row>
    <row r="426" spans="1:4">
      <c r="A426" s="187">
        <v>39539</v>
      </c>
      <c r="B426">
        <v>14169</v>
      </c>
      <c r="C426" s="188">
        <v>0</v>
      </c>
      <c r="D426" s="188">
        <v>0</v>
      </c>
    </row>
    <row r="427" spans="1:4">
      <c r="A427" s="187">
        <v>39569</v>
      </c>
      <c r="B427">
        <v>15326</v>
      </c>
      <c r="C427" s="188">
        <v>0</v>
      </c>
      <c r="D427" s="188">
        <v>0</v>
      </c>
    </row>
    <row r="428" spans="1:4">
      <c r="A428" s="187">
        <v>39600</v>
      </c>
      <c r="B428">
        <v>22364</v>
      </c>
      <c r="C428" s="188">
        <v>0</v>
      </c>
      <c r="D428" s="188">
        <v>0</v>
      </c>
    </row>
    <row r="429" spans="1:4">
      <c r="A429" s="187">
        <v>39630</v>
      </c>
      <c r="B429">
        <v>22302</v>
      </c>
      <c r="C429" s="188">
        <v>0</v>
      </c>
      <c r="D429" s="188">
        <v>0</v>
      </c>
    </row>
    <row r="430" spans="1:4">
      <c r="A430" s="187">
        <v>39661</v>
      </c>
      <c r="B430">
        <v>26329</v>
      </c>
      <c r="C430" s="188">
        <v>0</v>
      </c>
      <c r="D430" s="188">
        <v>0</v>
      </c>
    </row>
    <row r="431" spans="1:4">
      <c r="A431" s="187">
        <v>39692</v>
      </c>
      <c r="B431">
        <v>9380</v>
      </c>
      <c r="C431" s="188">
        <v>0</v>
      </c>
      <c r="D431" s="188">
        <v>0</v>
      </c>
    </row>
    <row r="432" spans="1:4">
      <c r="A432" s="187">
        <v>39722</v>
      </c>
      <c r="B432">
        <v>13078</v>
      </c>
      <c r="C432" s="188">
        <v>0</v>
      </c>
      <c r="D432" s="188">
        <v>0</v>
      </c>
    </row>
    <row r="433" spans="1:4">
      <c r="A433" s="187">
        <v>39753</v>
      </c>
      <c r="B433">
        <v>16318</v>
      </c>
      <c r="C433" s="188">
        <v>0</v>
      </c>
      <c r="D433" s="188">
        <v>0</v>
      </c>
    </row>
    <row r="434" spans="1:4">
      <c r="A434" s="187">
        <v>39783</v>
      </c>
      <c r="B434">
        <v>20560</v>
      </c>
      <c r="C434" s="188">
        <v>0</v>
      </c>
      <c r="D434" s="188">
        <v>0</v>
      </c>
    </row>
    <row r="435" spans="1:4">
      <c r="A435" s="187">
        <v>39814</v>
      </c>
      <c r="B435">
        <v>20046</v>
      </c>
      <c r="C435" s="188">
        <v>0</v>
      </c>
      <c r="D435" s="188">
        <v>0</v>
      </c>
    </row>
    <row r="436" spans="1:4">
      <c r="A436" s="187">
        <v>39845</v>
      </c>
      <c r="B436">
        <v>15081</v>
      </c>
      <c r="C436" s="188">
        <v>0</v>
      </c>
      <c r="D436" s="188">
        <v>0</v>
      </c>
    </row>
    <row r="437" spans="1:4">
      <c r="A437" s="187">
        <v>39873</v>
      </c>
      <c r="B437">
        <v>17190</v>
      </c>
      <c r="C437" s="188">
        <v>0</v>
      </c>
      <c r="D437" s="188">
        <v>0</v>
      </c>
    </row>
    <row r="438" spans="1:4">
      <c r="A438" s="187">
        <v>39904</v>
      </c>
      <c r="B438">
        <v>20531</v>
      </c>
      <c r="C438" s="188">
        <v>0</v>
      </c>
      <c r="D438" s="188">
        <v>0</v>
      </c>
    </row>
    <row r="439" spans="1:4">
      <c r="A439" s="187">
        <v>39934</v>
      </c>
      <c r="B439">
        <v>20099</v>
      </c>
      <c r="C439" s="188">
        <v>0</v>
      </c>
      <c r="D439" s="188">
        <v>0</v>
      </c>
    </row>
    <row r="440" spans="1:4">
      <c r="A440" s="187">
        <v>39965</v>
      </c>
      <c r="B440">
        <v>17352</v>
      </c>
      <c r="C440" s="188">
        <v>0</v>
      </c>
      <c r="D440" s="188">
        <v>0</v>
      </c>
    </row>
    <row r="441" spans="1:4">
      <c r="A441" s="187">
        <v>39995</v>
      </c>
      <c r="B441">
        <v>19277</v>
      </c>
      <c r="C441" s="188">
        <v>0</v>
      </c>
      <c r="D441" s="188">
        <v>0</v>
      </c>
    </row>
    <row r="442" spans="1:4">
      <c r="A442" s="187">
        <v>40026</v>
      </c>
      <c r="B442">
        <v>19120</v>
      </c>
      <c r="C442" s="188">
        <v>0</v>
      </c>
      <c r="D442" s="188">
        <v>0</v>
      </c>
    </row>
    <row r="443" spans="1:4">
      <c r="A443" s="187">
        <v>40057</v>
      </c>
      <c r="B443">
        <v>18219</v>
      </c>
      <c r="C443" s="188">
        <v>0</v>
      </c>
      <c r="D443" s="188">
        <v>0</v>
      </c>
    </row>
    <row r="444" spans="1:4">
      <c r="A444" s="187">
        <v>40087</v>
      </c>
      <c r="B444">
        <v>17280</v>
      </c>
      <c r="C444" s="188">
        <v>0</v>
      </c>
      <c r="D444" s="188">
        <v>0</v>
      </c>
    </row>
    <row r="445" spans="1:4">
      <c r="A445" s="187">
        <v>40118</v>
      </c>
      <c r="B445">
        <v>17634</v>
      </c>
      <c r="C445" s="188">
        <v>0</v>
      </c>
      <c r="D445" s="188">
        <v>0</v>
      </c>
    </row>
    <row r="446" spans="1:4">
      <c r="A446" s="187">
        <v>40148</v>
      </c>
      <c r="B446">
        <v>12581</v>
      </c>
      <c r="C446" s="188">
        <v>0</v>
      </c>
      <c r="D446" s="188">
        <v>0</v>
      </c>
    </row>
    <row r="447" spans="1:4">
      <c r="A447" s="187">
        <v>40179</v>
      </c>
      <c r="B447">
        <v>12126</v>
      </c>
      <c r="C447" s="188">
        <v>0</v>
      </c>
      <c r="D447" s="188">
        <v>0</v>
      </c>
    </row>
    <row r="448" spans="1:4">
      <c r="A448" s="187">
        <v>40210</v>
      </c>
      <c r="B448">
        <v>10896</v>
      </c>
      <c r="C448" s="188">
        <v>0</v>
      </c>
      <c r="D448" s="188">
        <v>0</v>
      </c>
    </row>
    <row r="449" spans="1:4">
      <c r="A449" s="187">
        <v>40238</v>
      </c>
      <c r="B449">
        <v>14073</v>
      </c>
      <c r="C449" s="188">
        <v>0</v>
      </c>
      <c r="D449" s="188">
        <v>0</v>
      </c>
    </row>
    <row r="450" spans="1:4">
      <c r="A450" s="187">
        <v>40269</v>
      </c>
      <c r="B450">
        <v>20552</v>
      </c>
      <c r="C450" s="188">
        <v>0</v>
      </c>
      <c r="D450" s="188">
        <v>0</v>
      </c>
    </row>
    <row r="451" spans="1:4">
      <c r="A451" s="187">
        <v>40299</v>
      </c>
      <c r="B451">
        <v>23428</v>
      </c>
      <c r="C451" s="188">
        <v>0</v>
      </c>
      <c r="D451" s="188">
        <v>0</v>
      </c>
    </row>
    <row r="452" spans="1:4">
      <c r="A452" s="187">
        <v>40330</v>
      </c>
      <c r="B452">
        <v>19153</v>
      </c>
      <c r="C452" s="188">
        <v>0</v>
      </c>
      <c r="D452" s="188">
        <v>0</v>
      </c>
    </row>
    <row r="453" spans="1:4">
      <c r="A453" s="187">
        <v>40360</v>
      </c>
      <c r="B453">
        <v>23893</v>
      </c>
      <c r="C453" s="188">
        <v>0</v>
      </c>
      <c r="D453" s="188">
        <v>0</v>
      </c>
    </row>
    <row r="454" spans="1:4">
      <c r="A454" s="187">
        <v>40391</v>
      </c>
      <c r="B454">
        <v>21734</v>
      </c>
      <c r="C454" s="188">
        <v>0</v>
      </c>
      <c r="D454" s="188">
        <v>0</v>
      </c>
    </row>
    <row r="455" spans="1:4">
      <c r="A455" s="187">
        <v>40422</v>
      </c>
      <c r="B455">
        <v>22936</v>
      </c>
      <c r="C455" s="188">
        <v>0</v>
      </c>
      <c r="D455" s="188">
        <v>0</v>
      </c>
    </row>
    <row r="456" spans="1:4">
      <c r="A456" s="187">
        <v>40452</v>
      </c>
      <c r="B456">
        <v>27107</v>
      </c>
      <c r="C456" s="188">
        <v>0</v>
      </c>
      <c r="D456" s="188">
        <v>0</v>
      </c>
    </row>
    <row r="457" spans="1:4">
      <c r="A457" s="187">
        <v>40483</v>
      </c>
      <c r="B457">
        <v>23737</v>
      </c>
      <c r="C457" s="188">
        <v>0</v>
      </c>
      <c r="D457" s="188">
        <v>0</v>
      </c>
    </row>
    <row r="458" spans="1:4">
      <c r="A458" s="187">
        <v>40513</v>
      </c>
      <c r="B458">
        <v>19791</v>
      </c>
      <c r="C458" s="188">
        <v>0</v>
      </c>
      <c r="D458" s="188">
        <v>0</v>
      </c>
    </row>
    <row r="459" spans="1:4">
      <c r="A459" s="187">
        <v>40544</v>
      </c>
      <c r="B459">
        <v>22774</v>
      </c>
      <c r="C459" s="188">
        <v>0</v>
      </c>
      <c r="D459" s="188">
        <v>0</v>
      </c>
    </row>
    <row r="460" spans="1:4">
      <c r="A460" s="187">
        <v>40575</v>
      </c>
      <c r="B460">
        <v>18666</v>
      </c>
      <c r="C460" s="188">
        <v>0</v>
      </c>
      <c r="D460" s="188">
        <v>0</v>
      </c>
    </row>
    <row r="461" spans="1:4">
      <c r="A461" s="187">
        <v>40603</v>
      </c>
      <c r="B461">
        <v>20182</v>
      </c>
      <c r="C461" s="188">
        <v>0</v>
      </c>
      <c r="D461" s="188">
        <v>0</v>
      </c>
    </row>
    <row r="462" spans="1:4">
      <c r="A462" s="187">
        <v>40634</v>
      </c>
      <c r="B462">
        <v>26191</v>
      </c>
      <c r="C462" s="188">
        <v>0</v>
      </c>
      <c r="D462" s="188">
        <v>0</v>
      </c>
    </row>
    <row r="463" spans="1:4">
      <c r="A463" s="187">
        <v>40664</v>
      </c>
      <c r="B463">
        <v>22569</v>
      </c>
      <c r="C463" s="188">
        <v>0</v>
      </c>
      <c r="D463" s="188">
        <v>0</v>
      </c>
    </row>
    <row r="464" spans="1:4">
      <c r="A464" s="187">
        <v>40695</v>
      </c>
      <c r="B464">
        <v>21771</v>
      </c>
      <c r="C464" s="188">
        <v>0</v>
      </c>
      <c r="D464" s="188">
        <v>0</v>
      </c>
    </row>
    <row r="465" spans="1:4">
      <c r="A465" s="187">
        <v>40725</v>
      </c>
      <c r="B465">
        <v>29464</v>
      </c>
      <c r="C465" s="188">
        <v>0</v>
      </c>
      <c r="D465" s="188">
        <v>0</v>
      </c>
    </row>
    <row r="466" spans="1:4">
      <c r="A466" s="187">
        <v>40756</v>
      </c>
      <c r="B466">
        <v>25886</v>
      </c>
      <c r="C466" s="188">
        <v>0</v>
      </c>
      <c r="D466" s="188">
        <v>0</v>
      </c>
    </row>
    <row r="467" spans="1:4">
      <c r="A467" s="187">
        <v>40787</v>
      </c>
      <c r="B467">
        <v>27925</v>
      </c>
      <c r="C467" s="188">
        <v>0</v>
      </c>
      <c r="D467" s="188">
        <v>0</v>
      </c>
    </row>
    <row r="468" spans="1:4">
      <c r="A468" s="187">
        <v>40817</v>
      </c>
      <c r="B468">
        <v>33064</v>
      </c>
      <c r="C468" s="188">
        <v>0</v>
      </c>
      <c r="D468" s="188">
        <v>0</v>
      </c>
    </row>
    <row r="469" spans="1:4">
      <c r="A469" s="187">
        <v>40848</v>
      </c>
      <c r="B469">
        <v>28286</v>
      </c>
      <c r="C469" s="188">
        <v>0</v>
      </c>
      <c r="D469" s="188">
        <v>0</v>
      </c>
    </row>
    <row r="470" spans="1:4">
      <c r="A470" s="187">
        <v>40878</v>
      </c>
      <c r="B470">
        <v>34969</v>
      </c>
      <c r="C470" s="188">
        <v>0</v>
      </c>
      <c r="D470" s="188">
        <v>0</v>
      </c>
    </row>
    <row r="471" spans="1:4">
      <c r="A471" s="187">
        <v>40909</v>
      </c>
      <c r="B471">
        <v>27049</v>
      </c>
      <c r="C471" s="188">
        <f>619690*(42/1000000)</f>
        <v>26.026979999999998</v>
      </c>
      <c r="D471" s="188">
        <v>4472.6639999999998</v>
      </c>
    </row>
    <row r="472" spans="1:4">
      <c r="A472" s="187">
        <v>40940</v>
      </c>
      <c r="B472">
        <v>26880</v>
      </c>
      <c r="C472" s="188">
        <f>561960*(42/1000000)</f>
        <v>23.602319999999999</v>
      </c>
      <c r="D472" s="188">
        <v>1059.2819999999999</v>
      </c>
    </row>
    <row r="473" spans="1:4">
      <c r="A473" s="187">
        <v>40969</v>
      </c>
      <c r="B473">
        <v>28243</v>
      </c>
      <c r="C473" s="188">
        <f>706529*(42/1000000)</f>
        <v>29.674218</v>
      </c>
      <c r="D473" s="188">
        <v>13633.031999999999</v>
      </c>
    </row>
    <row r="474" spans="1:4">
      <c r="A474" s="187">
        <v>41000</v>
      </c>
      <c r="B474">
        <v>32346</v>
      </c>
      <c r="C474" s="188">
        <f>384257*(42/1000000)</f>
        <v>16.138794000000001</v>
      </c>
      <c r="D474" s="188">
        <v>2672.2919999999999</v>
      </c>
    </row>
    <row r="475" spans="1:4">
      <c r="A475" s="187">
        <v>41030</v>
      </c>
      <c r="B475">
        <v>32623</v>
      </c>
      <c r="C475" s="188">
        <f>597851*(42/1000000)</f>
        <v>25.109741999999997</v>
      </c>
      <c r="D475" s="188">
        <v>35.448</v>
      </c>
    </row>
    <row r="476" spans="1:4">
      <c r="A476" s="187">
        <v>41061</v>
      </c>
      <c r="B476">
        <v>32592</v>
      </c>
      <c r="C476" s="188">
        <f>457725*(42/1000000)</f>
        <v>19.224449999999997</v>
      </c>
      <c r="D476" s="188">
        <v>1302</v>
      </c>
    </row>
    <row r="477" spans="1:4">
      <c r="A477" s="187">
        <v>41091</v>
      </c>
      <c r="B477">
        <v>32425</v>
      </c>
      <c r="C477" s="188">
        <f>533061*(42/1000000)</f>
        <v>22.388562</v>
      </c>
      <c r="D477" s="188">
        <v>160.524</v>
      </c>
    </row>
    <row r="478" spans="1:4">
      <c r="A478" s="187">
        <v>41122</v>
      </c>
      <c r="B478">
        <v>30352</v>
      </c>
      <c r="C478" s="188">
        <f>684342*(42/1000000)</f>
        <v>28.742363999999998</v>
      </c>
      <c r="D478" s="188">
        <v>17.681999999999999</v>
      </c>
    </row>
    <row r="479" spans="1:4">
      <c r="A479" s="187">
        <v>41153</v>
      </c>
      <c r="B479">
        <v>30099</v>
      </c>
      <c r="C479" s="188">
        <f>638486*(42/1000000)</f>
        <v>26.816412</v>
      </c>
      <c r="D479" s="188">
        <v>1048.7819999999999</v>
      </c>
    </row>
    <row r="480" spans="1:4">
      <c r="A480" s="187">
        <v>41183</v>
      </c>
      <c r="B480">
        <v>32471</v>
      </c>
      <c r="C480" s="188">
        <f>1382005*(42/1000000)</f>
        <v>58.04421</v>
      </c>
      <c r="D480" s="188">
        <v>27867.966</v>
      </c>
    </row>
    <row r="481" spans="1:4">
      <c r="A481" s="187">
        <v>41214</v>
      </c>
      <c r="B481">
        <v>31828</v>
      </c>
      <c r="C481" s="188">
        <f>614453*(42/1000000)</f>
        <v>25.807025999999997</v>
      </c>
      <c r="D481" s="188">
        <v>773.89200000000005</v>
      </c>
    </row>
    <row r="482" spans="1:4">
      <c r="A482" s="187">
        <v>41244</v>
      </c>
      <c r="B482">
        <v>31724</v>
      </c>
      <c r="C482" s="188">
        <f>1445157*(42/1000000)</f>
        <v>60.696593999999997</v>
      </c>
      <c r="D482" s="188">
        <v>38389.512000000002</v>
      </c>
    </row>
    <row r="483" spans="1:4">
      <c r="A483" s="187">
        <v>41275</v>
      </c>
      <c r="B483">
        <v>23996</v>
      </c>
      <c r="C483" s="188">
        <f>395340*(42/1000000)</f>
        <v>16.604279999999999</v>
      </c>
      <c r="D483" s="188">
        <v>1581.384</v>
      </c>
    </row>
    <row r="484" spans="1:4">
      <c r="A484" s="187">
        <v>41306</v>
      </c>
      <c r="B484">
        <v>23329</v>
      </c>
      <c r="C484" s="188">
        <f>628729*(42/1000000)</f>
        <v>26.406617999999998</v>
      </c>
      <c r="D484" s="188">
        <v>6298.4880000000003</v>
      </c>
    </row>
    <row r="485" spans="1:4">
      <c r="A485" s="187">
        <v>41334</v>
      </c>
      <c r="B485">
        <v>25032</v>
      </c>
      <c r="C485" s="188">
        <f>2093440*(42/1000000)</f>
        <v>87.924479999999988</v>
      </c>
      <c r="D485" s="188">
        <v>61531.091999999997</v>
      </c>
    </row>
    <row r="486" spans="1:4">
      <c r="A486" s="187">
        <v>41365</v>
      </c>
      <c r="B486">
        <v>25297</v>
      </c>
      <c r="C486" s="188">
        <f>691515*(42/1000000)</f>
        <v>29.043629999999997</v>
      </c>
      <c r="D486" s="188">
        <v>23.352</v>
      </c>
    </row>
    <row r="487" spans="1:4">
      <c r="A487" s="187">
        <v>41395</v>
      </c>
      <c r="B487">
        <v>34823</v>
      </c>
      <c r="C487" s="188">
        <f>1064439*(42/1000000)</f>
        <v>44.706437999999999</v>
      </c>
      <c r="D487" s="188">
        <v>20224.554</v>
      </c>
    </row>
    <row r="488" spans="1:4">
      <c r="A488" s="187">
        <v>41426</v>
      </c>
      <c r="B488">
        <v>38771</v>
      </c>
      <c r="C488" s="188">
        <f>1351826*(42/1000000)</f>
        <v>56.776691999999997</v>
      </c>
      <c r="D488" s="188">
        <v>21622.44</v>
      </c>
    </row>
    <row r="489" spans="1:4">
      <c r="A489" s="187">
        <v>41456</v>
      </c>
      <c r="B489">
        <v>41871</v>
      </c>
      <c r="C489" s="188">
        <f>1347504*(42/1000000)</f>
        <v>56.595167999999994</v>
      </c>
      <c r="D489" s="188">
        <v>1393.35</v>
      </c>
    </row>
    <row r="490" spans="1:4">
      <c r="A490" s="187">
        <v>41487</v>
      </c>
      <c r="B490">
        <v>40548</v>
      </c>
      <c r="C490" s="188">
        <f>1108792*(42/1000000)</f>
        <v>46.569263999999997</v>
      </c>
      <c r="D490" s="188">
        <v>54.81</v>
      </c>
    </row>
    <row r="491" spans="1:4">
      <c r="A491" s="187">
        <v>41518</v>
      </c>
      <c r="B491">
        <v>40543</v>
      </c>
      <c r="C491" s="188">
        <f>1340702*(42/1000000)</f>
        <v>56.309483999999998</v>
      </c>
      <c r="D491" s="188">
        <v>32947.404000000002</v>
      </c>
    </row>
    <row r="492" spans="1:4">
      <c r="A492" s="187">
        <v>41548</v>
      </c>
      <c r="B492">
        <v>41958</v>
      </c>
      <c r="C492" s="188">
        <f>1902162*(42/1000000)</f>
        <v>79.890803999999989</v>
      </c>
      <c r="D492" s="188">
        <v>49508.004000000001</v>
      </c>
    </row>
    <row r="493" spans="1:4">
      <c r="A493" s="187">
        <v>41579</v>
      </c>
      <c r="B493">
        <v>38029</v>
      </c>
      <c r="C493" s="188">
        <f>865483*(42/1000000)</f>
        <v>36.350285999999997</v>
      </c>
      <c r="D493" s="188">
        <v>18530.946</v>
      </c>
    </row>
    <row r="494" spans="1:4">
      <c r="A494" s="187">
        <v>41609</v>
      </c>
      <c r="B494">
        <v>39691</v>
      </c>
      <c r="C494" s="188">
        <f>868861*(42/1000000)</f>
        <v>36.492162</v>
      </c>
      <c r="D494" s="188">
        <v>18210.948</v>
      </c>
    </row>
    <row r="495" spans="1:4">
      <c r="A495" s="187">
        <v>41640</v>
      </c>
      <c r="B495">
        <v>33099</v>
      </c>
      <c r="C495" s="188">
        <f>634985*(42/1000000)</f>
        <v>26.669369999999997</v>
      </c>
      <c r="D495" s="188">
        <v>5395.6559999999999</v>
      </c>
    </row>
    <row r="496" spans="1:4">
      <c r="A496" s="187">
        <v>41671</v>
      </c>
      <c r="B496">
        <v>23870</v>
      </c>
      <c r="C496" s="188">
        <f>372585*(42/1000000)</f>
        <v>15.648569999999999</v>
      </c>
      <c r="D496" s="188">
        <v>28.896000000000001</v>
      </c>
    </row>
    <row r="497" spans="1:4">
      <c r="A497" s="187">
        <v>41699</v>
      </c>
      <c r="B497">
        <v>31432</v>
      </c>
      <c r="C497" s="188">
        <f>1025680*(42/1000000)</f>
        <v>43.078559999999996</v>
      </c>
      <c r="D497" s="188">
        <v>29392.482</v>
      </c>
    </row>
    <row r="498" spans="1:4">
      <c r="A498" s="187">
        <v>41730</v>
      </c>
      <c r="B498">
        <v>34850</v>
      </c>
      <c r="C498" s="188">
        <f>279152*(42/1000000)</f>
        <v>11.724383999999999</v>
      </c>
      <c r="D498" s="188">
        <v>27.3</v>
      </c>
    </row>
    <row r="499" spans="1:4">
      <c r="A499" s="187">
        <v>41760</v>
      </c>
      <c r="B499">
        <v>36009</v>
      </c>
      <c r="C499" s="188">
        <f>1237081*(42/1000000)</f>
        <v>51.957401999999995</v>
      </c>
      <c r="D499" s="188">
        <v>33625.536</v>
      </c>
    </row>
    <row r="500" spans="1:4">
      <c r="A500" s="187">
        <v>41791</v>
      </c>
      <c r="B500">
        <v>35106</v>
      </c>
      <c r="C500" s="188">
        <f>289287*(42/1000000)</f>
        <v>12.150053999999999</v>
      </c>
      <c r="D500" s="188">
        <v>183.16200000000001</v>
      </c>
    </row>
    <row r="501" spans="1:4">
      <c r="A501" s="187">
        <v>41821</v>
      </c>
      <c r="B501">
        <v>37412</v>
      </c>
      <c r="C501" s="188">
        <f>340828*(42/1000000)</f>
        <v>14.314775999999998</v>
      </c>
      <c r="D501" s="188">
        <v>408.57600000000002</v>
      </c>
    </row>
    <row r="502" spans="1:4">
      <c r="A502" s="187">
        <v>41852</v>
      </c>
      <c r="B502">
        <v>40032</v>
      </c>
      <c r="C502" s="188">
        <f>1030428*(42/1000000)</f>
        <v>43.277975999999995</v>
      </c>
      <c r="D502" s="188">
        <v>31401.383999999998</v>
      </c>
    </row>
    <row r="503" spans="1:4">
      <c r="A503" s="187">
        <v>41883</v>
      </c>
      <c r="B503">
        <v>32909</v>
      </c>
      <c r="C503" s="188">
        <f>1102902*(42/1000000)</f>
        <v>46.321883999999997</v>
      </c>
      <c r="D503" s="188">
        <v>33375.048000000003</v>
      </c>
    </row>
    <row r="504" spans="1:4">
      <c r="A504" s="187">
        <v>41913</v>
      </c>
      <c r="B504">
        <v>28803</v>
      </c>
      <c r="C504" s="188">
        <f>789743*(42/1000000)</f>
        <v>33.169205999999996</v>
      </c>
      <c r="D504" s="188">
        <v>20119.932000000001</v>
      </c>
    </row>
    <row r="505" spans="1:4">
      <c r="A505" s="187">
        <v>41944</v>
      </c>
      <c r="B505">
        <v>33030</v>
      </c>
      <c r="C505" s="188">
        <f>1505470*(42/1000000)</f>
        <v>63.22974</v>
      </c>
      <c r="D505" s="188">
        <v>52469.843999999997</v>
      </c>
    </row>
    <row r="506" spans="1:4">
      <c r="A506" s="187">
        <v>41974</v>
      </c>
      <c r="B506">
        <v>35324</v>
      </c>
      <c r="C506" s="188">
        <f>908266*(42/1000000)</f>
        <v>38.147171999999998</v>
      </c>
      <c r="D506" s="188">
        <v>23432.556</v>
      </c>
    </row>
    <row r="507" spans="1:4">
      <c r="A507" s="187">
        <v>42005</v>
      </c>
      <c r="B507">
        <v>34748</v>
      </c>
      <c r="C507" s="188">
        <f>611885*(42/1000000)</f>
        <v>25.699169999999999</v>
      </c>
      <c r="D507" s="188">
        <v>12489.162</v>
      </c>
    </row>
    <row r="508" spans="1:4">
      <c r="A508" s="187">
        <v>42036</v>
      </c>
      <c r="B508">
        <v>26410</v>
      </c>
      <c r="C508" s="188">
        <f>1166880*(42/1000000)</f>
        <v>49.008959999999995</v>
      </c>
      <c r="D508" s="188">
        <v>35519.442000000003</v>
      </c>
    </row>
    <row r="509" spans="1:4">
      <c r="A509" s="187">
        <v>42064</v>
      </c>
      <c r="B509">
        <v>31549</v>
      </c>
      <c r="C509" s="188">
        <f>1610845*(42/1000000)</f>
        <v>67.65549</v>
      </c>
      <c r="D509" s="188">
        <v>23405.214</v>
      </c>
    </row>
    <row r="510" spans="1:4">
      <c r="A510" s="187">
        <v>42095</v>
      </c>
      <c r="B510">
        <v>36575</v>
      </c>
      <c r="C510" s="188">
        <f>870742*(42/1000000)</f>
        <v>36.571163999999996</v>
      </c>
      <c r="D510" s="188">
        <v>19980.324000000001</v>
      </c>
    </row>
    <row r="511" spans="1:4">
      <c r="A511" s="187">
        <v>42125</v>
      </c>
      <c r="B511">
        <v>39694</v>
      </c>
      <c r="C511" s="188">
        <f>1018473*(42/1000000)</f>
        <v>42.775866000000001</v>
      </c>
      <c r="D511" s="188">
        <v>2539.866</v>
      </c>
    </row>
    <row r="512" spans="1:4">
      <c r="A512" s="187">
        <v>42156</v>
      </c>
      <c r="B512">
        <v>36293</v>
      </c>
      <c r="C512" s="188">
        <f>1126104*(42/1000000)</f>
        <v>47.296367999999994</v>
      </c>
      <c r="D512" s="188">
        <v>21355.362000000001</v>
      </c>
    </row>
    <row r="513" spans="1:4">
      <c r="A513" s="187">
        <v>42186</v>
      </c>
      <c r="B513">
        <v>41176</v>
      </c>
      <c r="C513" s="188">
        <f>1503999*(42/1000000)</f>
        <v>63.167957999999999</v>
      </c>
      <c r="D513" s="188">
        <v>31238.34</v>
      </c>
    </row>
    <row r="514" spans="1:4">
      <c r="A514" s="187">
        <v>42217</v>
      </c>
      <c r="B514">
        <v>33051</v>
      </c>
      <c r="C514" s="188">
        <f>1048393*(42/1000000)</f>
        <v>44.032505999999998</v>
      </c>
      <c r="D514" s="188">
        <v>3718.89</v>
      </c>
    </row>
    <row r="515" spans="1:4">
      <c r="A515" s="187">
        <v>42248</v>
      </c>
      <c r="B515">
        <v>38304</v>
      </c>
      <c r="C515" s="188">
        <f>1311677*(42/1000000)</f>
        <v>55.090433999999995</v>
      </c>
      <c r="D515" s="188">
        <v>27118.896000000001</v>
      </c>
    </row>
    <row r="516" spans="1:4">
      <c r="A516" s="187">
        <v>42278</v>
      </c>
      <c r="B516">
        <v>35640</v>
      </c>
      <c r="C516" s="188">
        <f>848401*(42/1000000)</f>
        <v>35.632841999999997</v>
      </c>
      <c r="D516" s="188">
        <v>36.75</v>
      </c>
    </row>
    <row r="517" spans="1:4">
      <c r="A517" s="187">
        <v>42309</v>
      </c>
      <c r="B517">
        <v>35341</v>
      </c>
      <c r="C517" s="188">
        <f>664091*(42/1000000)</f>
        <v>27.891821999999998</v>
      </c>
      <c r="D517" s="188">
        <v>43.386000000000003</v>
      </c>
    </row>
    <row r="518" spans="1:4">
      <c r="A518" s="187">
        <v>42339</v>
      </c>
      <c r="B518">
        <v>40295</v>
      </c>
      <c r="C518" s="188">
        <f>703084*(42/1000000)</f>
        <v>29.529527999999999</v>
      </c>
      <c r="D518" s="188">
        <v>39.606000000000002</v>
      </c>
    </row>
    <row r="519" spans="1:4">
      <c r="A519" s="187">
        <v>42370</v>
      </c>
      <c r="B519">
        <v>28479</v>
      </c>
      <c r="C519" s="188">
        <f>652865*(42/1000000)</f>
        <v>27.42033</v>
      </c>
      <c r="D519" s="188">
        <v>5786.0879999999997</v>
      </c>
    </row>
    <row r="520" spans="1:4">
      <c r="A520" s="187">
        <v>42401</v>
      </c>
      <c r="B520">
        <v>25982</v>
      </c>
      <c r="C520" s="188">
        <f>712805*(42/1000000)</f>
        <v>29.937809999999999</v>
      </c>
      <c r="D520" s="188">
        <v>3757.9920000000002</v>
      </c>
    </row>
    <row r="521" spans="1:4">
      <c r="A521" s="187">
        <v>42430</v>
      </c>
      <c r="B521">
        <v>36891</v>
      </c>
      <c r="C521" s="188">
        <f>993833*(42/1000000)</f>
        <v>41.740985999999999</v>
      </c>
      <c r="D521" s="188">
        <v>176.946</v>
      </c>
    </row>
    <row r="522" spans="1:4">
      <c r="A522" s="187">
        <v>42461</v>
      </c>
      <c r="B522">
        <v>38476</v>
      </c>
      <c r="C522" s="188">
        <f>1630633*(42/1000000)</f>
        <v>68.486586000000003</v>
      </c>
      <c r="D522" s="188">
        <v>19839.204000000002</v>
      </c>
    </row>
    <row r="523" spans="1:4">
      <c r="A523" s="187">
        <v>42491</v>
      </c>
      <c r="B523">
        <v>38286</v>
      </c>
      <c r="C523" s="188">
        <f>2203571*(42/1000000)</f>
        <v>92.549982</v>
      </c>
      <c r="D523" s="188">
        <v>15839.544</v>
      </c>
    </row>
    <row r="524" spans="1:4">
      <c r="A524" s="187">
        <v>42522</v>
      </c>
      <c r="B524">
        <v>43295</v>
      </c>
      <c r="C524" s="188">
        <f>1459833*(42/1000000)</f>
        <v>61.312985999999995</v>
      </c>
      <c r="D524" s="188">
        <v>6105.2879999999996</v>
      </c>
    </row>
    <row r="525" spans="1:4">
      <c r="A525" s="187">
        <v>42552</v>
      </c>
      <c r="B525">
        <v>41950</v>
      </c>
      <c r="C525" s="188">
        <f>1102559*(42/1000000)</f>
        <v>46.307477999999996</v>
      </c>
      <c r="D525" s="188">
        <v>16692.689999999999</v>
      </c>
    </row>
    <row r="526" spans="1:4">
      <c r="A526" s="187">
        <v>42583</v>
      </c>
      <c r="B526">
        <v>37557</v>
      </c>
      <c r="C526" s="188">
        <f>1711380*(42/1000000)</f>
        <v>71.877960000000002</v>
      </c>
      <c r="D526" s="188">
        <v>32254.991999999998</v>
      </c>
    </row>
    <row r="527" spans="1:4">
      <c r="A527" s="187">
        <v>42614</v>
      </c>
      <c r="B527">
        <v>36340</v>
      </c>
      <c r="C527" s="188">
        <f>2524111*(42/1000000)</f>
        <v>106.01266199999999</v>
      </c>
      <c r="D527" s="188">
        <v>39501.377999999997</v>
      </c>
    </row>
    <row r="528" spans="1:4">
      <c r="A528" s="187">
        <v>42644</v>
      </c>
      <c r="B528">
        <v>31139</v>
      </c>
      <c r="C528" s="188">
        <f>2013884*(42/1000000)</f>
        <v>84.583128000000002</v>
      </c>
      <c r="D528" s="188">
        <v>18098.766</v>
      </c>
    </row>
    <row r="529" spans="1:4">
      <c r="A529" s="187">
        <v>42675</v>
      </c>
      <c r="B529">
        <v>34937</v>
      </c>
      <c r="C529" s="188">
        <f>2480153*(42/1000000)</f>
        <v>104.166426</v>
      </c>
      <c r="D529" s="188">
        <v>21636.342000000001</v>
      </c>
    </row>
    <row r="530" spans="1:4">
      <c r="A530" s="187">
        <v>42705</v>
      </c>
      <c r="B530">
        <v>38142</v>
      </c>
      <c r="C530" s="188">
        <f>2223265*(42/1000000)</f>
        <v>93.377129999999994</v>
      </c>
      <c r="D530" s="188">
        <v>20490.204000000002</v>
      </c>
    </row>
    <row r="531" spans="1:4">
      <c r="A531" s="187">
        <v>42736</v>
      </c>
      <c r="B531">
        <v>35827</v>
      </c>
      <c r="C531" s="188">
        <f>3057898*(42/1000000)</f>
        <v>128.43171599999999</v>
      </c>
      <c r="D531" s="188">
        <v>44333.184000000001</v>
      </c>
    </row>
    <row r="532" spans="1:4">
      <c r="A532" s="187">
        <v>42767</v>
      </c>
      <c r="B532">
        <v>34628</v>
      </c>
      <c r="C532" s="188">
        <f>2944767*(42/1000000)</f>
        <v>123.68021399999999</v>
      </c>
      <c r="D532" s="188">
        <v>36518.286</v>
      </c>
    </row>
    <row r="533" spans="1:4">
      <c r="A533" s="187">
        <v>42795</v>
      </c>
      <c r="B533">
        <v>36966</v>
      </c>
      <c r="C533" s="188">
        <f>3264156*(42/1000000)</f>
        <v>137.09455199999999</v>
      </c>
      <c r="D533" s="188">
        <v>47956.271999999997</v>
      </c>
    </row>
    <row r="534" spans="1:4">
      <c r="A534" s="187">
        <v>42826</v>
      </c>
      <c r="B534">
        <v>40653</v>
      </c>
      <c r="C534" s="188">
        <f>1904342*(42/1000000)</f>
        <v>79.98236399999999</v>
      </c>
      <c r="D534" s="188">
        <v>13232.183999999999</v>
      </c>
    </row>
    <row r="535" spans="1:4">
      <c r="A535" s="187">
        <v>42856</v>
      </c>
      <c r="B535">
        <v>46813</v>
      </c>
      <c r="C535" s="188">
        <f>3138955*(42/1000000)</f>
        <v>131.83610999999999</v>
      </c>
      <c r="D535" s="188">
        <v>84828.785999999993</v>
      </c>
    </row>
    <row r="536" spans="1:4">
      <c r="A536" s="187">
        <v>42887</v>
      </c>
      <c r="B536">
        <v>48131</v>
      </c>
      <c r="C536" s="188">
        <f>2726572*(42/1000000)</f>
        <v>114.51602399999999</v>
      </c>
      <c r="D536" s="188">
        <v>28887.263999999999</v>
      </c>
    </row>
    <row r="537" spans="1:4">
      <c r="A537" s="187">
        <v>42917</v>
      </c>
      <c r="B537">
        <v>54263</v>
      </c>
      <c r="C537" s="188">
        <f>1860247*(42/1000000)</f>
        <v>78.130373999999989</v>
      </c>
      <c r="D537" s="188">
        <v>17984.777999999998</v>
      </c>
    </row>
    <row r="538" spans="1:4">
      <c r="A538" s="187">
        <v>42948</v>
      </c>
      <c r="B538">
        <v>42795</v>
      </c>
      <c r="C538" s="188">
        <f>2692452*(42/1000000)</f>
        <v>113.082984</v>
      </c>
      <c r="D538" s="188">
        <v>28181.117999999999</v>
      </c>
    </row>
    <row r="539" spans="1:4">
      <c r="A539" s="187">
        <v>42979</v>
      </c>
      <c r="B539">
        <v>35885</v>
      </c>
      <c r="C539" s="188">
        <f>1420824*(42/1000000)</f>
        <v>59.674607999999999</v>
      </c>
      <c r="D539" s="188">
        <v>1376.634</v>
      </c>
    </row>
    <row r="540" spans="1:4">
      <c r="A540" s="187">
        <v>43009</v>
      </c>
      <c r="B540">
        <v>43804</v>
      </c>
      <c r="C540" s="188">
        <f>2412562*(42/1000000)</f>
        <v>101.32760399999999</v>
      </c>
      <c r="D540" s="188">
        <v>55698.887999999999</v>
      </c>
    </row>
    <row r="541" spans="1:4">
      <c r="A541" s="187">
        <v>43040</v>
      </c>
      <c r="B541">
        <v>40742</v>
      </c>
      <c r="C541" s="188">
        <f>1557993*(42/1000000)</f>
        <v>65.435705999999996</v>
      </c>
      <c r="D541" s="188">
        <v>31641.75</v>
      </c>
    </row>
    <row r="542" spans="1:4">
      <c r="A542" s="187">
        <v>43070</v>
      </c>
      <c r="B542">
        <v>43648</v>
      </c>
      <c r="C542" s="188">
        <f>2219301*(42/1000000)</f>
        <v>93.210641999999993</v>
      </c>
      <c r="D542" s="188">
        <v>41948.802000000003</v>
      </c>
    </row>
    <row r="543" spans="1:4">
      <c r="A543" s="187">
        <v>43101</v>
      </c>
      <c r="B543">
        <v>30959</v>
      </c>
      <c r="C543" s="188">
        <f>1101878*(42/1000000)</f>
        <v>46.278875999999997</v>
      </c>
      <c r="D543" s="188">
        <v>21082.362000000001</v>
      </c>
    </row>
    <row r="544" spans="1:4">
      <c r="A544" s="187">
        <v>43132</v>
      </c>
      <c r="B544">
        <v>28954</v>
      </c>
      <c r="C544" s="188">
        <f>933007*(42/1000000)</f>
        <v>39.186293999999997</v>
      </c>
      <c r="D544" s="188">
        <v>12409.11</v>
      </c>
    </row>
    <row r="545" spans="1:4">
      <c r="A545" s="187">
        <v>43160</v>
      </c>
      <c r="B545">
        <v>34968</v>
      </c>
      <c r="C545" s="188">
        <f>1806723*(42/1000000)</f>
        <v>75.88236599999999</v>
      </c>
      <c r="D545" s="188">
        <v>25056.612000000001</v>
      </c>
    </row>
    <row r="546" spans="1:4">
      <c r="A546" s="187">
        <v>43191</v>
      </c>
      <c r="B546">
        <v>43919</v>
      </c>
      <c r="C546" s="188">
        <f>2571438*(42/1000000)</f>
        <v>108.00039599999999</v>
      </c>
      <c r="D546" s="188">
        <v>50342.712</v>
      </c>
    </row>
    <row r="547" spans="1:4">
      <c r="A547" s="187">
        <v>43221</v>
      </c>
      <c r="B547">
        <v>42527</v>
      </c>
      <c r="C547" s="188">
        <f>984110*(42/1000000)</f>
        <v>41.332619999999999</v>
      </c>
      <c r="D547" s="188">
        <v>4805.1360000000004</v>
      </c>
    </row>
    <row r="548" spans="1:4">
      <c r="A548" s="187">
        <v>43252</v>
      </c>
      <c r="B548">
        <v>44016</v>
      </c>
      <c r="C548" s="188">
        <f>783767*(42/1000000)</f>
        <v>32.918213999999999</v>
      </c>
      <c r="D548" s="188">
        <v>7994.8680000000004</v>
      </c>
    </row>
    <row r="549" spans="1:4">
      <c r="A549" s="187">
        <v>43282</v>
      </c>
      <c r="B549">
        <v>40376</v>
      </c>
      <c r="C549" s="188">
        <f>1379888*(42/1000000)</f>
        <v>57.955295999999997</v>
      </c>
      <c r="D549" s="188">
        <v>26369.826000000001</v>
      </c>
    </row>
    <row r="550" spans="1:4">
      <c r="A550" s="187">
        <v>43313</v>
      </c>
      <c r="B550">
        <v>39605</v>
      </c>
      <c r="C550" s="188">
        <f>1720412*(42/1000000)</f>
        <v>72.257303999999991</v>
      </c>
      <c r="D550" s="188">
        <v>20252.484</v>
      </c>
    </row>
    <row r="551" spans="1:4">
      <c r="A551" s="187">
        <v>43344</v>
      </c>
      <c r="B551">
        <v>38945</v>
      </c>
      <c r="C551" s="188">
        <f>1685017*(42/1000000)</f>
        <v>70.770713999999998</v>
      </c>
      <c r="D551" s="188">
        <v>15078.672</v>
      </c>
    </row>
    <row r="552" spans="1:4">
      <c r="A552" s="187">
        <v>43374</v>
      </c>
      <c r="B552">
        <v>41365</v>
      </c>
      <c r="C552" s="188">
        <f>1914153*(42/1000000)</f>
        <v>80.394425999999996</v>
      </c>
      <c r="D552" s="188">
        <v>51628.71</v>
      </c>
    </row>
    <row r="553" spans="1:4">
      <c r="A553" s="187">
        <v>43405</v>
      </c>
      <c r="B553">
        <v>41751</v>
      </c>
      <c r="C553" s="188">
        <f>989729*(42/1000000)</f>
        <v>41.568618000000001</v>
      </c>
      <c r="D553" s="188">
        <v>18429.054</v>
      </c>
    </row>
    <row r="554" spans="1:4">
      <c r="A554" s="187">
        <v>43435</v>
      </c>
      <c r="B554">
        <v>42948</v>
      </c>
      <c r="C554" s="188">
        <f>1309764*(42/1000000)</f>
        <v>55.010087999999996</v>
      </c>
      <c r="D554" s="188">
        <v>30523.5</v>
      </c>
    </row>
    <row r="555" spans="1:4">
      <c r="A555" s="187">
        <v>43466</v>
      </c>
      <c r="B555">
        <v>39667</v>
      </c>
      <c r="C555" s="188">
        <f>624301*(42/1000000)</f>
        <v>26.220641999999998</v>
      </c>
      <c r="D555" s="188">
        <v>8418.6479999999992</v>
      </c>
    </row>
    <row r="556" spans="1:4">
      <c r="A556" s="187">
        <v>43497</v>
      </c>
      <c r="B556">
        <v>32484</v>
      </c>
      <c r="C556" s="188">
        <f>1359037*(42/1000000)</f>
        <v>57.079553999999995</v>
      </c>
      <c r="D556" s="188">
        <v>22983.534</v>
      </c>
    </row>
    <row r="557" spans="1:4">
      <c r="A557" s="187">
        <v>43525</v>
      </c>
      <c r="B557">
        <v>36354</v>
      </c>
      <c r="C557" s="188">
        <f>1304491*(42/1000000)</f>
        <v>54.788621999999997</v>
      </c>
      <c r="D557" s="188">
        <v>4969.1040000000003</v>
      </c>
    </row>
    <row r="558" spans="1:4">
      <c r="A558" s="187">
        <v>43556</v>
      </c>
      <c r="B558">
        <v>37838</v>
      </c>
      <c r="C558" s="188">
        <f>2393628*(42/1000000)</f>
        <v>100.532376</v>
      </c>
      <c r="D558" s="188">
        <v>68013.834000000003</v>
      </c>
    </row>
    <row r="559" spans="1:4">
      <c r="A559" s="187">
        <v>43586</v>
      </c>
      <c r="B559">
        <v>39907</v>
      </c>
      <c r="C559" s="188">
        <f>851873*(42/1000000)</f>
        <v>35.778666000000001</v>
      </c>
      <c r="D559" s="188">
        <v>8843.3940000000002</v>
      </c>
    </row>
    <row r="560" spans="1:4">
      <c r="A560" s="187">
        <v>43617</v>
      </c>
      <c r="B560">
        <v>45476</v>
      </c>
      <c r="C560" s="188">
        <f>3511418*(42/1000000)</f>
        <v>147.479556</v>
      </c>
      <c r="D560" s="188">
        <v>30324.63</v>
      </c>
    </row>
    <row r="561" spans="1:4">
      <c r="A561" s="187">
        <v>43647</v>
      </c>
      <c r="B561">
        <v>42592</v>
      </c>
      <c r="C561" s="188">
        <f>2708355*(42/1000000)</f>
        <v>113.75090999999999</v>
      </c>
      <c r="D561" s="188">
        <v>15566.291999999999</v>
      </c>
    </row>
    <row r="562" spans="1:4">
      <c r="A562" s="187">
        <v>43678</v>
      </c>
      <c r="B562">
        <v>47430</v>
      </c>
      <c r="C562" s="188">
        <f>2595526*(42/1000000)</f>
        <v>109.012092</v>
      </c>
      <c r="D562" s="188">
        <v>34054.146000000001</v>
      </c>
    </row>
    <row r="563" spans="1:4">
      <c r="A563" s="187">
        <v>43709</v>
      </c>
      <c r="B563">
        <v>42811</v>
      </c>
      <c r="C563" s="188">
        <f>3858648*(42/1000000)</f>
        <v>162.06321599999998</v>
      </c>
      <c r="D563" s="188">
        <v>54164.417999999998</v>
      </c>
    </row>
    <row r="564" spans="1:4">
      <c r="A564" s="187">
        <v>43739</v>
      </c>
      <c r="B564">
        <v>37352</v>
      </c>
      <c r="C564" s="188">
        <f>6106148*(42/1000000)</f>
        <v>256.45821599999999</v>
      </c>
      <c r="D564" s="188">
        <v>78233.903999999995</v>
      </c>
    </row>
    <row r="565" spans="1:4">
      <c r="A565" s="187">
        <v>43770</v>
      </c>
      <c r="B565">
        <v>34428</v>
      </c>
      <c r="C565" s="188">
        <f>2194138*(42/1000000)</f>
        <v>92.153796</v>
      </c>
      <c r="D565" s="188">
        <v>82.74</v>
      </c>
    </row>
    <row r="566" spans="1:4">
      <c r="A566" s="187">
        <v>43800</v>
      </c>
      <c r="B566">
        <v>40316</v>
      </c>
      <c r="C566" s="188">
        <f>4058267*(42/1000000)</f>
        <v>170.447214</v>
      </c>
      <c r="D566" s="188">
        <v>17238.48</v>
      </c>
    </row>
    <row r="567" spans="1:4">
      <c r="A567" s="187">
        <v>43831</v>
      </c>
      <c r="B567">
        <v>38332</v>
      </c>
      <c r="C567" s="188">
        <f>3199640*(42/1000000)</f>
        <v>134.38487999999998</v>
      </c>
      <c r="D567" s="188">
        <v>23148.93</v>
      </c>
    </row>
    <row r="568" spans="1:4">
      <c r="A568" s="187">
        <v>43862</v>
      </c>
      <c r="B568">
        <v>38134</v>
      </c>
      <c r="C568" s="188">
        <f>2654777*(42/1000000)</f>
        <v>111.50063399999999</v>
      </c>
      <c r="D568" s="188">
        <v>416.346</v>
      </c>
    </row>
    <row r="569" spans="1:4">
      <c r="A569" s="187">
        <v>43891</v>
      </c>
      <c r="B569">
        <v>44227</v>
      </c>
      <c r="C569" s="188">
        <f>4674165*(42/1000000)</f>
        <v>196.31492999999998</v>
      </c>
      <c r="D569" s="188">
        <v>27585.348000000002</v>
      </c>
    </row>
    <row r="570" spans="1:4">
      <c r="A570" s="187">
        <v>43922</v>
      </c>
      <c r="B570">
        <v>31333</v>
      </c>
      <c r="C570" s="188">
        <f>4954565*(42/1000000)</f>
        <v>208.09172999999998</v>
      </c>
      <c r="D570" s="188">
        <v>2317.98</v>
      </c>
    </row>
    <row r="571" spans="1:4">
      <c r="A571" s="187">
        <v>43952</v>
      </c>
      <c r="B571">
        <v>24772</v>
      </c>
      <c r="C571" s="188">
        <f>2923746*(42/1000000)</f>
        <v>122.797332</v>
      </c>
      <c r="D571" s="188">
        <v>239.48400000000001</v>
      </c>
    </row>
    <row r="572" spans="1:4">
      <c r="A572" s="187">
        <v>43983</v>
      </c>
      <c r="B572">
        <v>39158</v>
      </c>
      <c r="C572" s="188">
        <f>3931638*(42/1000000)</f>
        <v>165.12879599999999</v>
      </c>
      <c r="D572" s="188">
        <v>266.86799999999999</v>
      </c>
    </row>
    <row r="573" spans="1:4">
      <c r="A573" s="187">
        <v>44013</v>
      </c>
      <c r="B573">
        <v>42520</v>
      </c>
      <c r="C573" s="188">
        <f>2938399*(42/1000000)</f>
        <v>123.412758</v>
      </c>
      <c r="D573" s="188">
        <v>178.626</v>
      </c>
    </row>
    <row r="574" spans="1:4">
      <c r="A574" s="187">
        <v>44044</v>
      </c>
      <c r="B574">
        <v>41716</v>
      </c>
      <c r="C574" s="188">
        <f>3881886*(42/1000000)</f>
        <v>163.03921199999999</v>
      </c>
      <c r="D574" s="188">
        <v>40900.019999999997</v>
      </c>
    </row>
    <row r="575" spans="1:4">
      <c r="A575" s="187">
        <v>44075</v>
      </c>
      <c r="B575">
        <v>35512</v>
      </c>
      <c r="C575" s="188">
        <f>4324208*(42/1000000)</f>
        <v>181.616736</v>
      </c>
      <c r="D575" s="188">
        <v>189.16800000000001</v>
      </c>
    </row>
    <row r="576" spans="1:4">
      <c r="A576" s="187">
        <v>44105</v>
      </c>
      <c r="B576">
        <v>32559</v>
      </c>
      <c r="C576" s="188">
        <f>2983359*(42/1000000)</f>
        <v>125.30107799999999</v>
      </c>
      <c r="D576" s="188">
        <v>7900.0739999999996</v>
      </c>
    </row>
    <row r="577" spans="1:4">
      <c r="A577" s="187">
        <v>44136</v>
      </c>
      <c r="B577">
        <v>29848</v>
      </c>
      <c r="C577" s="188">
        <f>3329418*(42/1000000)</f>
        <v>139.835556</v>
      </c>
      <c r="D577" s="188">
        <v>93.281999999999996</v>
      </c>
    </row>
    <row r="578" spans="1:4">
      <c r="A578" s="187">
        <v>44166</v>
      </c>
      <c r="B578">
        <v>36241</v>
      </c>
      <c r="C578" s="188">
        <f>2466236*(42/1000000)</f>
        <v>103.58191199999999</v>
      </c>
      <c r="D578" s="188">
        <v>166.95</v>
      </c>
    </row>
    <row r="579" spans="1:4">
      <c r="A579" s="187">
        <v>44197</v>
      </c>
      <c r="B579">
        <v>27949</v>
      </c>
      <c r="C579" s="188">
        <f>1992088*(42/1000000)</f>
        <v>83.667695999999992</v>
      </c>
      <c r="D579" s="188">
        <v>278.92200000000003</v>
      </c>
    </row>
    <row r="580" spans="1:4">
      <c r="A580" s="187">
        <v>44228</v>
      </c>
      <c r="B580">
        <v>24695</v>
      </c>
      <c r="C580" s="188">
        <f>2871949*(42/1000000)</f>
        <v>120.62185799999999</v>
      </c>
      <c r="D580" s="188">
        <v>505.17599999999999</v>
      </c>
    </row>
    <row r="581" spans="1:4">
      <c r="A581" s="187">
        <v>44256</v>
      </c>
      <c r="B581">
        <v>26224</v>
      </c>
      <c r="C581" s="188">
        <f>2484337*(42/1000000)</f>
        <v>104.34215399999999</v>
      </c>
      <c r="D581" s="188">
        <v>625.75800000000004</v>
      </c>
    </row>
    <row r="582" spans="1:4">
      <c r="A582" s="187">
        <v>44287</v>
      </c>
      <c r="B582">
        <v>31226</v>
      </c>
      <c r="C582" s="188">
        <f>2985676*(42/1000000)</f>
        <v>125.39839199999999</v>
      </c>
      <c r="D582" s="188">
        <v>25054.511999999999</v>
      </c>
    </row>
    <row r="583" spans="1:4">
      <c r="A583" s="187">
        <v>44317</v>
      </c>
      <c r="B583">
        <v>32252</v>
      </c>
      <c r="C583" s="188">
        <f>3152955*(42/1000000)</f>
        <v>132.42410999999998</v>
      </c>
      <c r="D583" s="188">
        <v>4753.098</v>
      </c>
    </row>
    <row r="584" spans="1:4">
      <c r="A584" s="187">
        <v>44348</v>
      </c>
      <c r="B584">
        <v>37722</v>
      </c>
      <c r="C584" s="188">
        <f>3545340*(42/1000000)</f>
        <v>148.90428</v>
      </c>
      <c r="D584" s="188">
        <v>56271.81</v>
      </c>
    </row>
    <row r="585" spans="1:4">
      <c r="A585" s="187">
        <v>44378</v>
      </c>
      <c r="B585">
        <v>39724</v>
      </c>
      <c r="C585" s="188">
        <f>4183223*(42/1000000)</f>
        <v>175.69536599999998</v>
      </c>
      <c r="D585" s="188">
        <v>56785.89</v>
      </c>
    </row>
    <row r="586" spans="1:4">
      <c r="A586" s="187">
        <v>44409</v>
      </c>
      <c r="B586">
        <v>35946</v>
      </c>
      <c r="C586" s="188">
        <f>1593569*(42/1000000)</f>
        <v>66.929897999999994</v>
      </c>
      <c r="D586" s="188">
        <v>9243.6119999999992</v>
      </c>
    </row>
    <row r="587" spans="1:4">
      <c r="A587" s="187">
        <v>44440</v>
      </c>
      <c r="B587">
        <v>27965</v>
      </c>
      <c r="C587" s="188">
        <f>3206236*(42/1000000)</f>
        <v>134.661912</v>
      </c>
      <c r="D587" s="188">
        <v>27172.151999999998</v>
      </c>
    </row>
    <row r="588" spans="1:4">
      <c r="A588" s="187">
        <v>44470</v>
      </c>
      <c r="B588">
        <v>31856</v>
      </c>
      <c r="C588" s="188">
        <f>3158348*(42/1000000)</f>
        <v>132.65061599999999</v>
      </c>
      <c r="D588" s="188">
        <v>20324.808000000001</v>
      </c>
    </row>
    <row r="589" spans="1:4">
      <c r="A589" s="187">
        <v>44501</v>
      </c>
      <c r="B589">
        <v>33823</v>
      </c>
      <c r="C589" s="188">
        <f>2273634*(42/1000000)</f>
        <v>95.492627999999996</v>
      </c>
      <c r="D589" s="188">
        <v>15107.736000000001</v>
      </c>
    </row>
    <row r="590" spans="1:4">
      <c r="A590" s="187">
        <v>44531</v>
      </c>
      <c r="B590">
        <v>40950</v>
      </c>
      <c r="C590" s="188">
        <f>2088617*(42/1000000)</f>
        <v>87.721913999999998</v>
      </c>
      <c r="D590" s="188">
        <v>17267.585999999999</v>
      </c>
    </row>
    <row r="591" spans="1:4">
      <c r="A591" s="187">
        <v>44562</v>
      </c>
      <c r="B591">
        <v>29044</v>
      </c>
      <c r="C591" s="188">
        <f>2518998*(42/1000000)</f>
        <v>105.797916</v>
      </c>
      <c r="D591" s="188">
        <v>24718.637999999999</v>
      </c>
    </row>
    <row r="592" spans="1:4">
      <c r="A592" s="187">
        <v>44593</v>
      </c>
      <c r="B592">
        <v>24735</v>
      </c>
      <c r="C592" s="188">
        <f>1593909*(42/1000000)</f>
        <v>66.944177999999994</v>
      </c>
      <c r="D592" s="188">
        <v>26750.178</v>
      </c>
    </row>
    <row r="593" spans="1:4">
      <c r="A593" s="187">
        <v>44621</v>
      </c>
      <c r="B593">
        <v>37257</v>
      </c>
      <c r="C593" s="188">
        <f>2289983*(42/1000000)</f>
        <v>96.179285999999991</v>
      </c>
      <c r="D593" s="188">
        <v>32603.55</v>
      </c>
    </row>
    <row r="594" spans="1:4">
      <c r="A594" s="187">
        <v>44652</v>
      </c>
      <c r="B594">
        <v>38015</v>
      </c>
      <c r="C594" s="188">
        <f>2179172*(42/1000000)</f>
        <v>91.525223999999994</v>
      </c>
      <c r="D594" s="188">
        <v>21960.078000000001</v>
      </c>
    </row>
    <row r="595" spans="1:4">
      <c r="A595" s="187">
        <v>44682</v>
      </c>
      <c r="B595">
        <v>36627</v>
      </c>
      <c r="C595" s="188">
        <f>1954200*(42/1000000)</f>
        <v>82.076399999999992</v>
      </c>
      <c r="D595" s="188">
        <v>30525.18</v>
      </c>
    </row>
    <row r="596" spans="1:4">
      <c r="A596" s="187">
        <v>44713</v>
      </c>
      <c r="B596">
        <v>36304</v>
      </c>
      <c r="C596" s="188">
        <f>1066843*(42/1000000)</f>
        <v>44.807406</v>
      </c>
      <c r="D596" s="188">
        <v>103.488</v>
      </c>
    </row>
    <row r="597" spans="1:4">
      <c r="A597" s="187">
        <v>44743</v>
      </c>
      <c r="B597">
        <v>47491</v>
      </c>
      <c r="C597" s="188">
        <f>1813117*(42/1000000)</f>
        <v>76.150914</v>
      </c>
      <c r="D597" s="188">
        <v>8197.77</v>
      </c>
    </row>
    <row r="598" spans="1:4">
      <c r="A598" s="187">
        <v>44774</v>
      </c>
      <c r="B598">
        <v>42186</v>
      </c>
      <c r="C598" s="188">
        <f>2681535*(42/1000000)</f>
        <v>112.62446999999999</v>
      </c>
      <c r="D598" s="188">
        <v>36722.951999999997</v>
      </c>
    </row>
    <row r="599" spans="1:4">
      <c r="A599" s="187">
        <v>44805</v>
      </c>
      <c r="B599">
        <v>39275</v>
      </c>
      <c r="C599" s="188">
        <f>1620647*(42/1000000)</f>
        <v>68.067173999999994</v>
      </c>
      <c r="D599" s="188">
        <v>33231.660000000003</v>
      </c>
    </row>
    <row r="600" spans="1:4">
      <c r="A600" s="187">
        <v>44835</v>
      </c>
      <c r="B600">
        <v>31660</v>
      </c>
      <c r="C600" s="188">
        <f>1584918*(42/1000000)</f>
        <v>66.566555999999991</v>
      </c>
      <c r="D600" s="188">
        <v>8880.9</v>
      </c>
    </row>
    <row r="601" spans="1:4">
      <c r="A601" s="187">
        <v>44866</v>
      </c>
      <c r="B601">
        <v>35083</v>
      </c>
      <c r="C601" s="188">
        <f>2625776*(42/1000000)</f>
        <v>110.28259199999999</v>
      </c>
      <c r="D601" s="188">
        <v>12958.218000000001</v>
      </c>
    </row>
    <row r="602" spans="1:4">
      <c r="A602" s="187">
        <v>44896</v>
      </c>
      <c r="B602">
        <v>41735</v>
      </c>
      <c r="C602" s="188">
        <f>1510631*(42/1000000)</f>
        <v>63.446501999999995</v>
      </c>
      <c r="D602" s="188">
        <v>16244.843999999999</v>
      </c>
    </row>
    <row r="603" spans="1:4">
      <c r="A603" s="187">
        <v>44927</v>
      </c>
      <c r="B603">
        <v>29136</v>
      </c>
      <c r="C603" s="188">
        <f>1083894*(42/1000000)</f>
        <v>45.523547999999998</v>
      </c>
      <c r="D603" s="188">
        <v>21616.223999999998</v>
      </c>
    </row>
    <row r="604" spans="1:4">
      <c r="A604" s="187">
        <v>44958</v>
      </c>
      <c r="B604">
        <v>25569</v>
      </c>
      <c r="C604" s="188">
        <f>1955599*(42/1000000)</f>
        <v>82.13515799999999</v>
      </c>
      <c r="D604" s="188">
        <v>19226.214</v>
      </c>
    </row>
    <row r="605" spans="1:4">
      <c r="A605" s="187">
        <v>44986</v>
      </c>
      <c r="B605">
        <v>35383</v>
      </c>
      <c r="C605" s="188">
        <f>2332835*(42/1000000)</f>
        <v>97.979069999999993</v>
      </c>
      <c r="D605" s="188">
        <v>38391.654000000002</v>
      </c>
    </row>
    <row r="606" spans="1:4">
      <c r="A606" s="187">
        <v>45017</v>
      </c>
      <c r="B606">
        <v>30597</v>
      </c>
      <c r="C606" s="188">
        <f>2236362*(42/1000000)</f>
        <v>93.927203999999989</v>
      </c>
      <c r="D606" s="188">
        <v>33645.192000000003</v>
      </c>
    </row>
    <row r="607" spans="1:4">
      <c r="A607" s="187">
        <v>45047</v>
      </c>
      <c r="B607">
        <v>36266</v>
      </c>
      <c r="C607" s="188">
        <f>1090651*(42/1000000)</f>
        <v>45.807341999999998</v>
      </c>
      <c r="D607" s="188">
        <v>1139.9639999999999</v>
      </c>
    </row>
    <row r="608" spans="1:4">
      <c r="A608" s="187">
        <v>45078</v>
      </c>
      <c r="B608">
        <v>35817</v>
      </c>
      <c r="C608" s="188"/>
      <c r="D608" s="188"/>
    </row>
    <row r="609" spans="1:4">
      <c r="A609" s="187">
        <v>45108</v>
      </c>
      <c r="B609">
        <v>37823</v>
      </c>
      <c r="C609" s="188"/>
      <c r="D609" s="188"/>
    </row>
    <row r="610" spans="1:4">
      <c r="A610" s="187">
        <v>45139</v>
      </c>
      <c r="B610">
        <v>35458</v>
      </c>
      <c r="C610" s="188"/>
      <c r="D610" s="188"/>
    </row>
    <row r="611" spans="1:4">
      <c r="A611" s="187">
        <v>45170</v>
      </c>
      <c r="B611">
        <v>31361</v>
      </c>
      <c r="C611" s="188"/>
      <c r="D611" s="188"/>
    </row>
    <row r="612" spans="1:4">
      <c r="A612" s="187">
        <v>45200</v>
      </c>
      <c r="B612">
        <v>33093</v>
      </c>
      <c r="C612" s="188"/>
      <c r="D612" s="188"/>
    </row>
    <row r="613" spans="1:4">
      <c r="A613" s="187">
        <v>45231</v>
      </c>
      <c r="B613">
        <v>33740</v>
      </c>
      <c r="C613" s="188"/>
      <c r="D613" s="188"/>
    </row>
    <row r="614" spans="1:4">
      <c r="A614" s="187">
        <v>45261</v>
      </c>
      <c r="B614">
        <v>40573</v>
      </c>
      <c r="C614" s="188"/>
      <c r="D614" s="188"/>
    </row>
    <row r="615" spans="1:4">
      <c r="A615" s="187">
        <v>45292</v>
      </c>
      <c r="B615">
        <v>31828</v>
      </c>
      <c r="C615" s="188"/>
      <c r="D615" s="188"/>
    </row>
    <row r="616" spans="1:4">
      <c r="A616" s="187">
        <v>45323</v>
      </c>
      <c r="B616">
        <v>27562</v>
      </c>
      <c r="C616" s="188"/>
      <c r="D616" s="188"/>
    </row>
    <row r="617" spans="1:4">
      <c r="A617" s="187">
        <v>45352</v>
      </c>
      <c r="B617">
        <v>34936</v>
      </c>
      <c r="C617" s="188"/>
      <c r="D617" s="1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Data Sources</vt:lpstr>
      <vt:lpstr>Graph Dashboard</vt:lpstr>
      <vt:lpstr>annual_data</vt:lpstr>
      <vt:lpstr>monthly_data</vt:lpstr>
      <vt:lpstr>BD</vt:lpstr>
      <vt:lpstr>RD</vt:lpstr>
      <vt:lpstr>Diesel</vt:lpstr>
      <vt:lpstr>Diesel (adj)</vt:lpstr>
      <vt:lpstr>Capacity</vt:lpstr>
      <vt:lpstr>EIA_Short_Term</vt:lpstr>
      <vt:lpstr>comp</vt:lpstr>
      <vt:lpstr>BD!Print_Area</vt:lpstr>
      <vt:lpstr>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2025-07-09T11:07:09Z</dcterms:created>
  <dcterms:modified xsi:type="dcterms:W3CDTF">2025-08-10T13:41:51Z</dcterms:modified>
</cp:coreProperties>
</file>